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showInkAnnotation="0" hidePivotFieldList="1" defaultThemeVersion="166925"/>
  <mc:AlternateContent xmlns:mc="http://schemas.openxmlformats.org/markup-compatibility/2006">
    <mc:Choice Requires="x15">
      <x15ac:absPath xmlns:x15ac="http://schemas.microsoft.com/office/spreadsheetml/2010/11/ac" url="https://d.docs.live.net/b06bd4818700443f/Projects/Project 7/"/>
    </mc:Choice>
  </mc:AlternateContent>
  <xr:revisionPtr revIDLastSave="790" documentId="13_ncr:1_{79438172-47FC-4AD7-B072-2CA71D55D34D}" xr6:coauthVersionLast="47" xr6:coauthVersionMax="47" xr10:uidLastSave="{04EDE6D1-1624-4CCF-89FA-B00F5EC4A9E9}"/>
  <bookViews>
    <workbookView xWindow="-110" yWindow="-110" windowWidth="19420" windowHeight="10300" activeTab="3" xr2:uid="{00000000-000D-0000-FFFF-FFFF00000000}"/>
  </bookViews>
  <sheets>
    <sheet name="Dashboard" sheetId="25" r:id="rId1"/>
    <sheet name="Sheet15" sheetId="35" state="hidden" r:id="rId2"/>
    <sheet name="Sheet16" sheetId="36" state="hidden" r:id="rId3"/>
    <sheet name="Balance 2020 " sheetId="10" r:id="rId4"/>
    <sheet name="Credit Card" sheetId="43" r:id="rId5"/>
    <sheet name="Saving" sheetId="41" r:id="rId6"/>
    <sheet name="JMMB" sheetId="37" r:id="rId7"/>
    <sheet name="Project 2022" sheetId="21" r:id="rId8"/>
    <sheet name="Balance kids" sheetId="19" r:id="rId9"/>
    <sheet name="Sheet1" sheetId="40" r:id="rId10"/>
    <sheet name="Breakdown" sheetId="18" r:id="rId11"/>
    <sheet name="2025 Projection" sheetId="44" r:id="rId12"/>
    <sheet name="2024 Project Phase 4" sheetId="45" r:id="rId13"/>
    <sheet name="Graduation" sheetId="11" r:id="rId14"/>
    <sheet name="Savings_JWN" sheetId="5" r:id="rId15"/>
    <sheet name="Savings Vertis" sheetId="16" r:id="rId16"/>
    <sheet name="Sabbatical Worst Case" sheetId="42" r:id="rId17"/>
  </sheets>
  <definedNames>
    <definedName name="_xlnm._FilterDatabase" localSheetId="15" hidden="1">'Savings Vertis'!$Q$4:$Q$9</definedName>
    <definedName name="Slicer_Month">#N/A</definedName>
    <definedName name="Slicer_Year">#N/A</definedName>
  </definedNames>
  <calcPr calcId="191028"/>
  <pivotCaches>
    <pivotCache cacheId="0"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13" i="10" l="1"/>
  <c r="C1508" i="10"/>
  <c r="C1514" i="10"/>
  <c r="C1515" i="10"/>
  <c r="G1515" i="10"/>
  <c r="H1515" i="10"/>
  <c r="G1513" i="10"/>
  <c r="G1508" i="10"/>
  <c r="G1514" i="10"/>
  <c r="H1513" i="10"/>
  <c r="H1508" i="10"/>
  <c r="H1514" i="10"/>
  <c r="C112" i="43"/>
  <c r="G112" i="43"/>
  <c r="H112" i="43"/>
  <c r="C111" i="43"/>
  <c r="G111" i="43"/>
  <c r="H111" i="43"/>
  <c r="C110" i="43"/>
  <c r="G110" i="43"/>
  <c r="H110" i="43"/>
  <c r="C1493" i="10"/>
  <c r="C1494" i="10"/>
  <c r="C1495" i="10"/>
  <c r="C1510" i="10"/>
  <c r="C1511" i="10"/>
  <c r="C1512" i="10"/>
  <c r="G1512" i="10"/>
  <c r="H1512" i="10"/>
  <c r="G1511" i="10"/>
  <c r="H1511" i="10"/>
  <c r="G1510" i="10"/>
  <c r="H1510" i="10"/>
  <c r="G1495" i="10"/>
  <c r="H1495" i="10"/>
  <c r="G1494" i="10"/>
  <c r="H1494" i="10"/>
  <c r="G1493" i="10"/>
  <c r="H1493" i="10"/>
  <c r="G1507" i="10"/>
  <c r="H1507" i="10"/>
  <c r="C1507" i="10"/>
  <c r="G1509" i="10"/>
  <c r="H1509" i="10"/>
  <c r="C109" i="43"/>
  <c r="G109" i="43"/>
  <c r="H109" i="43"/>
  <c r="G1483" i="10"/>
  <c r="H1483" i="10"/>
  <c r="B1483" i="10"/>
  <c r="G1496" i="10"/>
  <c r="H1496" i="10"/>
  <c r="C1496" i="10"/>
  <c r="C1506" i="10"/>
  <c r="G1506" i="10"/>
  <c r="H1506" i="10"/>
  <c r="C1502" i="10"/>
  <c r="C1498" i="10"/>
  <c r="C1503" i="10"/>
  <c r="C1504" i="10"/>
  <c r="C1505" i="10"/>
  <c r="G1502" i="10"/>
  <c r="G1498" i="10"/>
  <c r="G1503" i="10"/>
  <c r="G1504" i="10"/>
  <c r="G1505" i="10"/>
  <c r="H1502" i="10"/>
  <c r="H1498" i="10"/>
  <c r="H1503" i="10"/>
  <c r="H1504" i="10"/>
  <c r="H1505" i="10"/>
  <c r="C108" i="43"/>
  <c r="G108" i="43"/>
  <c r="H108" i="43"/>
  <c r="C107" i="43"/>
  <c r="G107" i="43"/>
  <c r="H107" i="43"/>
  <c r="C1500" i="10"/>
  <c r="C1497" i="10"/>
  <c r="C1501" i="10"/>
  <c r="C1499" i="10"/>
  <c r="G1499" i="10"/>
  <c r="H1499" i="10"/>
  <c r="G1500" i="10"/>
  <c r="G1497" i="10"/>
  <c r="G1501" i="10"/>
  <c r="H1500" i="10"/>
  <c r="H1497" i="10"/>
  <c r="H1501" i="10"/>
  <c r="C106" i="43"/>
  <c r="G106" i="43"/>
  <c r="H106" i="43"/>
  <c r="C105" i="43"/>
  <c r="G105" i="43"/>
  <c r="H105" i="43"/>
  <c r="C104" i="43"/>
  <c r="G104" i="43"/>
  <c r="H104" i="43"/>
  <c r="C1491" i="10" l="1"/>
  <c r="C1492" i="10"/>
  <c r="C1487" i="10"/>
  <c r="C1488" i="10"/>
  <c r="C1489" i="10"/>
  <c r="C1490" i="10"/>
  <c r="G1491" i="10"/>
  <c r="G1492" i="10"/>
  <c r="G1487" i="10"/>
  <c r="G1488" i="10"/>
  <c r="G1489" i="10"/>
  <c r="G1490" i="10"/>
  <c r="H1491" i="10"/>
  <c r="H1492" i="10"/>
  <c r="H1487" i="10"/>
  <c r="H1488" i="10"/>
  <c r="H1489" i="10"/>
  <c r="H1490" i="10"/>
  <c r="C103" i="43"/>
  <c r="G103" i="43"/>
  <c r="H103" i="43"/>
  <c r="C102" i="43"/>
  <c r="G102" i="43"/>
  <c r="H102" i="43"/>
  <c r="C101" i="43"/>
  <c r="G101" i="43"/>
  <c r="H101" i="43"/>
  <c r="C100" i="43"/>
  <c r="G100" i="43"/>
  <c r="H100" i="43"/>
  <c r="C99" i="43"/>
  <c r="G99" i="43"/>
  <c r="H99" i="43"/>
  <c r="C98" i="43"/>
  <c r="G98" i="43"/>
  <c r="H98" i="43"/>
  <c r="C1484" i="10"/>
  <c r="C1482" i="10"/>
  <c r="C1481" i="10"/>
  <c r="C1485" i="10"/>
  <c r="C1486" i="10"/>
  <c r="G1486" i="10"/>
  <c r="H1486" i="10"/>
  <c r="G1485" i="10"/>
  <c r="H1485" i="10"/>
  <c r="G1482" i="10"/>
  <c r="G1481" i="10"/>
  <c r="H1482" i="10"/>
  <c r="H1481" i="10"/>
  <c r="C97" i="43"/>
  <c r="G97" i="43"/>
  <c r="H97" i="43"/>
  <c r="C96" i="43"/>
  <c r="G96" i="43"/>
  <c r="H96" i="43"/>
  <c r="C95" i="43"/>
  <c r="G95" i="43"/>
  <c r="H95" i="43"/>
  <c r="G1484" i="10"/>
  <c r="H1484" i="10"/>
  <c r="C1475" i="10"/>
  <c r="C1476" i="10"/>
  <c r="C1477" i="10"/>
  <c r="C1478" i="10"/>
  <c r="C1479" i="10"/>
  <c r="C1480" i="10"/>
  <c r="G1480" i="10"/>
  <c r="H1480" i="10"/>
  <c r="G1475" i="10"/>
  <c r="G1476" i="10"/>
  <c r="G1477" i="10"/>
  <c r="G1478" i="10"/>
  <c r="G1479" i="10"/>
  <c r="H1475" i="10"/>
  <c r="H1476" i="10"/>
  <c r="H1477" i="10"/>
  <c r="H1478" i="10"/>
  <c r="H1479" i="10"/>
  <c r="C94" i="43"/>
  <c r="G94" i="43"/>
  <c r="H94" i="43"/>
  <c r="C93" i="43"/>
  <c r="G93" i="43"/>
  <c r="H93" i="43"/>
  <c r="C92" i="43"/>
  <c r="G92" i="43"/>
  <c r="H92" i="43"/>
  <c r="C91" i="43"/>
  <c r="G91" i="43"/>
  <c r="H91" i="43"/>
  <c r="C90" i="43"/>
  <c r="G90" i="43"/>
  <c r="H90" i="43"/>
  <c r="C1474" i="10"/>
  <c r="C1473" i="10"/>
  <c r="G1474" i="10"/>
  <c r="H1474" i="10"/>
  <c r="G1473" i="10"/>
  <c r="H1473" i="10"/>
  <c r="B1462" i="10"/>
  <c r="B1463" i="10"/>
  <c r="B1461" i="10"/>
  <c r="G1463" i="10"/>
  <c r="H1463" i="10"/>
  <c r="G1462" i="10"/>
  <c r="H1462" i="10"/>
  <c r="G1461" i="10"/>
  <c r="H1461" i="10"/>
  <c r="C1465" i="10"/>
  <c r="C1469" i="10"/>
  <c r="C1466" i="10"/>
  <c r="C1467" i="10"/>
  <c r="C1468" i="10"/>
  <c r="G1468" i="10"/>
  <c r="H1468" i="10"/>
  <c r="G1467" i="10"/>
  <c r="H1467" i="10"/>
  <c r="B1466" i="10"/>
  <c r="G1466" i="10"/>
  <c r="H1466" i="10"/>
  <c r="C1471" i="10"/>
  <c r="C1472" i="10"/>
  <c r="C1470" i="10"/>
  <c r="G1472" i="10"/>
  <c r="H1472" i="10"/>
  <c r="G1471" i="10"/>
  <c r="H1471" i="10"/>
  <c r="B1470" i="10"/>
  <c r="G1470" i="10"/>
  <c r="H1470" i="10"/>
  <c r="B1464" i="10"/>
  <c r="G1464" i="10"/>
  <c r="H1464" i="10"/>
  <c r="G1465" i="10"/>
  <c r="G1469" i="10"/>
  <c r="H1465" i="10"/>
  <c r="H1469" i="10"/>
  <c r="C89" i="43"/>
  <c r="G89" i="43"/>
  <c r="H89" i="43"/>
  <c r="C88" i="43"/>
  <c r="G88" i="43"/>
  <c r="H88" i="43"/>
  <c r="D4" i="40"/>
  <c r="D3" i="40"/>
  <c r="FE5" i="18"/>
  <c r="FE6" i="18"/>
  <c r="FE7" i="18"/>
  <c r="FE8" i="18"/>
  <c r="FE9" i="18"/>
  <c r="FE10" i="18"/>
  <c r="FE11" i="18"/>
  <c r="FE12" i="18"/>
  <c r="FE13" i="18"/>
  <c r="FE14" i="18"/>
  <c r="FE15" i="18"/>
  <c r="FE16" i="18"/>
  <c r="FE17" i="18"/>
  <c r="FE18" i="18"/>
  <c r="FE19" i="18"/>
  <c r="FE20" i="18"/>
  <c r="FE4" i="18"/>
  <c r="FD23" i="18"/>
  <c r="FD5" i="18"/>
  <c r="FD4" i="18"/>
  <c r="FD22" i="18" s="1"/>
  <c r="C1458" i="10"/>
  <c r="G1458" i="10"/>
  <c r="H1458" i="10"/>
  <c r="G1457" i="10"/>
  <c r="H1457" i="10"/>
  <c r="C1457" i="10"/>
  <c r="C1456" i="10"/>
  <c r="G1454" i="10"/>
  <c r="H1454" i="10"/>
  <c r="B1454" i="10"/>
  <c r="G1460" i="10"/>
  <c r="H1460" i="10"/>
  <c r="C1460" i="10"/>
  <c r="G1459" i="10"/>
  <c r="H1459" i="10"/>
  <c r="C1459" i="10"/>
  <c r="B1453" i="10"/>
  <c r="G1453" i="10"/>
  <c r="H1453" i="10"/>
  <c r="G1456" i="10"/>
  <c r="H1456" i="10"/>
  <c r="C87" i="43"/>
  <c r="G87" i="43"/>
  <c r="H87" i="43"/>
  <c r="C1445" i="10"/>
  <c r="C1446" i="10"/>
  <c r="C1447" i="10"/>
  <c r="C1444" i="10"/>
  <c r="C1452" i="10"/>
  <c r="C1448" i="10"/>
  <c r="C1451" i="10"/>
  <c r="C1455" i="10"/>
  <c r="C1449" i="10"/>
  <c r="C1450" i="10"/>
  <c r="G1445" i="10"/>
  <c r="G1446" i="10"/>
  <c r="G1447" i="10"/>
  <c r="G1444" i="10"/>
  <c r="G1452" i="10"/>
  <c r="G1448" i="10"/>
  <c r="G1451" i="10"/>
  <c r="G1455" i="10"/>
  <c r="G1449" i="10"/>
  <c r="G1450" i="10"/>
  <c r="H1445" i="10"/>
  <c r="H1446" i="10"/>
  <c r="H1447" i="10"/>
  <c r="H1444" i="10"/>
  <c r="H1452" i="10"/>
  <c r="H1448" i="10"/>
  <c r="H1451" i="10"/>
  <c r="H1455" i="10"/>
  <c r="H1449" i="10"/>
  <c r="H1450" i="10"/>
  <c r="C86" i="43"/>
  <c r="G86" i="43"/>
  <c r="H86" i="43"/>
  <c r="C85" i="43"/>
  <c r="G85" i="43"/>
  <c r="H85" i="43"/>
  <c r="C84" i="43"/>
  <c r="G84" i="43"/>
  <c r="H84" i="43"/>
  <c r="C83" i="43"/>
  <c r="G83" i="43"/>
  <c r="H83" i="43"/>
  <c r="C82" i="43"/>
  <c r="G82" i="43"/>
  <c r="H82" i="43"/>
  <c r="C81" i="43"/>
  <c r="G81" i="43"/>
  <c r="H81" i="43"/>
  <c r="C80" i="43"/>
  <c r="G80" i="43"/>
  <c r="H80" i="43"/>
  <c r="C79" i="43"/>
  <c r="G79" i="43"/>
  <c r="H79" i="43"/>
  <c r="C78" i="43"/>
  <c r="G78" i="43"/>
  <c r="H78" i="43"/>
  <c r="C77" i="43"/>
  <c r="G77" i="43"/>
  <c r="H77" i="43"/>
  <c r="C1441" i="10"/>
  <c r="C1442" i="10"/>
  <c r="C1443" i="10"/>
  <c r="C1439" i="10"/>
  <c r="C1440" i="10"/>
  <c r="G1440" i="10"/>
  <c r="H1440" i="10"/>
  <c r="G1439" i="10"/>
  <c r="H1439" i="10"/>
  <c r="G1443" i="10"/>
  <c r="H1443" i="10"/>
  <c r="C76" i="43"/>
  <c r="G76" i="43"/>
  <c r="H76" i="43"/>
  <c r="G1441" i="10"/>
  <c r="G1442" i="10"/>
  <c r="H1441" i="10"/>
  <c r="H1442" i="10"/>
  <c r="G75" i="43"/>
  <c r="H75" i="43"/>
  <c r="C75" i="43"/>
  <c r="G74" i="43"/>
  <c r="H74" i="43"/>
  <c r="C74" i="43"/>
  <c r="C1433" i="10"/>
  <c r="G1433" i="10"/>
  <c r="H1433" i="10"/>
  <c r="C1435" i="10"/>
  <c r="G1435" i="10"/>
  <c r="H1435" i="10"/>
  <c r="C1438" i="10"/>
  <c r="C1436" i="10"/>
  <c r="G1436" i="10"/>
  <c r="H1436" i="10"/>
  <c r="G1438" i="10"/>
  <c r="H1438" i="10"/>
  <c r="C2" i="43"/>
  <c r="C3" i="43"/>
  <c r="C4" i="43"/>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50" i="43"/>
  <c r="C51" i="43"/>
  <c r="C52" i="43"/>
  <c r="C53" i="43"/>
  <c r="C54" i="43"/>
  <c r="C55" i="43"/>
  <c r="C56" i="43"/>
  <c r="C57" i="43"/>
  <c r="C58" i="43"/>
  <c r="C59" i="43"/>
  <c r="C60" i="43"/>
  <c r="C61" i="43"/>
  <c r="C62" i="43"/>
  <c r="C63" i="43"/>
  <c r="C64" i="43"/>
  <c r="C65" i="43"/>
  <c r="C66" i="43"/>
  <c r="C67" i="43"/>
  <c r="C68" i="43"/>
  <c r="C69" i="43"/>
  <c r="C70" i="43"/>
  <c r="C71" i="43"/>
  <c r="C72" i="43"/>
  <c r="C73" i="43"/>
  <c r="G73" i="43"/>
  <c r="H73" i="43"/>
  <c r="G1437" i="10"/>
  <c r="H1437" i="10"/>
  <c r="C1437" i="10"/>
  <c r="C1434" i="10"/>
  <c r="C1432" i="10"/>
  <c r="C1431" i="10"/>
  <c r="G1431" i="10"/>
  <c r="H1431" i="10"/>
  <c r="G1432" i="10"/>
  <c r="H1432" i="10"/>
  <c r="G1434" i="10"/>
  <c r="H1434" i="10"/>
  <c r="C4" i="40"/>
  <c r="C3" i="40"/>
  <c r="D14" i="45"/>
  <c r="B12" i="45"/>
  <c r="C12" i="45"/>
  <c r="G1428" i="10"/>
  <c r="H1428" i="10"/>
  <c r="C1428" i="10"/>
  <c r="G1427" i="10"/>
  <c r="H1427" i="10"/>
  <c r="C1427" i="10"/>
  <c r="C1419" i="10"/>
  <c r="C1421" i="10"/>
  <c r="C1422" i="10"/>
  <c r="C1423" i="10"/>
  <c r="C1424" i="10"/>
  <c r="C1425" i="10"/>
  <c r="C1426" i="10"/>
  <c r="C1429" i="10"/>
  <c r="C1430" i="10"/>
  <c r="C1420" i="10"/>
  <c r="G1419" i="10"/>
  <c r="G1421" i="10"/>
  <c r="G1422" i="10"/>
  <c r="G1423" i="10"/>
  <c r="G1424" i="10"/>
  <c r="G1425" i="10"/>
  <c r="G1426" i="10"/>
  <c r="G1429" i="10"/>
  <c r="G1430" i="10"/>
  <c r="G1420" i="10"/>
  <c r="H1419" i="10"/>
  <c r="H1421" i="10"/>
  <c r="H1422" i="10"/>
  <c r="H1423" i="10"/>
  <c r="H1424" i="10"/>
  <c r="H1425" i="10"/>
  <c r="H1426" i="10"/>
  <c r="H1429" i="10"/>
  <c r="H1430" i="10"/>
  <c r="H1420" i="10"/>
  <c r="G72" i="43"/>
  <c r="H72" i="43"/>
  <c r="G71" i="43"/>
  <c r="H71" i="43"/>
  <c r="G70" i="43"/>
  <c r="H70" i="43"/>
  <c r="G69" i="43"/>
  <c r="H69" i="43"/>
  <c r="G68" i="43"/>
  <c r="H68" i="43"/>
  <c r="G67" i="43"/>
  <c r="H67" i="43"/>
  <c r="G66" i="43"/>
  <c r="H66" i="43"/>
  <c r="G65" i="43"/>
  <c r="H65" i="43"/>
  <c r="G64" i="43"/>
  <c r="H64" i="43"/>
  <c r="G63" i="43"/>
  <c r="H63" i="43"/>
  <c r="B11" i="45"/>
  <c r="C11" i="45"/>
  <c r="B10" i="45"/>
  <c r="C10" i="45"/>
  <c r="D9" i="45"/>
  <c r="C9" i="45" s="1"/>
  <c r="D8" i="45"/>
  <c r="C8" i="45" s="1"/>
  <c r="D7" i="45"/>
  <c r="C7" i="45" s="1"/>
  <c r="D6" i="45"/>
  <c r="C6" i="45" s="1"/>
  <c r="D5" i="45"/>
  <c r="C5" i="45" s="1"/>
  <c r="D4" i="45"/>
  <c r="B4" i="45" s="1"/>
  <c r="C3" i="45"/>
  <c r="B3" i="45"/>
  <c r="F16" i="44"/>
  <c r="D16" i="44"/>
  <c r="D7" i="44"/>
  <c r="B7" i="44" s="1"/>
  <c r="D6" i="44"/>
  <c r="C6" i="44" s="1"/>
  <c r="D5" i="44"/>
  <c r="C5" i="44" s="1"/>
  <c r="B8" i="44"/>
  <c r="C8" i="44"/>
  <c r="B9" i="44"/>
  <c r="C9" i="44"/>
  <c r="B10" i="44"/>
  <c r="C10" i="44"/>
  <c r="B11" i="44"/>
  <c r="C11" i="44"/>
  <c r="B12" i="44"/>
  <c r="C12" i="44"/>
  <c r="D11" i="44"/>
  <c r="D12" i="44"/>
  <c r="D9" i="44"/>
  <c r="D8" i="44"/>
  <c r="B6" i="44"/>
  <c r="C4" i="44"/>
  <c r="B4" i="44"/>
  <c r="C3" i="44"/>
  <c r="B3" i="44"/>
  <c r="C1415" i="10"/>
  <c r="C1416" i="10"/>
  <c r="C1417" i="10"/>
  <c r="C1418" i="10"/>
  <c r="G1415" i="10"/>
  <c r="G1416" i="10"/>
  <c r="G1417" i="10"/>
  <c r="G1418" i="10"/>
  <c r="H1415" i="10"/>
  <c r="H1416" i="10"/>
  <c r="H1417" i="10"/>
  <c r="H1418" i="10"/>
  <c r="G62" i="43"/>
  <c r="H62" i="43"/>
  <c r="G61" i="43"/>
  <c r="H61" i="43"/>
  <c r="G60" i="43"/>
  <c r="H60" i="43"/>
  <c r="G59" i="43"/>
  <c r="H59" i="43"/>
  <c r="C1413" i="10"/>
  <c r="C1414" i="10"/>
  <c r="G1414" i="10"/>
  <c r="H1414" i="10"/>
  <c r="G1413" i="10"/>
  <c r="H1413" i="10"/>
  <c r="C1409" i="10"/>
  <c r="C1410" i="10"/>
  <c r="C1411" i="10"/>
  <c r="C1412" i="10"/>
  <c r="G1412" i="10"/>
  <c r="H1412" i="10"/>
  <c r="G1409" i="10"/>
  <c r="G1410" i="10"/>
  <c r="G1411" i="10"/>
  <c r="H1409" i="10"/>
  <c r="H1410" i="10"/>
  <c r="H1411" i="10"/>
  <c r="G58" i="43"/>
  <c r="H58" i="43"/>
  <c r="G57" i="43"/>
  <c r="H57" i="43"/>
  <c r="G56" i="43"/>
  <c r="H56" i="43"/>
  <c r="C1407" i="10"/>
  <c r="C1408" i="10"/>
  <c r="G1407" i="10"/>
  <c r="G1408" i="10"/>
  <c r="H1407" i="10"/>
  <c r="H1408" i="10"/>
  <c r="G55" i="43"/>
  <c r="H55" i="43"/>
  <c r="G54" i="43"/>
  <c r="H54" i="43"/>
  <c r="C1400" i="10"/>
  <c r="C1401" i="10"/>
  <c r="C1402" i="10"/>
  <c r="C1403" i="10"/>
  <c r="C1404" i="10"/>
  <c r="C1405" i="10"/>
  <c r="C1406" i="10"/>
  <c r="C1399" i="10"/>
  <c r="G1399" i="10"/>
  <c r="G1400" i="10"/>
  <c r="G1401" i="10"/>
  <c r="G1402" i="10"/>
  <c r="G1403" i="10"/>
  <c r="G1404" i="10"/>
  <c r="G1405" i="10"/>
  <c r="G1406" i="10"/>
  <c r="H1399" i="10"/>
  <c r="H1400" i="10"/>
  <c r="H1401" i="10"/>
  <c r="H1402" i="10"/>
  <c r="H1403" i="10"/>
  <c r="H1404" i="10"/>
  <c r="H1405" i="10"/>
  <c r="H1406" i="10"/>
  <c r="G53" i="43"/>
  <c r="H53" i="43"/>
  <c r="G52" i="43"/>
  <c r="H52" i="43"/>
  <c r="G51" i="43"/>
  <c r="H51" i="43"/>
  <c r="G50" i="43"/>
  <c r="H50" i="43"/>
  <c r="G49" i="43"/>
  <c r="H49" i="43"/>
  <c r="G48" i="43"/>
  <c r="H48" i="43"/>
  <c r="G47" i="43"/>
  <c r="H47" i="43"/>
  <c r="G46" i="43"/>
  <c r="H46" i="43"/>
  <c r="B1397" i="10"/>
  <c r="G1397" i="10"/>
  <c r="H1397" i="10"/>
  <c r="C1383" i="10"/>
  <c r="C1393" i="10"/>
  <c r="C1394" i="10"/>
  <c r="C1395" i="10"/>
  <c r="C1392" i="10"/>
  <c r="C1398" i="10"/>
  <c r="C1396" i="10"/>
  <c r="G1393" i="10"/>
  <c r="G1394" i="10"/>
  <c r="G1395" i="10"/>
  <c r="G1392" i="10"/>
  <c r="G1398" i="10"/>
  <c r="G1396" i="10"/>
  <c r="H1393" i="10"/>
  <c r="H1394" i="10"/>
  <c r="H1395" i="10"/>
  <c r="H1392" i="10"/>
  <c r="H1398" i="10"/>
  <c r="H1396" i="10"/>
  <c r="G45" i="43"/>
  <c r="H45" i="43"/>
  <c r="G44" i="43"/>
  <c r="H44" i="43"/>
  <c r="G43" i="43"/>
  <c r="H43" i="43"/>
  <c r="G42" i="43"/>
  <c r="H42" i="43"/>
  <c r="G41" i="43"/>
  <c r="H41" i="43"/>
  <c r="G40" i="43"/>
  <c r="H40" i="43"/>
  <c r="G1383" i="10"/>
  <c r="H1383" i="10"/>
  <c r="C1389" i="10"/>
  <c r="C1384" i="10"/>
  <c r="C1385" i="10"/>
  <c r="C1386" i="10"/>
  <c r="C1387" i="10"/>
  <c r="C1388" i="10"/>
  <c r="C1390" i="10"/>
  <c r="C1391" i="10"/>
  <c r="G1389" i="10"/>
  <c r="G1384" i="10"/>
  <c r="G1385" i="10"/>
  <c r="G1386" i="10"/>
  <c r="G1387" i="10"/>
  <c r="G1388" i="10"/>
  <c r="G1390" i="10"/>
  <c r="G1391" i="10"/>
  <c r="H1389" i="10"/>
  <c r="H1384" i="10"/>
  <c r="H1385" i="10"/>
  <c r="H1386" i="10"/>
  <c r="H1387" i="10"/>
  <c r="H1388" i="10"/>
  <c r="H1390" i="10"/>
  <c r="H1391" i="10"/>
  <c r="G39" i="43"/>
  <c r="H39" i="43"/>
  <c r="G38" i="43"/>
  <c r="H38" i="43"/>
  <c r="G37" i="43"/>
  <c r="H37" i="43"/>
  <c r="G36" i="43"/>
  <c r="H36" i="43"/>
  <c r="G35" i="43"/>
  <c r="H35" i="43"/>
  <c r="G34" i="43"/>
  <c r="H34" i="43"/>
  <c r="G33" i="43"/>
  <c r="H33" i="43"/>
  <c r="G32" i="43"/>
  <c r="H32" i="43"/>
  <c r="C1348" i="10"/>
  <c r="G1348" i="10"/>
  <c r="H1348" i="10"/>
  <c r="G31" i="43"/>
  <c r="H31" i="43"/>
  <c r="C1373" i="10"/>
  <c r="C1382" i="10"/>
  <c r="C1380" i="10"/>
  <c r="C1381" i="10"/>
  <c r="C1378" i="10"/>
  <c r="C1379" i="10"/>
  <c r="G1382" i="10"/>
  <c r="G1380" i="10"/>
  <c r="G1381" i="10"/>
  <c r="G1378" i="10"/>
  <c r="G1379" i="10"/>
  <c r="H1382" i="10"/>
  <c r="H1380" i="10"/>
  <c r="H1381" i="10"/>
  <c r="H1378" i="10"/>
  <c r="H1379" i="10"/>
  <c r="G30" i="43"/>
  <c r="H30" i="43"/>
  <c r="G29" i="43"/>
  <c r="H29" i="43"/>
  <c r="G28" i="43"/>
  <c r="H28" i="43"/>
  <c r="G27" i="43"/>
  <c r="H27" i="43"/>
  <c r="G26" i="43"/>
  <c r="H26" i="43"/>
  <c r="G1373" i="10"/>
  <c r="H1373" i="10"/>
  <c r="C1369" i="10"/>
  <c r="G1369" i="10"/>
  <c r="H1369" i="10"/>
  <c r="C1372" i="10"/>
  <c r="C1374" i="10"/>
  <c r="C1375" i="10"/>
  <c r="C1376" i="10"/>
  <c r="C1377" i="10"/>
  <c r="C1360" i="10"/>
  <c r="C1361" i="10"/>
  <c r="G1361" i="10"/>
  <c r="H1361" i="10"/>
  <c r="G1360" i="10"/>
  <c r="H1360" i="10"/>
  <c r="G1372" i="10"/>
  <c r="G1374" i="10"/>
  <c r="G1375" i="10"/>
  <c r="G1376" i="10"/>
  <c r="G1377" i="10"/>
  <c r="H1372" i="10"/>
  <c r="H1374" i="10"/>
  <c r="H1375" i="10"/>
  <c r="H1376" i="10"/>
  <c r="H1377" i="10"/>
  <c r="G25" i="43"/>
  <c r="H25" i="43"/>
  <c r="G24" i="43"/>
  <c r="H24" i="43"/>
  <c r="G23" i="43"/>
  <c r="H23" i="43"/>
  <c r="G22" i="43"/>
  <c r="H22" i="43"/>
  <c r="G21" i="43"/>
  <c r="H21" i="43"/>
  <c r="EY26" i="18"/>
  <c r="EY25" i="18"/>
  <c r="EY24" i="18"/>
  <c r="EY5" i="18"/>
  <c r="EY4" i="18"/>
  <c r="C1367" i="10"/>
  <c r="C1368" i="10"/>
  <c r="C1370" i="10"/>
  <c r="C1371" i="10"/>
  <c r="G1370" i="10"/>
  <c r="G1371" i="10"/>
  <c r="H1370" i="10"/>
  <c r="H1371" i="10"/>
  <c r="G1368" i="10"/>
  <c r="H1368" i="10"/>
  <c r="G1367" i="10"/>
  <c r="H1367" i="10"/>
  <c r="C1365" i="10"/>
  <c r="C1366" i="10"/>
  <c r="C1356" i="10"/>
  <c r="G1356" i="10"/>
  <c r="H1356" i="10"/>
  <c r="G1310" i="10"/>
  <c r="H1310" i="10"/>
  <c r="G1366" i="10"/>
  <c r="H1366" i="10"/>
  <c r="G1365" i="10"/>
  <c r="H1365" i="10"/>
  <c r="G20" i="43"/>
  <c r="H20" i="43"/>
  <c r="G1355" i="10"/>
  <c r="H1355" i="10"/>
  <c r="C1355" i="10"/>
  <c r="C1358" i="10"/>
  <c r="C1359" i="10"/>
  <c r="C1357" i="10"/>
  <c r="C1362" i="10"/>
  <c r="C1363" i="10"/>
  <c r="C1364" i="10"/>
  <c r="G17" i="43"/>
  <c r="G18" i="43"/>
  <c r="G19" i="43"/>
  <c r="H17" i="43"/>
  <c r="H18" i="43"/>
  <c r="H19" i="43"/>
  <c r="G1364" i="10"/>
  <c r="H1364" i="10"/>
  <c r="G1363" i="10"/>
  <c r="H1363" i="10"/>
  <c r="G1362" i="10"/>
  <c r="H1362" i="10"/>
  <c r="G1358" i="10"/>
  <c r="G1359" i="10"/>
  <c r="G1357" i="10"/>
  <c r="H1358" i="10"/>
  <c r="H1359" i="10"/>
  <c r="H1357" i="10"/>
  <c r="G16" i="43"/>
  <c r="H16" i="43"/>
  <c r="G15" i="43"/>
  <c r="H15" i="43"/>
  <c r="G14" i="43"/>
  <c r="H14" i="43"/>
  <c r="C1349" i="10"/>
  <c r="C1350" i="10"/>
  <c r="C1351" i="10"/>
  <c r="C1352" i="10"/>
  <c r="C1353" i="10"/>
  <c r="C1354" i="10"/>
  <c r="G1354" i="10"/>
  <c r="H1354" i="10"/>
  <c r="G1349" i="10"/>
  <c r="G1350" i="10"/>
  <c r="G1351" i="10"/>
  <c r="G1352" i="10"/>
  <c r="G1353" i="10"/>
  <c r="H1349" i="10"/>
  <c r="H1350" i="10"/>
  <c r="H1351" i="10"/>
  <c r="H1352" i="10"/>
  <c r="H1353" i="10"/>
  <c r="G13" i="43"/>
  <c r="H13" i="43"/>
  <c r="G12" i="43"/>
  <c r="H12" i="43"/>
  <c r="G11" i="43"/>
  <c r="H11" i="43"/>
  <c r="G10" i="43"/>
  <c r="H10" i="43"/>
  <c r="G9" i="43"/>
  <c r="H9" i="43"/>
  <c r="C1347" i="10"/>
  <c r="G1347" i="10"/>
  <c r="H1347" i="10"/>
  <c r="C1345" i="10"/>
  <c r="C1346" i="10"/>
  <c r="G1346" i="10"/>
  <c r="H1346" i="10"/>
  <c r="G1345" i="10"/>
  <c r="H1345" i="10"/>
  <c r="C1339" i="10"/>
  <c r="C1340" i="10"/>
  <c r="C1341" i="10"/>
  <c r="C1342" i="10"/>
  <c r="C1343" i="10"/>
  <c r="C1344" i="10"/>
  <c r="G1344" i="10"/>
  <c r="H1344" i="10"/>
  <c r="G1343" i="10"/>
  <c r="H1343" i="10"/>
  <c r="G1342" i="10"/>
  <c r="H1342" i="10"/>
  <c r="G1341" i="10"/>
  <c r="H1341" i="10"/>
  <c r="G1340" i="10"/>
  <c r="H1340" i="10"/>
  <c r="G1339" i="10"/>
  <c r="H1339" i="10"/>
  <c r="C1337" i="10"/>
  <c r="C1338" i="10"/>
  <c r="G1337" i="10"/>
  <c r="G1338" i="10"/>
  <c r="H1337" i="10"/>
  <c r="H1338" i="10"/>
  <c r="G8" i="43"/>
  <c r="H8" i="43"/>
  <c r="G7" i="43"/>
  <c r="H7" i="43"/>
  <c r="C1333" i="10"/>
  <c r="G1333" i="10"/>
  <c r="H1333" i="10"/>
  <c r="C1334" i="10"/>
  <c r="C1335" i="10"/>
  <c r="C1336" i="10"/>
  <c r="C1329" i="10"/>
  <c r="C1330" i="10"/>
  <c r="C1331" i="10"/>
  <c r="C1332" i="10"/>
  <c r="G1332" i="10"/>
  <c r="H1332" i="10"/>
  <c r="G1331" i="10"/>
  <c r="H1331" i="10"/>
  <c r="G1330" i="10"/>
  <c r="H1330" i="10"/>
  <c r="G1329" i="10"/>
  <c r="H1329" i="10"/>
  <c r="G1336" i="10"/>
  <c r="H1336" i="10"/>
  <c r="G1335" i="10"/>
  <c r="H1335" i="10"/>
  <c r="G1334" i="10"/>
  <c r="H1334" i="10"/>
  <c r="C1326" i="10"/>
  <c r="G1326" i="10"/>
  <c r="H1326" i="10"/>
  <c r="C1323" i="10"/>
  <c r="C1324" i="10"/>
  <c r="C1325" i="10"/>
  <c r="C1327" i="10"/>
  <c r="C1328" i="10"/>
  <c r="G1323" i="10"/>
  <c r="G1324" i="10"/>
  <c r="G1325" i="10"/>
  <c r="G1327" i="10"/>
  <c r="G1328" i="10"/>
  <c r="H1323" i="10"/>
  <c r="H1324" i="10"/>
  <c r="H1325" i="10"/>
  <c r="H1327" i="10"/>
  <c r="H1328" i="10"/>
  <c r="G6" i="43"/>
  <c r="H6" i="43"/>
  <c r="G3" i="43"/>
  <c r="H3" i="43"/>
  <c r="G4" i="43"/>
  <c r="H4" i="43"/>
  <c r="G5" i="43"/>
  <c r="H5" i="43"/>
  <c r="H2" i="43"/>
  <c r="G2" i="43"/>
  <c r="C1321" i="10"/>
  <c r="C1322" i="10"/>
  <c r="C1316" i="10"/>
  <c r="G1316" i="10"/>
  <c r="H1316" i="10"/>
  <c r="G1322" i="10"/>
  <c r="H1322" i="10"/>
  <c r="G1321" i="10"/>
  <c r="H1321" i="10"/>
  <c r="C1317" i="10"/>
  <c r="C1318" i="10"/>
  <c r="C1320" i="10"/>
  <c r="C1309" i="10"/>
  <c r="C1311" i="10"/>
  <c r="C1312" i="10"/>
  <c r="C1313" i="10"/>
  <c r="C1314" i="10"/>
  <c r="C1315" i="10"/>
  <c r="C1319" i="10"/>
  <c r="G1319" i="10"/>
  <c r="H1319" i="10"/>
  <c r="G1315" i="10"/>
  <c r="H1315" i="10"/>
  <c r="G1314" i="10"/>
  <c r="H1314" i="10"/>
  <c r="G1313" i="10"/>
  <c r="H1313" i="10"/>
  <c r="G1312" i="10"/>
  <c r="H1312" i="10"/>
  <c r="G1311" i="10"/>
  <c r="H1311" i="10"/>
  <c r="G1309" i="10"/>
  <c r="H1309" i="10"/>
  <c r="G1320" i="10"/>
  <c r="H1320" i="10"/>
  <c r="G1318" i="10"/>
  <c r="H1318" i="10"/>
  <c r="G1317" i="10"/>
  <c r="H1317" i="10"/>
  <c r="C1304" i="10"/>
  <c r="C1307" i="10"/>
  <c r="C1305" i="10"/>
  <c r="C1306" i="10"/>
  <c r="C1308" i="10"/>
  <c r="C1302" i="10"/>
  <c r="C1303" i="10"/>
  <c r="C1301" i="10"/>
  <c r="C1300" i="10"/>
  <c r="G1300" i="10"/>
  <c r="H1300" i="10"/>
  <c r="G1301" i="10"/>
  <c r="H1301" i="10"/>
  <c r="G1303" i="10"/>
  <c r="H1303" i="10"/>
  <c r="G1302" i="10"/>
  <c r="H1302" i="10"/>
  <c r="G1308" i="10"/>
  <c r="H1308" i="10"/>
  <c r="G1306" i="10"/>
  <c r="H1306" i="10"/>
  <c r="G1305" i="10"/>
  <c r="H1305" i="10"/>
  <c r="G1307" i="10"/>
  <c r="H1307" i="10"/>
  <c r="G1304" i="10"/>
  <c r="H1304" i="10"/>
  <c r="C1287" i="10"/>
  <c r="C1296" i="10"/>
  <c r="C1297" i="10"/>
  <c r="C1298" i="10"/>
  <c r="C1299" i="10"/>
  <c r="G1299" i="10"/>
  <c r="H1299" i="10"/>
  <c r="G1298" i="10"/>
  <c r="H1298" i="10"/>
  <c r="G1297" i="10"/>
  <c r="H1297" i="10"/>
  <c r="G1296" i="10"/>
  <c r="H1296" i="10"/>
  <c r="ET26" i="18"/>
  <c r="ET5" i="18"/>
  <c r="ET4" i="18"/>
  <c r="ET25" i="18" s="1"/>
  <c r="G1287" i="10"/>
  <c r="H1287" i="10"/>
  <c r="C1281" i="10"/>
  <c r="G1281" i="10"/>
  <c r="H1281" i="10"/>
  <c r="C1291" i="10"/>
  <c r="C1292" i="10"/>
  <c r="G1292" i="10"/>
  <c r="H1292" i="10"/>
  <c r="G1291" i="10"/>
  <c r="H1291" i="10"/>
  <c r="C1293" i="10"/>
  <c r="C1294" i="10"/>
  <c r="C1295" i="10"/>
  <c r="C1288" i="10"/>
  <c r="C1289" i="10"/>
  <c r="C1290" i="10"/>
  <c r="G1290" i="10"/>
  <c r="H1290" i="10"/>
  <c r="G1289" i="10"/>
  <c r="H1289" i="10"/>
  <c r="G1288" i="10"/>
  <c r="H1288" i="10"/>
  <c r="G1295" i="10"/>
  <c r="H1295" i="10"/>
  <c r="G1294" i="10"/>
  <c r="H1294" i="10"/>
  <c r="G1293" i="10"/>
  <c r="H1293" i="10"/>
  <c r="C1282" i="10"/>
  <c r="C1283" i="10"/>
  <c r="C1284" i="10"/>
  <c r="C1285" i="10"/>
  <c r="C1286" i="10"/>
  <c r="G1286" i="10"/>
  <c r="H1286" i="10"/>
  <c r="G1285" i="10"/>
  <c r="H1285" i="10"/>
  <c r="G1284" i="10"/>
  <c r="H1284" i="10"/>
  <c r="G1283" i="10"/>
  <c r="H1283" i="10"/>
  <c r="G1282" i="10"/>
  <c r="H1282" i="10"/>
  <c r="C1274" i="10"/>
  <c r="C1275" i="10"/>
  <c r="C1276" i="10"/>
  <c r="C1277" i="10"/>
  <c r="C1278" i="10"/>
  <c r="C1279" i="10"/>
  <c r="C1280" i="10"/>
  <c r="G1280" i="10"/>
  <c r="H1280" i="10"/>
  <c r="G1279" i="10"/>
  <c r="H1279" i="10"/>
  <c r="G1278" i="10"/>
  <c r="H1278" i="10"/>
  <c r="G1277" i="10"/>
  <c r="H1277" i="10"/>
  <c r="G1276" i="10"/>
  <c r="H1276" i="10"/>
  <c r="G1275" i="10"/>
  <c r="H1275" i="10"/>
  <c r="G1274" i="10"/>
  <c r="H1274" i="10"/>
  <c r="C1267" i="10"/>
  <c r="C1268" i="10"/>
  <c r="C1269" i="10"/>
  <c r="C1270" i="10"/>
  <c r="C1271" i="10"/>
  <c r="C1272" i="10"/>
  <c r="C1273" i="10"/>
  <c r="G1273" i="10"/>
  <c r="H1273" i="10"/>
  <c r="G1272" i="10"/>
  <c r="H1272" i="10"/>
  <c r="G1271" i="10"/>
  <c r="H1271" i="10"/>
  <c r="G1270" i="10"/>
  <c r="H1270" i="10"/>
  <c r="G1269" i="10"/>
  <c r="H1269" i="10"/>
  <c r="G1268" i="10"/>
  <c r="H1268" i="10"/>
  <c r="G1267" i="10"/>
  <c r="H1267" i="10"/>
  <c r="G1265" i="10"/>
  <c r="H1265" i="10"/>
  <c r="C1265" i="10"/>
  <c r="C1264" i="10"/>
  <c r="G1264" i="10"/>
  <c r="H1264" i="10"/>
  <c r="C1263" i="10"/>
  <c r="G1263" i="10"/>
  <c r="H1263" i="10"/>
  <c r="C1261" i="10"/>
  <c r="C1262" i="10"/>
  <c r="G1262" i="10"/>
  <c r="H1262" i="10"/>
  <c r="G1261" i="10"/>
  <c r="H1261" i="10"/>
  <c r="C1260" i="10"/>
  <c r="C1266" i="10"/>
  <c r="G1266" i="10"/>
  <c r="H1266" i="10"/>
  <c r="G1260" i="10"/>
  <c r="H1260" i="10"/>
  <c r="G1259" i="10"/>
  <c r="H1259" i="10"/>
  <c r="C1259" i="10"/>
  <c r="C1258" i="10"/>
  <c r="G1258" i="10"/>
  <c r="H1258" i="10"/>
  <c r="G1244" i="10"/>
  <c r="H1244" i="10"/>
  <c r="B1244" i="10"/>
  <c r="C1257" i="10"/>
  <c r="C1255" i="10"/>
  <c r="C1256" i="10"/>
  <c r="G1256" i="10"/>
  <c r="H1256" i="10"/>
  <c r="G1255" i="10"/>
  <c r="H1255" i="10"/>
  <c r="G1257" i="10"/>
  <c r="H1257" i="10"/>
  <c r="C1246" i="10"/>
  <c r="G1246" i="10"/>
  <c r="H1246" i="10"/>
  <c r="C1247" i="10"/>
  <c r="C1248" i="10"/>
  <c r="C1249" i="10"/>
  <c r="C1250" i="10"/>
  <c r="C1251" i="10"/>
  <c r="C1252" i="10"/>
  <c r="C1253" i="10"/>
  <c r="C1254" i="10"/>
  <c r="G1254" i="10"/>
  <c r="H1254" i="10"/>
  <c r="G1253" i="10"/>
  <c r="H1253" i="10"/>
  <c r="G1252" i="10"/>
  <c r="H1252" i="10"/>
  <c r="G1251" i="10"/>
  <c r="H1251" i="10"/>
  <c r="G1250" i="10"/>
  <c r="H1250" i="10"/>
  <c r="G1249" i="10"/>
  <c r="H1249" i="10"/>
  <c r="G1248" i="10"/>
  <c r="H1248" i="10"/>
  <c r="G1247" i="10"/>
  <c r="H1247" i="10"/>
  <c r="C1240" i="10"/>
  <c r="C1241" i="10"/>
  <c r="C1242" i="10"/>
  <c r="C1243" i="10"/>
  <c r="G1243" i="10"/>
  <c r="H1243" i="10"/>
  <c r="G1242" i="10"/>
  <c r="H1242" i="10"/>
  <c r="G1241" i="10"/>
  <c r="H1241" i="10"/>
  <c r="G1240" i="10"/>
  <c r="H1240" i="10"/>
  <c r="G1245" i="10"/>
  <c r="H1245" i="10"/>
  <c r="C1245" i="10"/>
  <c r="C1237" i="10"/>
  <c r="G1237" i="10"/>
  <c r="H1237" i="10"/>
  <c r="C1239" i="10"/>
  <c r="C1238" i="10"/>
  <c r="G1238" i="10"/>
  <c r="H1238" i="10"/>
  <c r="G1239" i="10"/>
  <c r="H1239" i="10"/>
  <c r="C1234" i="10"/>
  <c r="G1234" i="10"/>
  <c r="H1234" i="10"/>
  <c r="G1184" i="10"/>
  <c r="H1184" i="10"/>
  <c r="B1184" i="10"/>
  <c r="B1236" i="10"/>
  <c r="C1233" i="10"/>
  <c r="C1235" i="10"/>
  <c r="G1236" i="10"/>
  <c r="H1236" i="10"/>
  <c r="G1235" i="10"/>
  <c r="H1235" i="10"/>
  <c r="G1233" i="10"/>
  <c r="H1233" i="10"/>
  <c r="C1231" i="10"/>
  <c r="G1231" i="10"/>
  <c r="H1231" i="10"/>
  <c r="C1176" i="10"/>
  <c r="G1176" i="10"/>
  <c r="H1176" i="10"/>
  <c r="EO27" i="18"/>
  <c r="EO28" i="18" s="1"/>
  <c r="EO26" i="18"/>
  <c r="EO5" i="18"/>
  <c r="EO4" i="18"/>
  <c r="C1230" i="10"/>
  <c r="C1200" i="10"/>
  <c r="C1201" i="10"/>
  <c r="C1202" i="10"/>
  <c r="C1203" i="10"/>
  <c r="C1204" i="10"/>
  <c r="C1205" i="10"/>
  <c r="C1220" i="10"/>
  <c r="C1221" i="10"/>
  <c r="C1222" i="10"/>
  <c r="C1223" i="10"/>
  <c r="C1224" i="10"/>
  <c r="C1225" i="10"/>
  <c r="C1226" i="10"/>
  <c r="C1227" i="10"/>
  <c r="C1216" i="10"/>
  <c r="C1217" i="10"/>
  <c r="C1218" i="10"/>
  <c r="C1219" i="10"/>
  <c r="C1206" i="10"/>
  <c r="C1207" i="10"/>
  <c r="C1208" i="10"/>
  <c r="C1209" i="10"/>
  <c r="C1210" i="10"/>
  <c r="C1211" i="10"/>
  <c r="C1212" i="10"/>
  <c r="C1213" i="10"/>
  <c r="C1214" i="10"/>
  <c r="C1215" i="10"/>
  <c r="C1228" i="10"/>
  <c r="C1197" i="10"/>
  <c r="C1198" i="10"/>
  <c r="C1232" i="10"/>
  <c r="G1232" i="10"/>
  <c r="H1232" i="10"/>
  <c r="G1230" i="10"/>
  <c r="H1230" i="10"/>
  <c r="G926" i="10"/>
  <c r="H926" i="10"/>
  <c r="C926" i="10"/>
  <c r="G1094" i="10"/>
  <c r="H1094" i="10"/>
  <c r="C1094" i="10"/>
  <c r="G1229" i="10"/>
  <c r="H1229" i="10"/>
  <c r="C1229" i="10"/>
  <c r="G1198" i="10"/>
  <c r="H1198" i="10"/>
  <c r="G1197" i="10"/>
  <c r="H1197" i="10"/>
  <c r="G1228" i="10"/>
  <c r="H1228" i="10"/>
  <c r="G1215" i="10"/>
  <c r="H1215" i="10"/>
  <c r="G1214" i="10"/>
  <c r="H1214" i="10"/>
  <c r="G1213" i="10"/>
  <c r="H1213" i="10"/>
  <c r="G1212" i="10"/>
  <c r="H1212" i="10"/>
  <c r="G1211" i="10"/>
  <c r="H1211" i="10"/>
  <c r="G1210" i="10"/>
  <c r="H1210" i="10"/>
  <c r="G1209" i="10"/>
  <c r="H1209" i="10"/>
  <c r="G1208" i="10"/>
  <c r="H1208" i="10"/>
  <c r="G1207" i="10"/>
  <c r="H1207" i="10"/>
  <c r="G1206" i="10"/>
  <c r="H1206" i="10"/>
  <c r="G1219" i="10"/>
  <c r="H1219" i="10"/>
  <c r="G1218" i="10"/>
  <c r="H1218" i="10"/>
  <c r="G1217" i="10"/>
  <c r="H1217" i="10"/>
  <c r="G1216" i="10"/>
  <c r="H1216" i="10"/>
  <c r="G1227" i="10"/>
  <c r="H1227" i="10"/>
  <c r="G1226" i="10"/>
  <c r="H1226" i="10"/>
  <c r="G1225" i="10"/>
  <c r="H1225" i="10"/>
  <c r="G1224" i="10"/>
  <c r="H1224" i="10"/>
  <c r="G1223" i="10"/>
  <c r="H1223" i="10"/>
  <c r="G1222" i="10"/>
  <c r="H1222" i="10"/>
  <c r="G1221" i="10"/>
  <c r="H1221" i="10"/>
  <c r="G1220" i="10"/>
  <c r="H1220" i="10"/>
  <c r="G1205" i="10"/>
  <c r="H1205" i="10"/>
  <c r="G1204" i="10"/>
  <c r="H1204" i="10"/>
  <c r="G1203" i="10"/>
  <c r="H1203" i="10"/>
  <c r="G1202" i="10"/>
  <c r="H1202" i="10"/>
  <c r="G1201" i="10"/>
  <c r="H1201" i="10"/>
  <c r="G1200" i="10"/>
  <c r="H1200" i="10"/>
  <c r="G3" i="10"/>
  <c r="G2" i="10"/>
  <c r="G1196" i="10"/>
  <c r="H1196" i="10"/>
  <c r="C1196" i="10"/>
  <c r="G1093" i="10"/>
  <c r="H1093" i="10"/>
  <c r="C1093" i="10"/>
  <c r="G1092" i="10"/>
  <c r="G1195" i="10"/>
  <c r="H1092" i="10"/>
  <c r="H1195" i="10"/>
  <c r="C1195" i="10"/>
  <c r="C1092" i="10"/>
  <c r="C1185" i="10"/>
  <c r="C1186" i="10"/>
  <c r="C1187" i="10"/>
  <c r="C1188" i="10"/>
  <c r="C1189" i="10"/>
  <c r="C1190" i="10"/>
  <c r="C1191" i="10"/>
  <c r="C1192" i="10"/>
  <c r="C1193" i="10"/>
  <c r="C1194" i="10"/>
  <c r="G1194" i="10"/>
  <c r="H1194" i="10"/>
  <c r="G1193" i="10"/>
  <c r="H1193" i="10"/>
  <c r="G1192" i="10"/>
  <c r="H1192" i="10"/>
  <c r="G1191" i="10"/>
  <c r="H1191" i="10"/>
  <c r="G1190" i="10"/>
  <c r="H1190" i="10"/>
  <c r="G1189" i="10"/>
  <c r="H1189" i="10"/>
  <c r="G1188" i="10"/>
  <c r="H1188" i="10"/>
  <c r="G1187" i="10"/>
  <c r="H1187" i="10"/>
  <c r="G1186" i="10"/>
  <c r="H1186" i="10"/>
  <c r="G1185" i="10"/>
  <c r="H1185" i="10"/>
  <c r="C1177" i="10"/>
  <c r="C1178" i="10"/>
  <c r="C1179" i="10"/>
  <c r="C1180" i="10"/>
  <c r="C1181" i="10"/>
  <c r="C1182" i="10"/>
  <c r="C1183" i="10"/>
  <c r="C1175" i="10"/>
  <c r="G1175" i="10"/>
  <c r="H1175" i="10"/>
  <c r="G1183" i="10"/>
  <c r="H1183" i="10"/>
  <c r="G1182" i="10"/>
  <c r="H1182" i="10"/>
  <c r="G1181" i="10"/>
  <c r="H1181" i="10"/>
  <c r="B1180" i="10"/>
  <c r="G1180" i="10"/>
  <c r="H1180" i="10"/>
  <c r="G1179" i="10"/>
  <c r="H1179" i="10"/>
  <c r="G1178" i="10"/>
  <c r="H1178" i="10"/>
  <c r="G1177" i="10"/>
  <c r="H1177" i="10"/>
  <c r="C1160" i="10"/>
  <c r="C1161" i="10"/>
  <c r="C1162" i="10"/>
  <c r="C1163" i="10"/>
  <c r="C1164" i="10"/>
  <c r="C1165" i="10"/>
  <c r="C1166" i="10"/>
  <c r="C1167" i="10"/>
  <c r="C1168" i="10"/>
  <c r="C1169" i="10"/>
  <c r="C1170" i="10"/>
  <c r="C1171" i="10"/>
  <c r="C1174" i="10"/>
  <c r="C1172" i="10"/>
  <c r="C1173" i="10"/>
  <c r="G1173" i="10"/>
  <c r="H1173" i="10"/>
  <c r="G1172" i="10"/>
  <c r="H1172" i="10"/>
  <c r="G1174" i="10"/>
  <c r="H1174" i="10"/>
  <c r="G1171" i="10"/>
  <c r="H1171" i="10"/>
  <c r="G1170" i="10"/>
  <c r="H1170" i="10"/>
  <c r="G1169" i="10"/>
  <c r="H1169" i="10"/>
  <c r="G1168" i="10"/>
  <c r="H1168" i="10"/>
  <c r="G1167" i="10"/>
  <c r="H1167" i="10"/>
  <c r="G1166" i="10"/>
  <c r="H1166" i="10"/>
  <c r="G1165" i="10"/>
  <c r="H1165" i="10"/>
  <c r="G1164" i="10"/>
  <c r="H1164" i="10"/>
  <c r="G1163" i="10"/>
  <c r="H1163" i="10"/>
  <c r="G1162" i="10"/>
  <c r="H1162" i="10"/>
  <c r="G1161" i="10"/>
  <c r="H1161" i="10"/>
  <c r="G1160" i="10"/>
  <c r="H1160" i="10"/>
  <c r="EJ5" i="18"/>
  <c r="EJ4" i="18"/>
  <c r="EJ23" i="18" s="1"/>
  <c r="EJ25" i="18" s="1"/>
  <c r="C1159" i="10"/>
  <c r="G1159" i="10"/>
  <c r="H1159" i="10"/>
  <c r="C1148" i="10"/>
  <c r="C1149" i="10"/>
  <c r="G1149" i="10"/>
  <c r="H1149" i="10"/>
  <c r="G1148" i="10"/>
  <c r="H1148" i="10"/>
  <c r="C1150" i="10"/>
  <c r="C1151" i="10"/>
  <c r="C1152" i="10"/>
  <c r="C1153" i="10"/>
  <c r="C1154" i="10"/>
  <c r="B1158" i="10"/>
  <c r="C1158" i="10" s="1"/>
  <c r="B1157" i="10"/>
  <c r="C1157" i="10" s="1"/>
  <c r="B1156" i="10"/>
  <c r="C1156" i="10" s="1"/>
  <c r="B1155" i="10"/>
  <c r="C1155" i="10" s="1"/>
  <c r="G1158" i="10"/>
  <c r="H1158" i="10"/>
  <c r="G1157" i="10"/>
  <c r="H1157" i="10"/>
  <c r="G1156" i="10"/>
  <c r="H1156" i="10"/>
  <c r="G1155" i="10"/>
  <c r="H1155" i="10"/>
  <c r="G1154" i="10"/>
  <c r="H1154" i="10"/>
  <c r="G1153" i="10"/>
  <c r="H1153" i="10"/>
  <c r="G1152" i="10"/>
  <c r="H1152" i="10"/>
  <c r="G1151" i="10"/>
  <c r="H1151" i="10"/>
  <c r="G1150" i="10"/>
  <c r="H1150" i="10"/>
  <c r="C1145" i="10"/>
  <c r="C1144" i="10"/>
  <c r="C1146" i="10"/>
  <c r="C1147" i="10"/>
  <c r="G1147" i="10"/>
  <c r="H1147" i="10"/>
  <c r="G1146" i="10"/>
  <c r="H1146" i="10"/>
  <c r="G1144" i="10"/>
  <c r="H1144" i="10"/>
  <c r="G1145" i="10"/>
  <c r="H1145" i="10"/>
  <c r="G1115" i="10"/>
  <c r="H1115" i="10"/>
  <c r="C1115" i="10"/>
  <c r="G1124" i="10"/>
  <c r="H1124" i="10"/>
  <c r="C1124" i="10"/>
  <c r="C1137" i="10"/>
  <c r="C1138" i="10"/>
  <c r="C1139" i="10"/>
  <c r="C1140" i="10"/>
  <c r="C1141" i="10"/>
  <c r="C1142" i="10"/>
  <c r="C1143" i="10"/>
  <c r="G1143" i="10"/>
  <c r="H1143" i="10"/>
  <c r="G1139" i="10"/>
  <c r="G1140" i="10"/>
  <c r="G1141" i="10"/>
  <c r="G1142" i="10"/>
  <c r="H1139" i="10"/>
  <c r="H1140" i="10"/>
  <c r="H1141" i="10"/>
  <c r="H1142" i="10"/>
  <c r="G1138" i="10"/>
  <c r="H1138" i="10"/>
  <c r="G1137" i="10"/>
  <c r="H1137" i="10"/>
  <c r="C1128" i="10"/>
  <c r="C1129" i="10"/>
  <c r="C1130" i="10"/>
  <c r="C1131" i="10"/>
  <c r="C1132" i="10"/>
  <c r="C1133" i="10"/>
  <c r="C1134" i="10"/>
  <c r="C1135" i="10"/>
  <c r="C1136" i="10"/>
  <c r="G1136" i="10"/>
  <c r="H1136" i="10"/>
  <c r="G1133" i="10"/>
  <c r="G1134" i="10"/>
  <c r="G1135" i="10"/>
  <c r="H1133" i="10"/>
  <c r="H1134" i="10"/>
  <c r="H1135" i="10"/>
  <c r="G1132" i="10"/>
  <c r="H1132" i="10"/>
  <c r="G1131" i="10"/>
  <c r="H1131" i="10"/>
  <c r="G1130" i="10"/>
  <c r="H1130" i="10"/>
  <c r="G1129" i="10"/>
  <c r="H1129" i="10"/>
  <c r="G1128" i="10"/>
  <c r="H1128" i="10"/>
  <c r="C1123" i="10"/>
  <c r="G1123" i="10"/>
  <c r="H1123" i="10"/>
  <c r="C1199" i="10"/>
  <c r="G1199" i="10"/>
  <c r="H1199" i="10"/>
  <c r="C1125" i="10"/>
  <c r="C1126" i="10"/>
  <c r="C1127" i="10"/>
  <c r="G1127" i="10"/>
  <c r="H1127" i="10"/>
  <c r="G1126" i="10"/>
  <c r="H1126" i="10"/>
  <c r="G1125" i="10"/>
  <c r="H1125" i="10"/>
  <c r="C1116" i="10"/>
  <c r="C1117" i="10"/>
  <c r="C1118" i="10"/>
  <c r="C1119" i="10"/>
  <c r="C1120" i="10"/>
  <c r="C1121" i="10"/>
  <c r="C1122" i="10"/>
  <c r="G1122" i="10"/>
  <c r="H1122" i="10"/>
  <c r="G1121" i="10"/>
  <c r="H1121" i="10"/>
  <c r="G1120" i="10"/>
  <c r="H1120" i="10"/>
  <c r="G1119" i="10"/>
  <c r="H1119" i="10"/>
  <c r="G1118" i="10"/>
  <c r="H1118" i="10"/>
  <c r="G1117" i="10"/>
  <c r="H1117" i="10"/>
  <c r="G1116" i="10"/>
  <c r="H1116" i="10"/>
  <c r="C1113" i="10"/>
  <c r="C1114" i="10"/>
  <c r="G1114" i="10"/>
  <c r="H1114" i="10"/>
  <c r="G1113" i="10"/>
  <c r="H1113" i="10"/>
  <c r="FD24" i="18" l="1"/>
  <c r="C23" i="40"/>
  <c r="B8" i="45"/>
  <c r="B7" i="45"/>
  <c r="C4" i="45"/>
  <c r="B6" i="45"/>
  <c r="B9" i="45"/>
  <c r="B5" i="45"/>
  <c r="B5" i="44"/>
  <c r="C7" i="44"/>
  <c r="ET27" i="18"/>
  <c r="C1099" i="10"/>
  <c r="G1099" i="10"/>
  <c r="H1099" i="10"/>
  <c r="C1106" i="10"/>
  <c r="C1107" i="10"/>
  <c r="C1108" i="10"/>
  <c r="C1109" i="10"/>
  <c r="C1110" i="10"/>
  <c r="C1111" i="10"/>
  <c r="C1112" i="10"/>
  <c r="G1112" i="10"/>
  <c r="H1112" i="10"/>
  <c r="G1111" i="10"/>
  <c r="H1111" i="10"/>
  <c r="G1110" i="10"/>
  <c r="H1110" i="10"/>
  <c r="C25" i="40" l="1"/>
  <c r="D7" i="40" s="1"/>
  <c r="D5" i="40"/>
  <c r="D6" i="40"/>
  <c r="D18" i="40"/>
  <c r="D21" i="40"/>
  <c r="D9" i="40"/>
  <c r="D10" i="40"/>
  <c r="G1106" i="10"/>
  <c r="G1107" i="10"/>
  <c r="G1108" i="10"/>
  <c r="G1109" i="10"/>
  <c r="H1106" i="10"/>
  <c r="H1107" i="10"/>
  <c r="H1108" i="10"/>
  <c r="H1109" i="10"/>
  <c r="C1100" i="10"/>
  <c r="C1101" i="10"/>
  <c r="C1102" i="10"/>
  <c r="C1103" i="10"/>
  <c r="C1104" i="10"/>
  <c r="C1105" i="10"/>
  <c r="G1105" i="10"/>
  <c r="H1105" i="10"/>
  <c r="G1104" i="10"/>
  <c r="H1104" i="10"/>
  <c r="G1103" i="10"/>
  <c r="H1103" i="10"/>
  <c r="G1102" i="10"/>
  <c r="H1102" i="10"/>
  <c r="G1101" i="10"/>
  <c r="H1101" i="10"/>
  <c r="G1100" i="10"/>
  <c r="H1100" i="10"/>
  <c r="C1098" i="10"/>
  <c r="G1098" i="10"/>
  <c r="H1098" i="10"/>
  <c r="B1097" i="10"/>
  <c r="G1097" i="10"/>
  <c r="H1097" i="10"/>
  <c r="C1091" i="10"/>
  <c r="G1091" i="10"/>
  <c r="H1091" i="10"/>
  <c r="C1095" i="10"/>
  <c r="C1096" i="10"/>
  <c r="G1096" i="10"/>
  <c r="H1096" i="10"/>
  <c r="G1095" i="10"/>
  <c r="H1095" i="10"/>
  <c r="C1088" i="10"/>
  <c r="C1089" i="10"/>
  <c r="C1090" i="10"/>
  <c r="G1090" i="10"/>
  <c r="H1090" i="10"/>
  <c r="G1089" i="10"/>
  <c r="H1089" i="10"/>
  <c r="G1088" i="10"/>
  <c r="H1088" i="10"/>
  <c r="G1087" i="10"/>
  <c r="H1087" i="10"/>
  <c r="C1087" i="10"/>
  <c r="C1086" i="10"/>
  <c r="G1086" i="10"/>
  <c r="H1086" i="10"/>
  <c r="C1085" i="10"/>
  <c r="G1085" i="10"/>
  <c r="H1085" i="10"/>
  <c r="C1075" i="10"/>
  <c r="C1076" i="10"/>
  <c r="C1083" i="10"/>
  <c r="G1076" i="10"/>
  <c r="H1076" i="10"/>
  <c r="G1075" i="10"/>
  <c r="H1075" i="10"/>
  <c r="G1083" i="10"/>
  <c r="H1083" i="10"/>
  <c r="H1068" i="10"/>
  <c r="G1068" i="10"/>
  <c r="B1068" i="10"/>
  <c r="C1084" i="10"/>
  <c r="C1077" i="10"/>
  <c r="C1078" i="10"/>
  <c r="C1079" i="10"/>
  <c r="C1080" i="10"/>
  <c r="C1081" i="10"/>
  <c r="C1082" i="10"/>
  <c r="G1082" i="10"/>
  <c r="H1082" i="10"/>
  <c r="G1081" i="10"/>
  <c r="H1081" i="10"/>
  <c r="G1080" i="10"/>
  <c r="H1080" i="10"/>
  <c r="G1079" i="10"/>
  <c r="H1079" i="10"/>
  <c r="G1078" i="10"/>
  <c r="H1078" i="10"/>
  <c r="G1077" i="10"/>
  <c r="H1077" i="10"/>
  <c r="G1084" i="10"/>
  <c r="H1084" i="10"/>
  <c r="C1071" i="10"/>
  <c r="C1072" i="10"/>
  <c r="C1073" i="10"/>
  <c r="C1074" i="10"/>
  <c r="C1067" i="10"/>
  <c r="C1069" i="10"/>
  <c r="C1070" i="10"/>
  <c r="G1070" i="10"/>
  <c r="H1070" i="10"/>
  <c r="G1069" i="10"/>
  <c r="H1069" i="10"/>
  <c r="G1067" i="10"/>
  <c r="H1067" i="10"/>
  <c r="G1074" i="10"/>
  <c r="H1074" i="10"/>
  <c r="G1073" i="10"/>
  <c r="H1073" i="10"/>
  <c r="G1072" i="10"/>
  <c r="H1072" i="10"/>
  <c r="G1071" i="10"/>
  <c r="H1071" i="10"/>
  <c r="C1061" i="10"/>
  <c r="C1062" i="10"/>
  <c r="G1062" i="10"/>
  <c r="H1062" i="10"/>
  <c r="G1061" i="10"/>
  <c r="H1061" i="10"/>
  <c r="C1063" i="10"/>
  <c r="C1064" i="10"/>
  <c r="C1065" i="10"/>
  <c r="C1066" i="10"/>
  <c r="C1059" i="10"/>
  <c r="C1060" i="10"/>
  <c r="G1060" i="10"/>
  <c r="H1060" i="10"/>
  <c r="G1059" i="10"/>
  <c r="H1059" i="10"/>
  <c r="G1066" i="10"/>
  <c r="H1066" i="10"/>
  <c r="G1065" i="10"/>
  <c r="H1065" i="10"/>
  <c r="G1064" i="10"/>
  <c r="H1064" i="10"/>
  <c r="G1063" i="10"/>
  <c r="H1063" i="10"/>
  <c r="C1058" i="10"/>
  <c r="C1054" i="10"/>
  <c r="C1055" i="10"/>
  <c r="C1056" i="10"/>
  <c r="C1057" i="10"/>
  <c r="G1057" i="10"/>
  <c r="H1057" i="10"/>
  <c r="G1056" i="10"/>
  <c r="H1056" i="10"/>
  <c r="G1055" i="10"/>
  <c r="H1055" i="10"/>
  <c r="G1054" i="10"/>
  <c r="H1054" i="10"/>
  <c r="G1058" i="10"/>
  <c r="H1058" i="10"/>
  <c r="C1052" i="10"/>
  <c r="G1052" i="10"/>
  <c r="H1052" i="10"/>
  <c r="C1029" i="10"/>
  <c r="C932" i="10"/>
  <c r="C862" i="10"/>
  <c r="G862" i="10"/>
  <c r="G932" i="10"/>
  <c r="G1029" i="10"/>
  <c r="H862" i="10"/>
  <c r="H932" i="10"/>
  <c r="H1029" i="10"/>
  <c r="C1048" i="10"/>
  <c r="C1049" i="10"/>
  <c r="C1050" i="10"/>
  <c r="C1051" i="10"/>
  <c r="G1051" i="10"/>
  <c r="H1051" i="10"/>
  <c r="G1050" i="10"/>
  <c r="H1050" i="10"/>
  <c r="G1049" i="10"/>
  <c r="H1049" i="10"/>
  <c r="G1048" i="10"/>
  <c r="H1048" i="10"/>
  <c r="C1053" i="10"/>
  <c r="C1027" i="10"/>
  <c r="C1028" i="10"/>
  <c r="C1047" i="10"/>
  <c r="C1045" i="10"/>
  <c r="C1046" i="10"/>
  <c r="G1046" i="10"/>
  <c r="H1046" i="10"/>
  <c r="G1045" i="10"/>
  <c r="H1045" i="10"/>
  <c r="G1047" i="10"/>
  <c r="H1047" i="10"/>
  <c r="G1028" i="10"/>
  <c r="H1028" i="10"/>
  <c r="G1027" i="10"/>
  <c r="H1027" i="10"/>
  <c r="G1053" i="10"/>
  <c r="H1053" i="10"/>
  <c r="C1040" i="10"/>
  <c r="C1041" i="10"/>
  <c r="C1042" i="10"/>
  <c r="C1043" i="10"/>
  <c r="C1044" i="10"/>
  <c r="G1044" i="10"/>
  <c r="H1044" i="10"/>
  <c r="G1043" i="10"/>
  <c r="H1043" i="10"/>
  <c r="G1042" i="10"/>
  <c r="H1042" i="10"/>
  <c r="G1041" i="10"/>
  <c r="H1041" i="10"/>
  <c r="G1040" i="10"/>
  <c r="H1040" i="10"/>
  <c r="C1034" i="10"/>
  <c r="C1035" i="10"/>
  <c r="C1036" i="10"/>
  <c r="C1037" i="10"/>
  <c r="C1038" i="10"/>
  <c r="C1039" i="10"/>
  <c r="G1039" i="10"/>
  <c r="H1039" i="10"/>
  <c r="G1038" i="10"/>
  <c r="H1038" i="10"/>
  <c r="G1037" i="10"/>
  <c r="H1037" i="10"/>
  <c r="G1036" i="10"/>
  <c r="H1036" i="10"/>
  <c r="G1035" i="10"/>
  <c r="H1035" i="10"/>
  <c r="G1034" i="10"/>
  <c r="H1034" i="10"/>
  <c r="C1026" i="10"/>
  <c r="C1030" i="10"/>
  <c r="C1031" i="10"/>
  <c r="C1032" i="10"/>
  <c r="C1033" i="10"/>
  <c r="G1033" i="10"/>
  <c r="H1033" i="10"/>
  <c r="G1032" i="10"/>
  <c r="H1032" i="10"/>
  <c r="G1031" i="10"/>
  <c r="H1031" i="10"/>
  <c r="G1030" i="10"/>
  <c r="H1030" i="10"/>
  <c r="G1026" i="10"/>
  <c r="H1026" i="10"/>
  <c r="C1024" i="10"/>
  <c r="C1025" i="10"/>
  <c r="G1025" i="10"/>
  <c r="H1025" i="10"/>
  <c r="G1024" i="10"/>
  <c r="H1024" i="10"/>
  <c r="H1018" i="10"/>
  <c r="G1018" i="10"/>
  <c r="C1018" i="10"/>
  <c r="C1023" i="10"/>
  <c r="G1023" i="10"/>
  <c r="H1023" i="10"/>
  <c r="C1022" i="10"/>
  <c r="C1017" i="10"/>
  <c r="G1017" i="10"/>
  <c r="H1017" i="10"/>
  <c r="G1022" i="10"/>
  <c r="H1022" i="10"/>
  <c r="C1021" i="10"/>
  <c r="G1021" i="10"/>
  <c r="H1021" i="10"/>
  <c r="G1019" i="10"/>
  <c r="G1020" i="10"/>
  <c r="H1019" i="10"/>
  <c r="H1020" i="10"/>
  <c r="C1020" i="10"/>
  <c r="C1019" i="10"/>
  <c r="C1008" i="10"/>
  <c r="C1009" i="10"/>
  <c r="C1012" i="10"/>
  <c r="C1010" i="10"/>
  <c r="C1007" i="10"/>
  <c r="C1013" i="10"/>
  <c r="C1014" i="10"/>
  <c r="C1015" i="10"/>
  <c r="C1011" i="10"/>
  <c r="C1016" i="10"/>
  <c r="G1016" i="10"/>
  <c r="H1016" i="10"/>
  <c r="G1011" i="10"/>
  <c r="H1011" i="10"/>
  <c r="G1015" i="10"/>
  <c r="H1015" i="10"/>
  <c r="G1014" i="10"/>
  <c r="H1014" i="10"/>
  <c r="G1013" i="10"/>
  <c r="H1013" i="10"/>
  <c r="G1007" i="10"/>
  <c r="H1007" i="10"/>
  <c r="G1010" i="10"/>
  <c r="H1010" i="10"/>
  <c r="G1012" i="10"/>
  <c r="H1012" i="10"/>
  <c r="G1009" i="10"/>
  <c r="H1009" i="10"/>
  <c r="G1008" i="10"/>
  <c r="H1008" i="10"/>
  <c r="C1005" i="10"/>
  <c r="C1006" i="10"/>
  <c r="G1006" i="10"/>
  <c r="H1006" i="10"/>
  <c r="G1005" i="10"/>
  <c r="H1005" i="10"/>
  <c r="C995" i="10"/>
  <c r="C996" i="10"/>
  <c r="C997" i="10"/>
  <c r="C998" i="10"/>
  <c r="C999" i="10"/>
  <c r="C1000" i="10"/>
  <c r="C1001" i="10"/>
  <c r="C1002" i="10"/>
  <c r="C1003" i="10"/>
  <c r="C1004" i="10"/>
  <c r="G1004" i="10"/>
  <c r="H1004" i="10"/>
  <c r="G1003" i="10"/>
  <c r="H1003" i="10"/>
  <c r="G1002" i="10"/>
  <c r="H1002" i="10"/>
  <c r="G1001" i="10"/>
  <c r="H1001" i="10"/>
  <c r="G1000" i="10"/>
  <c r="H1000" i="10"/>
  <c r="G999" i="10"/>
  <c r="H999" i="10"/>
  <c r="G998" i="10"/>
  <c r="H998" i="10"/>
  <c r="G997" i="10"/>
  <c r="H997" i="10"/>
  <c r="G996" i="10"/>
  <c r="H996" i="10"/>
  <c r="G995" i="10"/>
  <c r="H995" i="10"/>
  <c r="C994" i="10"/>
  <c r="G994" i="10"/>
  <c r="H994" i="10"/>
  <c r="B993" i="10"/>
  <c r="C990" i="10"/>
  <c r="C991" i="10"/>
  <c r="C992" i="10"/>
  <c r="G990" i="10"/>
  <c r="G991" i="10"/>
  <c r="G992" i="10"/>
  <c r="G993" i="10"/>
  <c r="H990" i="10"/>
  <c r="H991" i="10"/>
  <c r="H992" i="10"/>
  <c r="H993" i="10"/>
  <c r="C986" i="10"/>
  <c r="C987" i="10"/>
  <c r="C988" i="10"/>
  <c r="C989" i="10"/>
  <c r="G988" i="10"/>
  <c r="G989" i="10"/>
  <c r="H988" i="10"/>
  <c r="H989" i="10"/>
  <c r="G987" i="10"/>
  <c r="H987" i="10"/>
  <c r="G986" i="10"/>
  <c r="H986" i="10"/>
  <c r="C984" i="10"/>
  <c r="C985" i="10"/>
  <c r="C983" i="10"/>
  <c r="G985" i="10"/>
  <c r="H985" i="10"/>
  <c r="G984" i="10"/>
  <c r="H984" i="10"/>
  <c r="G983" i="10"/>
  <c r="H983" i="10"/>
  <c r="B974" i="10"/>
  <c r="B975" i="10"/>
  <c r="B973" i="10"/>
  <c r="G975" i="10"/>
  <c r="H975" i="10"/>
  <c r="G974" i="10"/>
  <c r="H974" i="10"/>
  <c r="G973" i="10"/>
  <c r="H973" i="10"/>
  <c r="C982" i="10"/>
  <c r="G982" i="10"/>
  <c r="H982" i="10"/>
  <c r="EA5" i="18"/>
  <c r="EA6" i="18"/>
  <c r="EA7" i="18"/>
  <c r="EA8" i="18"/>
  <c r="EA9" i="18"/>
  <c r="EA10" i="18"/>
  <c r="EA11" i="18"/>
  <c r="EA12" i="18"/>
  <c r="EA13" i="18"/>
  <c r="EA14" i="18"/>
  <c r="EA15" i="18"/>
  <c r="EA16" i="18"/>
  <c r="EA17" i="18"/>
  <c r="EA18" i="18"/>
  <c r="EA19" i="18"/>
  <c r="EA20" i="18"/>
  <c r="EA21" i="18"/>
  <c r="EA4" i="18"/>
  <c r="DZ5" i="18"/>
  <c r="DZ23" i="18" s="1"/>
  <c r="DZ4" i="18"/>
  <c r="C976" i="10"/>
  <c r="C977" i="10"/>
  <c r="C978" i="10"/>
  <c r="C979" i="10"/>
  <c r="C980" i="10"/>
  <c r="C981" i="10"/>
  <c r="G981" i="10"/>
  <c r="H981" i="10"/>
  <c r="C971" i="10"/>
  <c r="C970" i="10"/>
  <c r="G980" i="10"/>
  <c r="H980" i="10"/>
  <c r="G979" i="10"/>
  <c r="H979" i="10"/>
  <c r="G978" i="10"/>
  <c r="H978" i="10"/>
  <c r="G977" i="10"/>
  <c r="H977" i="10"/>
  <c r="G976" i="10"/>
  <c r="H976" i="10"/>
  <c r="G971" i="10"/>
  <c r="H971" i="10"/>
  <c r="G970" i="10"/>
  <c r="H970" i="10"/>
  <c r="C968" i="10"/>
  <c r="C969" i="10"/>
  <c r="C972" i="10"/>
  <c r="G972" i="10"/>
  <c r="H972" i="10"/>
  <c r="G969" i="10"/>
  <c r="H969" i="10"/>
  <c r="G968" i="10"/>
  <c r="H968" i="10"/>
  <c r="B966" i="10"/>
  <c r="B967" i="10"/>
  <c r="B965" i="10"/>
  <c r="C960" i="10"/>
  <c r="C957" i="10"/>
  <c r="C958" i="10"/>
  <c r="C959" i="10"/>
  <c r="C961" i="10"/>
  <c r="C962" i="10"/>
  <c r="C963" i="10"/>
  <c r="C964" i="10"/>
  <c r="G967" i="10"/>
  <c r="H967" i="10"/>
  <c r="G966" i="10"/>
  <c r="H966" i="10"/>
  <c r="G965" i="10"/>
  <c r="H965" i="10"/>
  <c r="G964" i="10"/>
  <c r="H964" i="10"/>
  <c r="G963" i="10"/>
  <c r="H963" i="10"/>
  <c r="G962" i="10"/>
  <c r="H962" i="10"/>
  <c r="G961" i="10"/>
  <c r="H961" i="10"/>
  <c r="G959" i="10"/>
  <c r="H959" i="10"/>
  <c r="G958" i="10"/>
  <c r="H958" i="10"/>
  <c r="G957" i="10"/>
  <c r="H957" i="10"/>
  <c r="G960" i="10"/>
  <c r="H960" i="10"/>
  <c r="C950" i="10"/>
  <c r="C944" i="10"/>
  <c r="C945" i="10"/>
  <c r="C951" i="10"/>
  <c r="C952" i="10"/>
  <c r="C953" i="10"/>
  <c r="C954" i="10"/>
  <c r="C955" i="10"/>
  <c r="C956" i="10"/>
  <c r="G954" i="10"/>
  <c r="G955" i="10"/>
  <c r="G956" i="10"/>
  <c r="H954" i="10"/>
  <c r="H955" i="10"/>
  <c r="H956" i="10"/>
  <c r="G953" i="10"/>
  <c r="H953" i="10"/>
  <c r="G952" i="10"/>
  <c r="H952" i="10"/>
  <c r="G951" i="10"/>
  <c r="H951" i="10"/>
  <c r="G945" i="10"/>
  <c r="H945" i="10"/>
  <c r="G944" i="10"/>
  <c r="H944" i="10"/>
  <c r="G950" i="10"/>
  <c r="H950" i="10"/>
  <c r="C941" i="10"/>
  <c r="C943" i="10"/>
  <c r="G943" i="10"/>
  <c r="H943" i="10"/>
  <c r="G941" i="10"/>
  <c r="H941" i="10"/>
  <c r="C940" i="10"/>
  <c r="C942" i="10"/>
  <c r="C946" i="10"/>
  <c r="C947" i="10"/>
  <c r="C948" i="10"/>
  <c r="C949" i="10"/>
  <c r="G949" i="10"/>
  <c r="H949" i="10"/>
  <c r="G948" i="10"/>
  <c r="H948" i="10"/>
  <c r="G947" i="10"/>
  <c r="H947" i="10"/>
  <c r="G940" i="10"/>
  <c r="G942" i="10"/>
  <c r="G946" i="10"/>
  <c r="H940" i="10"/>
  <c r="H942" i="10"/>
  <c r="H946" i="10"/>
  <c r="C939" i="10"/>
  <c r="G939" i="10"/>
  <c r="H939" i="10"/>
  <c r="G938" i="10"/>
  <c r="H938" i="10"/>
  <c r="C938" i="10"/>
  <c r="C936" i="10"/>
  <c r="G936" i="10"/>
  <c r="H936" i="10"/>
  <c r="C937" i="10"/>
  <c r="C934" i="10"/>
  <c r="C935" i="10"/>
  <c r="G935" i="10"/>
  <c r="H935" i="10"/>
  <c r="G934" i="10"/>
  <c r="H934" i="10"/>
  <c r="G937" i="10"/>
  <c r="H937" i="10"/>
  <c r="G708" i="10"/>
  <c r="H708" i="10"/>
  <c r="C930" i="10"/>
  <c r="C931" i="10"/>
  <c r="C933" i="10"/>
  <c r="C916" i="10"/>
  <c r="G931" i="10"/>
  <c r="G933" i="10"/>
  <c r="H931" i="10"/>
  <c r="H933" i="10"/>
  <c r="G930" i="10"/>
  <c r="H930" i="10"/>
  <c r="G929" i="10"/>
  <c r="H929" i="10"/>
  <c r="C929" i="10"/>
  <c r="G916" i="10"/>
  <c r="H916" i="10"/>
  <c r="C927" i="10"/>
  <c r="C928" i="10"/>
  <c r="G928" i="10"/>
  <c r="H928" i="10"/>
  <c r="G927" i="10"/>
  <c r="H927" i="10"/>
  <c r="H915" i="10"/>
  <c r="G915" i="10"/>
  <c r="C915" i="10"/>
  <c r="C925" i="10"/>
  <c r="C912" i="10"/>
  <c r="G912" i="10"/>
  <c r="H912" i="10"/>
  <c r="G925" i="10"/>
  <c r="H925" i="10"/>
  <c r="C924" i="10"/>
  <c r="G924" i="10"/>
  <c r="H924" i="10"/>
  <c r="C917" i="10"/>
  <c r="C918" i="10"/>
  <c r="C919" i="10"/>
  <c r="C920" i="10"/>
  <c r="C921" i="10"/>
  <c r="C922" i="10"/>
  <c r="C923" i="10"/>
  <c r="G923" i="10"/>
  <c r="H923" i="10"/>
  <c r="G922" i="10"/>
  <c r="H922" i="10"/>
  <c r="G921" i="10"/>
  <c r="H921" i="10"/>
  <c r="G920" i="10"/>
  <c r="H920" i="10"/>
  <c r="G919" i="10"/>
  <c r="H919" i="10"/>
  <c r="G918" i="10"/>
  <c r="H918" i="10"/>
  <c r="G917" i="10"/>
  <c r="H917" i="10"/>
  <c r="C913" i="10"/>
  <c r="C914" i="10"/>
  <c r="G914" i="10"/>
  <c r="H914" i="10"/>
  <c r="G913" i="10"/>
  <c r="H913" i="10"/>
  <c r="C910" i="10"/>
  <c r="C911" i="10"/>
  <c r="G911" i="10"/>
  <c r="H911" i="10"/>
  <c r="G910" i="10"/>
  <c r="H910" i="10"/>
  <c r="C907" i="10"/>
  <c r="G907" i="10"/>
  <c r="H907" i="10"/>
  <c r="C909" i="10"/>
  <c r="G909" i="10"/>
  <c r="H909" i="10"/>
  <c r="G905" i="10"/>
  <c r="H905" i="10"/>
  <c r="B905" i="10"/>
  <c r="B793" i="10"/>
  <c r="C906" i="10"/>
  <c r="C908" i="10"/>
  <c r="G793" i="10"/>
  <c r="H793" i="10"/>
  <c r="G908" i="10"/>
  <c r="H908" i="10"/>
  <c r="G906" i="10"/>
  <c r="H906" i="10"/>
  <c r="C42" i="40"/>
  <c r="C904" i="10"/>
  <c r="G904" i="10"/>
  <c r="H904" i="10"/>
  <c r="C899" i="10"/>
  <c r="C900" i="10"/>
  <c r="C901" i="10"/>
  <c r="C902" i="10"/>
  <c r="C903" i="10"/>
  <c r="G903" i="10"/>
  <c r="H903" i="10"/>
  <c r="G902" i="10"/>
  <c r="H902" i="10"/>
  <c r="G901" i="10"/>
  <c r="H901" i="10"/>
  <c r="G900" i="10"/>
  <c r="H900" i="10"/>
  <c r="G899" i="10"/>
  <c r="H899" i="10"/>
  <c r="C895" i="10"/>
  <c r="C896" i="10"/>
  <c r="C897" i="10"/>
  <c r="C898" i="10"/>
  <c r="G898" i="10"/>
  <c r="H898" i="10"/>
  <c r="G897" i="10"/>
  <c r="H897" i="10"/>
  <c r="G896" i="10"/>
  <c r="H896" i="10"/>
  <c r="G895" i="10"/>
  <c r="H895" i="10"/>
  <c r="C881" i="10"/>
  <c r="C882" i="10"/>
  <c r="C883" i="10"/>
  <c r="C884" i="10"/>
  <c r="C885" i="10"/>
  <c r="C886" i="10"/>
  <c r="C887" i="10"/>
  <c r="C888" i="10"/>
  <c r="C889" i="10"/>
  <c r="C890" i="10"/>
  <c r="C891" i="10"/>
  <c r="C892" i="10"/>
  <c r="C893" i="10"/>
  <c r="C894" i="10"/>
  <c r="G894" i="10"/>
  <c r="H894" i="10"/>
  <c r="G893" i="10"/>
  <c r="H893" i="10"/>
  <c r="G892" i="10"/>
  <c r="H892" i="10"/>
  <c r="G891" i="10"/>
  <c r="H891" i="10"/>
  <c r="G890" i="10"/>
  <c r="H890" i="10"/>
  <c r="G889" i="10"/>
  <c r="H889" i="10"/>
  <c r="G888" i="10"/>
  <c r="H888" i="10"/>
  <c r="G887" i="10"/>
  <c r="H887" i="10"/>
  <c r="G886" i="10"/>
  <c r="H886" i="10"/>
  <c r="G885" i="10"/>
  <c r="H885" i="10"/>
  <c r="G884" i="10"/>
  <c r="H884" i="10"/>
  <c r="G883" i="10"/>
  <c r="H883" i="10"/>
  <c r="G882" i="10"/>
  <c r="H882" i="10"/>
  <c r="G881" i="10"/>
  <c r="H881" i="10"/>
  <c r="C848" i="10"/>
  <c r="C878" i="10"/>
  <c r="C879" i="10"/>
  <c r="C880" i="10"/>
  <c r="G880" i="10"/>
  <c r="H880" i="10"/>
  <c r="G879" i="10"/>
  <c r="H879" i="10"/>
  <c r="G878" i="10"/>
  <c r="H878" i="10"/>
  <c r="G848" i="10"/>
  <c r="H848" i="10"/>
  <c r="C873" i="10"/>
  <c r="C874" i="10"/>
  <c r="C875" i="10"/>
  <c r="C876" i="10"/>
  <c r="C877" i="10"/>
  <c r="G877" i="10"/>
  <c r="H877" i="10"/>
  <c r="G876" i="10"/>
  <c r="H876" i="10"/>
  <c r="G875" i="10"/>
  <c r="H875" i="10"/>
  <c r="G874" i="10"/>
  <c r="H874" i="10"/>
  <c r="G873" i="10"/>
  <c r="H873" i="10"/>
  <c r="C866" i="10"/>
  <c r="C867" i="10"/>
  <c r="C868" i="10"/>
  <c r="C869" i="10"/>
  <c r="C870" i="10"/>
  <c r="C871" i="10"/>
  <c r="C872" i="10"/>
  <c r="G872" i="10"/>
  <c r="H872" i="10"/>
  <c r="G871" i="10"/>
  <c r="H871" i="10"/>
  <c r="G870" i="10"/>
  <c r="H870" i="10"/>
  <c r="G869" i="10"/>
  <c r="H869" i="10"/>
  <c r="G868" i="10"/>
  <c r="H868" i="10"/>
  <c r="G867" i="10"/>
  <c r="H867" i="10"/>
  <c r="G866" i="10"/>
  <c r="H866" i="10"/>
  <c r="C863" i="10"/>
  <c r="C864" i="10"/>
  <c r="C865" i="10"/>
  <c r="G865" i="10"/>
  <c r="H865" i="10"/>
  <c r="G864" i="10"/>
  <c r="H864" i="10"/>
  <c r="G863" i="10"/>
  <c r="H863" i="10"/>
  <c r="C860" i="10"/>
  <c r="C861" i="10"/>
  <c r="C845" i="10"/>
  <c r="C846" i="10"/>
  <c r="C847" i="10"/>
  <c r="G847" i="10"/>
  <c r="H847" i="10"/>
  <c r="G846" i="10"/>
  <c r="H846" i="10"/>
  <c r="G845" i="10"/>
  <c r="H845" i="10"/>
  <c r="G861" i="10"/>
  <c r="H861" i="10"/>
  <c r="G860" i="10"/>
  <c r="H860" i="10"/>
  <c r="C858" i="10"/>
  <c r="G858" i="10"/>
  <c r="H858" i="10"/>
  <c r="C843" i="10"/>
  <c r="C844" i="10"/>
  <c r="C857" i="10"/>
  <c r="C859" i="10"/>
  <c r="C854" i="10"/>
  <c r="C855" i="10"/>
  <c r="C856" i="10"/>
  <c r="C850" i="10"/>
  <c r="G850" i="10"/>
  <c r="H850" i="10"/>
  <c r="G856" i="10"/>
  <c r="H856" i="10"/>
  <c r="G855" i="10"/>
  <c r="H855" i="10"/>
  <c r="G854" i="10"/>
  <c r="H854" i="10"/>
  <c r="G859" i="10"/>
  <c r="H859" i="10"/>
  <c r="G857" i="10"/>
  <c r="H857" i="10"/>
  <c r="G844" i="10"/>
  <c r="H844" i="10"/>
  <c r="G843" i="10"/>
  <c r="H843" i="10"/>
  <c r="C851" i="10"/>
  <c r="C852" i="10"/>
  <c r="C853" i="10"/>
  <c r="C839" i="10"/>
  <c r="C838" i="10"/>
  <c r="G838" i="10"/>
  <c r="H838" i="10"/>
  <c r="G839" i="10"/>
  <c r="H839" i="10"/>
  <c r="G853" i="10"/>
  <c r="H853" i="10"/>
  <c r="G852" i="10"/>
  <c r="H852" i="10"/>
  <c r="G851" i="10"/>
  <c r="H851" i="10"/>
  <c r="C840" i="10"/>
  <c r="C797" i="10"/>
  <c r="C841" i="10"/>
  <c r="C842" i="10"/>
  <c r="C849" i="10"/>
  <c r="C815" i="10"/>
  <c r="C816" i="10"/>
  <c r="C817" i="10"/>
  <c r="C818" i="10"/>
  <c r="C819" i="10"/>
  <c r="C820" i="10"/>
  <c r="C821" i="10"/>
  <c r="C822" i="10"/>
  <c r="C823" i="10"/>
  <c r="C824" i="10"/>
  <c r="C825" i="10"/>
  <c r="C826" i="10"/>
  <c r="C827" i="10"/>
  <c r="C828" i="10"/>
  <c r="C829" i="10"/>
  <c r="C830" i="10"/>
  <c r="C831" i="10"/>
  <c r="C832" i="10"/>
  <c r="C833" i="10"/>
  <c r="C834" i="10"/>
  <c r="C835" i="10"/>
  <c r="C836" i="10"/>
  <c r="G829" i="10"/>
  <c r="H829" i="10"/>
  <c r="G828" i="10"/>
  <c r="H828" i="10"/>
  <c r="G827" i="10"/>
  <c r="H827" i="10"/>
  <c r="G826" i="10"/>
  <c r="H826" i="10"/>
  <c r="G825" i="10"/>
  <c r="H825" i="10"/>
  <c r="G824" i="10"/>
  <c r="H824" i="10"/>
  <c r="G823" i="10"/>
  <c r="H823" i="10"/>
  <c r="G822" i="10"/>
  <c r="H822" i="10"/>
  <c r="G821" i="10"/>
  <c r="H821" i="10"/>
  <c r="G820" i="10"/>
  <c r="H820" i="10"/>
  <c r="G819" i="10"/>
  <c r="H819" i="10"/>
  <c r="G818" i="10"/>
  <c r="H818" i="10"/>
  <c r="G817" i="10"/>
  <c r="H817" i="10"/>
  <c r="G816" i="10"/>
  <c r="H816" i="10"/>
  <c r="G815" i="10"/>
  <c r="H815" i="10"/>
  <c r="B814" i="10"/>
  <c r="C814" i="10" s="1"/>
  <c r="G814" i="10"/>
  <c r="H814" i="10"/>
  <c r="G849" i="10"/>
  <c r="H849" i="10"/>
  <c r="G842" i="10"/>
  <c r="H842" i="10"/>
  <c r="G841" i="10"/>
  <c r="H841" i="10"/>
  <c r="G797" i="10"/>
  <c r="H797" i="10"/>
  <c r="G840" i="10"/>
  <c r="H840" i="10"/>
  <c r="H837" i="10"/>
  <c r="G837" i="10"/>
  <c r="C837" i="10"/>
  <c r="G836" i="10"/>
  <c r="H836" i="10"/>
  <c r="G835" i="10"/>
  <c r="H835" i="10"/>
  <c r="G834" i="10"/>
  <c r="H834" i="10"/>
  <c r="G833" i="10"/>
  <c r="H833" i="10"/>
  <c r="G832" i="10"/>
  <c r="H832" i="10"/>
  <c r="G831" i="10"/>
  <c r="H831" i="10"/>
  <c r="G830" i="10"/>
  <c r="H830" i="10"/>
  <c r="C794" i="10"/>
  <c r="C796" i="10"/>
  <c r="C799" i="10"/>
  <c r="C800" i="10"/>
  <c r="C801" i="10"/>
  <c r="C802" i="10"/>
  <c r="C803" i="10"/>
  <c r="C804" i="10"/>
  <c r="C805" i="10"/>
  <c r="C806" i="10"/>
  <c r="C807" i="10"/>
  <c r="C808" i="10"/>
  <c r="C809" i="10"/>
  <c r="C810" i="10"/>
  <c r="C795" i="10"/>
  <c r="C811" i="10"/>
  <c r="C812" i="10"/>
  <c r="C813" i="10"/>
  <c r="G813" i="10"/>
  <c r="H813" i="10"/>
  <c r="G812" i="10"/>
  <c r="H812" i="10"/>
  <c r="G811" i="10"/>
  <c r="H811" i="10"/>
  <c r="G795" i="10"/>
  <c r="H795" i="10"/>
  <c r="G802" i="10"/>
  <c r="G810" i="10"/>
  <c r="H810" i="10"/>
  <c r="G809" i="10"/>
  <c r="H809" i="10"/>
  <c r="G808" i="10"/>
  <c r="H808" i="10"/>
  <c r="G807" i="10"/>
  <c r="H807" i="10"/>
  <c r="G806" i="10"/>
  <c r="H806" i="10"/>
  <c r="G805" i="10"/>
  <c r="H805" i="10"/>
  <c r="G804" i="10"/>
  <c r="H804" i="10"/>
  <c r="G803" i="10"/>
  <c r="H803" i="10"/>
  <c r="H802" i="10"/>
  <c r="G801" i="10"/>
  <c r="H801" i="10"/>
  <c r="G800" i="10"/>
  <c r="H800" i="10"/>
  <c r="G799" i="10"/>
  <c r="H799" i="10"/>
  <c r="G796" i="10"/>
  <c r="H796" i="10"/>
  <c r="G794" i="10"/>
  <c r="H794" i="10"/>
  <c r="G798" i="10"/>
  <c r="H798" i="10"/>
  <c r="C798" i="10"/>
  <c r="C785" i="10"/>
  <c r="C786" i="10"/>
  <c r="C787" i="10"/>
  <c r="C788" i="10"/>
  <c r="C789" i="10"/>
  <c r="C790" i="10"/>
  <c r="C791" i="10"/>
  <c r="C792" i="10"/>
  <c r="G792" i="10"/>
  <c r="H792" i="10"/>
  <c r="G791" i="10"/>
  <c r="H791" i="10"/>
  <c r="G790" i="10"/>
  <c r="H790" i="10"/>
  <c r="G789" i="10"/>
  <c r="H789" i="10"/>
  <c r="G788" i="10"/>
  <c r="H788" i="10"/>
  <c r="G787" i="10"/>
  <c r="H787" i="10"/>
  <c r="G786" i="10"/>
  <c r="H786" i="10"/>
  <c r="G785" i="10"/>
  <c r="H785" i="10"/>
  <c r="C781" i="10"/>
  <c r="G781" i="10"/>
  <c r="H781" i="10"/>
  <c r="C777" i="10"/>
  <c r="C778" i="10"/>
  <c r="C782" i="10"/>
  <c r="C783" i="10"/>
  <c r="C784" i="10"/>
  <c r="C779" i="10"/>
  <c r="C780" i="10"/>
  <c r="G780" i="10"/>
  <c r="H780" i="10"/>
  <c r="G779" i="10"/>
  <c r="H779" i="10"/>
  <c r="G784" i="10"/>
  <c r="H784" i="10"/>
  <c r="G783" i="10"/>
  <c r="H783" i="10"/>
  <c r="G782" i="10"/>
  <c r="H782" i="10"/>
  <c r="G778" i="10"/>
  <c r="H778" i="10"/>
  <c r="G777" i="10"/>
  <c r="H777" i="10"/>
  <c r="C772" i="10"/>
  <c r="C774" i="10"/>
  <c r="C775" i="10"/>
  <c r="C776" i="10"/>
  <c r="C773" i="10"/>
  <c r="B771" i="10"/>
  <c r="G776" i="10"/>
  <c r="H776" i="10"/>
  <c r="G775" i="10"/>
  <c r="H775" i="10"/>
  <c r="G774" i="10"/>
  <c r="H774" i="10"/>
  <c r="G773" i="10"/>
  <c r="H773" i="10"/>
  <c r="G771" i="10"/>
  <c r="H771" i="10"/>
  <c r="B767" i="10"/>
  <c r="B768" i="10"/>
  <c r="B769" i="10"/>
  <c r="B770" i="10"/>
  <c r="G772" i="10"/>
  <c r="H772" i="10"/>
  <c r="G770" i="10"/>
  <c r="H770" i="10"/>
  <c r="G769" i="10"/>
  <c r="H769" i="10"/>
  <c r="G768" i="10"/>
  <c r="H768" i="10"/>
  <c r="G767" i="10"/>
  <c r="H767" i="10"/>
  <c r="B757" i="10"/>
  <c r="B758" i="10"/>
  <c r="B759" i="10"/>
  <c r="B760" i="10"/>
  <c r="B761" i="10"/>
  <c r="B762" i="10"/>
  <c r="B763" i="10"/>
  <c r="B764" i="10"/>
  <c r="B765" i="10"/>
  <c r="B766" i="10"/>
  <c r="B743" i="10"/>
  <c r="B744" i="10"/>
  <c r="B745" i="10"/>
  <c r="B746" i="10"/>
  <c r="B749" i="10"/>
  <c r="B750" i="10"/>
  <c r="B751" i="10"/>
  <c r="B752" i="10"/>
  <c r="G757" i="10"/>
  <c r="H757" i="10"/>
  <c r="G753" i="10"/>
  <c r="G754" i="10"/>
  <c r="G755" i="10"/>
  <c r="G756" i="10"/>
  <c r="H753" i="10"/>
  <c r="H754" i="10"/>
  <c r="H755" i="10"/>
  <c r="H756" i="10"/>
  <c r="B756" i="10"/>
  <c r="B755" i="10"/>
  <c r="B754" i="10"/>
  <c r="B753" i="10"/>
  <c r="G752" i="10"/>
  <c r="H752" i="10"/>
  <c r="G751" i="10"/>
  <c r="H751" i="10"/>
  <c r="G750" i="10"/>
  <c r="H750" i="10"/>
  <c r="G749" i="10"/>
  <c r="H749" i="10"/>
  <c r="G746" i="10"/>
  <c r="H746" i="10"/>
  <c r="G745" i="10"/>
  <c r="H745" i="10"/>
  <c r="G744" i="10"/>
  <c r="H744" i="10"/>
  <c r="G743" i="10"/>
  <c r="H743" i="10"/>
  <c r="G766" i="10"/>
  <c r="H766" i="10"/>
  <c r="G765" i="10"/>
  <c r="H765" i="10"/>
  <c r="G764" i="10"/>
  <c r="H764" i="10"/>
  <c r="G763" i="10"/>
  <c r="H763" i="10"/>
  <c r="G762" i="10"/>
  <c r="H762" i="10"/>
  <c r="G761" i="10"/>
  <c r="H761" i="10"/>
  <c r="G760" i="10"/>
  <c r="H760" i="10"/>
  <c r="G759" i="10"/>
  <c r="H759" i="10"/>
  <c r="G758" i="10"/>
  <c r="H758" i="10"/>
  <c r="H742" i="10"/>
  <c r="G742" i="10"/>
  <c r="B742" i="10"/>
  <c r="H748" i="10"/>
  <c r="G748" i="10"/>
  <c r="C748" i="10"/>
  <c r="H747" i="10"/>
  <c r="G747" i="10"/>
  <c r="C747" i="10"/>
  <c r="B740" i="10"/>
  <c r="B741" i="10"/>
  <c r="B734" i="10"/>
  <c r="B735" i="10"/>
  <c r="B736" i="10"/>
  <c r="G741" i="10"/>
  <c r="H741" i="10"/>
  <c r="G740" i="10"/>
  <c r="H740" i="10"/>
  <c r="C715" i="10"/>
  <c r="B715" i="10" s="1"/>
  <c r="C714" i="10"/>
  <c r="B714" i="10" s="1"/>
  <c r="C713" i="10"/>
  <c r="B713" i="10" s="1"/>
  <c r="C716" i="10"/>
  <c r="B716" i="10" s="1"/>
  <c r="G714" i="10"/>
  <c r="H714" i="10"/>
  <c r="G715" i="10"/>
  <c r="H715" i="10"/>
  <c r="G716" i="10"/>
  <c r="H716" i="10"/>
  <c r="G737" i="10"/>
  <c r="G738" i="10"/>
  <c r="G739" i="10"/>
  <c r="H737" i="10"/>
  <c r="H738" i="10"/>
  <c r="H739" i="10"/>
  <c r="B739" i="10"/>
  <c r="B738" i="10"/>
  <c r="B737" i="10"/>
  <c r="B720" i="10"/>
  <c r="B719" i="10"/>
  <c r="B718" i="10"/>
  <c r="G718" i="10"/>
  <c r="H718" i="10"/>
  <c r="G719" i="10"/>
  <c r="H719" i="10"/>
  <c r="G720" i="10"/>
  <c r="H720" i="10"/>
  <c r="B696" i="10"/>
  <c r="B697" i="10"/>
  <c r="B698" i="10"/>
  <c r="G697" i="10"/>
  <c r="H697" i="10"/>
  <c r="G698" i="10"/>
  <c r="H698" i="10"/>
  <c r="G696" i="10"/>
  <c r="H696" i="10"/>
  <c r="G736" i="10"/>
  <c r="H736" i="10"/>
  <c r="G735" i="10"/>
  <c r="H735" i="10"/>
  <c r="B725" i="10"/>
  <c r="G725" i="10"/>
  <c r="H725" i="10"/>
  <c r="G734" i="10"/>
  <c r="H734" i="10"/>
  <c r="B733" i="10"/>
  <c r="B722" i="10"/>
  <c r="B723" i="10"/>
  <c r="B724" i="10"/>
  <c r="B726" i="10"/>
  <c r="B727" i="10"/>
  <c r="B728" i="10"/>
  <c r="B729" i="10"/>
  <c r="B730" i="10"/>
  <c r="B731" i="10"/>
  <c r="B732" i="10"/>
  <c r="G731" i="10"/>
  <c r="H731" i="10"/>
  <c r="G730" i="10"/>
  <c r="H730" i="10"/>
  <c r="G729" i="10"/>
  <c r="H729" i="10"/>
  <c r="G728" i="10"/>
  <c r="H728" i="10"/>
  <c r="G727" i="10"/>
  <c r="H727" i="10"/>
  <c r="G726" i="10"/>
  <c r="H726" i="10"/>
  <c r="G724" i="10"/>
  <c r="H724" i="10"/>
  <c r="G723" i="10"/>
  <c r="H723" i="10"/>
  <c r="G722" i="10"/>
  <c r="H722" i="10"/>
  <c r="G733" i="10"/>
  <c r="H733" i="10"/>
  <c r="G732" i="10"/>
  <c r="H732" i="10"/>
  <c r="B707" i="10"/>
  <c r="B711" i="10"/>
  <c r="B712" i="10"/>
  <c r="B717" i="10"/>
  <c r="B709" i="10"/>
  <c r="B710" i="10"/>
  <c r="H681" i="10"/>
  <c r="G681" i="10"/>
  <c r="C681" i="10"/>
  <c r="H683" i="10"/>
  <c r="G683" i="10"/>
  <c r="C683" i="10"/>
  <c r="H470" i="10"/>
  <c r="G470" i="10"/>
  <c r="C470" i="10"/>
  <c r="H704" i="10"/>
  <c r="G704" i="10"/>
  <c r="C704" i="10"/>
  <c r="H705" i="10"/>
  <c r="G705" i="10"/>
  <c r="C705" i="10"/>
  <c r="H694" i="10"/>
  <c r="G694" i="10"/>
  <c r="B694" i="10"/>
  <c r="G710" i="10"/>
  <c r="H710" i="10"/>
  <c r="G709" i="10"/>
  <c r="H709" i="10"/>
  <c r="C721" i="10"/>
  <c r="B721" i="10" s="1"/>
  <c r="G721" i="10"/>
  <c r="H721" i="10"/>
  <c r="G717" i="10"/>
  <c r="H717" i="10"/>
  <c r="G713" i="10"/>
  <c r="H713" i="10"/>
  <c r="G712" i="10"/>
  <c r="H712" i="10"/>
  <c r="G711" i="10"/>
  <c r="H711" i="10"/>
  <c r="G707" i="10"/>
  <c r="H707" i="10"/>
  <c r="C706" i="10"/>
  <c r="B706" i="10" s="1"/>
  <c r="G706" i="10"/>
  <c r="H706" i="10"/>
  <c r="B702" i="10"/>
  <c r="B703" i="10"/>
  <c r="B695" i="10"/>
  <c r="B700" i="10"/>
  <c r="C701" i="10"/>
  <c r="B701" i="10" s="1"/>
  <c r="G701" i="10"/>
  <c r="H701" i="10"/>
  <c r="G700" i="10"/>
  <c r="H700" i="10"/>
  <c r="C699" i="10"/>
  <c r="B699" i="10" s="1"/>
  <c r="G699" i="10"/>
  <c r="H699" i="10"/>
  <c r="G695" i="10"/>
  <c r="H695" i="10"/>
  <c r="G703" i="10"/>
  <c r="H703" i="10"/>
  <c r="G702" i="10"/>
  <c r="H702" i="10"/>
  <c r="B692" i="10"/>
  <c r="B693" i="10"/>
  <c r="B690" i="10"/>
  <c r="B691" i="10"/>
  <c r="G691" i="10"/>
  <c r="H691" i="10"/>
  <c r="G690" i="10"/>
  <c r="H690" i="10"/>
  <c r="G693" i="10"/>
  <c r="H693" i="10"/>
  <c r="G692" i="10"/>
  <c r="H692" i="10"/>
  <c r="J684" i="10"/>
  <c r="J686" i="10" s="1"/>
  <c r="B682" i="10"/>
  <c r="G682" i="10"/>
  <c r="H682" i="10"/>
  <c r="B684" i="10"/>
  <c r="B685" i="10"/>
  <c r="B686" i="10"/>
  <c r="B687" i="10"/>
  <c r="B688" i="10"/>
  <c r="B689" i="10"/>
  <c r="G689" i="10"/>
  <c r="H689" i="10"/>
  <c r="G688" i="10"/>
  <c r="H688" i="10"/>
  <c r="G687" i="10"/>
  <c r="H687" i="10"/>
  <c r="G686" i="10"/>
  <c r="H686" i="10"/>
  <c r="G685" i="10"/>
  <c r="H685" i="10"/>
  <c r="G684" i="10"/>
  <c r="H684" i="10"/>
  <c r="B676" i="10"/>
  <c r="B677" i="10"/>
  <c r="B678" i="10"/>
  <c r="B679" i="10"/>
  <c r="B680" i="10"/>
  <c r="G680" i="10"/>
  <c r="H680" i="10"/>
  <c r="G679" i="10"/>
  <c r="H679" i="10"/>
  <c r="G678" i="10"/>
  <c r="H678" i="10"/>
  <c r="G677" i="10"/>
  <c r="H677" i="10"/>
  <c r="G676" i="10"/>
  <c r="H676" i="10"/>
  <c r="B672" i="10"/>
  <c r="G672" i="10"/>
  <c r="H672" i="10"/>
  <c r="B671" i="10"/>
  <c r="B673" i="10"/>
  <c r="B675" i="10"/>
  <c r="G675" i="10"/>
  <c r="H675" i="10"/>
  <c r="G673" i="10"/>
  <c r="H673" i="10"/>
  <c r="G671" i="10"/>
  <c r="H671" i="10"/>
  <c r="G674" i="10"/>
  <c r="H674" i="10"/>
  <c r="B674" i="10"/>
  <c r="B667" i="10"/>
  <c r="G667" i="10"/>
  <c r="H667" i="10"/>
  <c r="B669" i="10"/>
  <c r="G669" i="10"/>
  <c r="H669" i="10"/>
  <c r="H668" i="10"/>
  <c r="G668" i="10"/>
  <c r="C668" i="10"/>
  <c r="H670" i="10"/>
  <c r="G670" i="10"/>
  <c r="C670" i="10"/>
  <c r="B664" i="10"/>
  <c r="G664" i="10"/>
  <c r="H664" i="10"/>
  <c r="B666" i="10"/>
  <c r="B661" i="10"/>
  <c r="B658" i="10"/>
  <c r="B659" i="10"/>
  <c r="B662" i="10"/>
  <c r="B660" i="10"/>
  <c r="B663" i="10"/>
  <c r="B665" i="10"/>
  <c r="G663" i="10"/>
  <c r="H663" i="10"/>
  <c r="G660" i="10"/>
  <c r="H660" i="10"/>
  <c r="G662" i="10"/>
  <c r="H662" i="10"/>
  <c r="G659" i="10"/>
  <c r="H659" i="10"/>
  <c r="G658" i="10"/>
  <c r="H658" i="10"/>
  <c r="G661" i="10"/>
  <c r="H661" i="10"/>
  <c r="G666" i="10"/>
  <c r="H666" i="10"/>
  <c r="G665" i="10"/>
  <c r="H665" i="10"/>
  <c r="C649" i="10"/>
  <c r="C633" i="10"/>
  <c r="G649" i="10"/>
  <c r="H649" i="10"/>
  <c r="G633" i="10"/>
  <c r="H633" i="10"/>
  <c r="C613" i="10"/>
  <c r="G613" i="10"/>
  <c r="H613" i="10"/>
  <c r="B657" i="10"/>
  <c r="B650" i="10"/>
  <c r="B648" i="10"/>
  <c r="B651" i="10"/>
  <c r="B652" i="10"/>
  <c r="B653" i="10"/>
  <c r="B654" i="10"/>
  <c r="B655" i="10"/>
  <c r="B656" i="10"/>
  <c r="G655" i="10"/>
  <c r="H655" i="10"/>
  <c r="G654" i="10"/>
  <c r="H654" i="10"/>
  <c r="G653" i="10"/>
  <c r="H653" i="10"/>
  <c r="G652" i="10"/>
  <c r="H652" i="10"/>
  <c r="G651" i="10"/>
  <c r="H651" i="10"/>
  <c r="G648" i="10"/>
  <c r="H648" i="10"/>
  <c r="G650" i="10"/>
  <c r="H650" i="10"/>
  <c r="G657" i="10"/>
  <c r="H657" i="10"/>
  <c r="G656" i="10"/>
  <c r="H656" i="10"/>
  <c r="C647" i="10"/>
  <c r="G647" i="10"/>
  <c r="H647" i="10"/>
  <c r="B645" i="10"/>
  <c r="B621" i="10"/>
  <c r="G645" i="10"/>
  <c r="H645" i="10"/>
  <c r="G621" i="10"/>
  <c r="H621" i="10"/>
  <c r="C646" i="10"/>
  <c r="G646" i="10"/>
  <c r="H646" i="10"/>
  <c r="G628" i="10"/>
  <c r="H628" i="10"/>
  <c r="C628" i="10"/>
  <c r="C603" i="10"/>
  <c r="G603" i="10"/>
  <c r="H603" i="10"/>
  <c r="B644" i="10"/>
  <c r="G644" i="10"/>
  <c r="H644" i="10"/>
  <c r="B637" i="10"/>
  <c r="B638" i="10"/>
  <c r="B639" i="10"/>
  <c r="B640" i="10"/>
  <c r="B641" i="10"/>
  <c r="B642" i="10"/>
  <c r="B643" i="10"/>
  <c r="G643" i="10"/>
  <c r="H643" i="10"/>
  <c r="G642" i="10"/>
  <c r="H642" i="10"/>
  <c r="G641" i="10"/>
  <c r="H641" i="10"/>
  <c r="G640" i="10"/>
  <c r="H640" i="10"/>
  <c r="G639" i="10"/>
  <c r="H639" i="10"/>
  <c r="G638" i="10"/>
  <c r="H638" i="10"/>
  <c r="G637" i="10"/>
  <c r="H637" i="10"/>
  <c r="B636" i="10"/>
  <c r="B634" i="10"/>
  <c r="B635" i="10"/>
  <c r="G635" i="10"/>
  <c r="H635" i="10"/>
  <c r="G634" i="10"/>
  <c r="H634" i="10"/>
  <c r="G636" i="10"/>
  <c r="H636" i="10"/>
  <c r="B623" i="10"/>
  <c r="B624" i="10"/>
  <c r="B625" i="10"/>
  <c r="G625" i="10"/>
  <c r="H625" i="10"/>
  <c r="G624" i="10"/>
  <c r="H624" i="10"/>
  <c r="G623" i="10"/>
  <c r="H623" i="10"/>
  <c r="B622" i="10"/>
  <c r="B626" i="10"/>
  <c r="B627" i="10"/>
  <c r="B629" i="10"/>
  <c r="B630" i="10"/>
  <c r="B631" i="10"/>
  <c r="B632" i="10"/>
  <c r="G632" i="10"/>
  <c r="H632" i="10"/>
  <c r="G631" i="10"/>
  <c r="H631" i="10"/>
  <c r="G630" i="10"/>
  <c r="H630" i="10"/>
  <c r="G629" i="10"/>
  <c r="H629" i="10"/>
  <c r="G627" i="10"/>
  <c r="H627" i="10"/>
  <c r="G626" i="10"/>
  <c r="H626" i="10"/>
  <c r="G622" i="10"/>
  <c r="H622" i="10"/>
  <c r="I14" i="42"/>
  <c r="I9" i="42"/>
  <c r="I8" i="42"/>
  <c r="C140" i="41"/>
  <c r="C141" i="41"/>
  <c r="C139" i="41"/>
  <c r="D138" i="41"/>
  <c r="F138" i="41"/>
  <c r="F139" i="41"/>
  <c r="F140" i="41"/>
  <c r="F141" i="41"/>
  <c r="L70" i="37"/>
  <c r="L71" i="37"/>
  <c r="L72" i="37"/>
  <c r="L73" i="37"/>
  <c r="M70" i="37"/>
  <c r="M71" i="37"/>
  <c r="M72" i="37"/>
  <c r="M73" i="37"/>
  <c r="B620" i="10"/>
  <c r="B615" i="10"/>
  <c r="B616" i="10"/>
  <c r="B617" i="10"/>
  <c r="B618" i="10"/>
  <c r="B619" i="10"/>
  <c r="B614" i="10"/>
  <c r="G620" i="10"/>
  <c r="H620" i="10"/>
  <c r="G619" i="10"/>
  <c r="H619" i="10"/>
  <c r="G618" i="10"/>
  <c r="H618" i="10"/>
  <c r="G617" i="10"/>
  <c r="H617" i="10"/>
  <c r="G616" i="10"/>
  <c r="H616" i="10"/>
  <c r="G615" i="10"/>
  <c r="H615" i="10"/>
  <c r="G614" i="10"/>
  <c r="H614" i="10"/>
  <c r="D22" i="42"/>
  <c r="D17" i="42"/>
  <c r="F136" i="41"/>
  <c r="F137" i="41"/>
  <c r="F134" i="41"/>
  <c r="F135" i="41"/>
  <c r="C132" i="41"/>
  <c r="C133" i="41"/>
  <c r="C131" i="41"/>
  <c r="D130" i="41"/>
  <c r="F130" i="41"/>
  <c r="F131" i="41"/>
  <c r="F132" i="41"/>
  <c r="F133" i="41"/>
  <c r="DV21" i="18"/>
  <c r="DV20" i="18"/>
  <c r="DV19" i="18"/>
  <c r="DV18" i="18"/>
  <c r="DV17" i="18"/>
  <c r="DV16" i="18"/>
  <c r="DV15" i="18"/>
  <c r="DV14" i="18"/>
  <c r="DV13" i="18"/>
  <c r="DV12" i="18"/>
  <c r="DV11" i="18"/>
  <c r="DV10" i="18"/>
  <c r="DV9" i="18"/>
  <c r="DV8" i="18"/>
  <c r="DV7" i="18"/>
  <c r="DV6" i="18"/>
  <c r="DU5" i="18"/>
  <c r="DU23" i="18" s="1"/>
  <c r="DU4" i="18"/>
  <c r="DV4" i="18" s="1"/>
  <c r="DQ21" i="18"/>
  <c r="DQ20" i="18"/>
  <c r="DQ19" i="18"/>
  <c r="DQ18" i="18"/>
  <c r="DQ17" i="18"/>
  <c r="DQ16" i="18"/>
  <c r="DQ15" i="18"/>
  <c r="DQ14" i="18"/>
  <c r="DQ13" i="18"/>
  <c r="DQ12" i="18"/>
  <c r="DQ11" i="18"/>
  <c r="DQ10" i="18"/>
  <c r="DQ9" i="18"/>
  <c r="DQ8" i="18"/>
  <c r="DQ7" i="18"/>
  <c r="DQ6" i="18"/>
  <c r="DP5" i="18"/>
  <c r="DQ5" i="18" s="1"/>
  <c r="DP4" i="18"/>
  <c r="DP23" i="18" s="1"/>
  <c r="C611" i="10"/>
  <c r="C561" i="10"/>
  <c r="C534" i="10"/>
  <c r="C501" i="10"/>
  <c r="C467" i="10"/>
  <c r="G561" i="10"/>
  <c r="H561" i="10"/>
  <c r="G467" i="10"/>
  <c r="G501" i="10"/>
  <c r="G534" i="10"/>
  <c r="H467" i="10"/>
  <c r="H501" i="10"/>
  <c r="H534" i="10"/>
  <c r="C612" i="10"/>
  <c r="G612" i="10"/>
  <c r="H612" i="10"/>
  <c r="G611" i="10"/>
  <c r="H611" i="10"/>
  <c r="B608" i="10"/>
  <c r="C610" i="10"/>
  <c r="C609" i="10"/>
  <c r="G610" i="10"/>
  <c r="H610" i="10"/>
  <c r="G609" i="10"/>
  <c r="H609" i="10"/>
  <c r="C606" i="10"/>
  <c r="C607" i="10"/>
  <c r="G608" i="10"/>
  <c r="H608" i="10"/>
  <c r="G607" i="10"/>
  <c r="H607" i="10"/>
  <c r="G606" i="10"/>
  <c r="H606" i="10"/>
  <c r="C605" i="10"/>
  <c r="C441" i="10"/>
  <c r="G605" i="10"/>
  <c r="H605" i="10"/>
  <c r="C604" i="10"/>
  <c r="G604" i="10"/>
  <c r="H604" i="10"/>
  <c r="E11" i="42"/>
  <c r="E12" i="42"/>
  <c r="E13" i="42"/>
  <c r="E14" i="42"/>
  <c r="E10" i="42"/>
  <c r="B11" i="42"/>
  <c r="F9" i="42" s="1"/>
  <c r="F10" i="42" s="1"/>
  <c r="F11" i="42" s="1"/>
  <c r="F12" i="42" s="1"/>
  <c r="F13" i="42" s="1"/>
  <c r="F14" i="42" s="1"/>
  <c r="E4" i="42"/>
  <c r="C602" i="10"/>
  <c r="G602" i="10"/>
  <c r="H602" i="10"/>
  <c r="C598" i="10"/>
  <c r="C599" i="10"/>
  <c r="C601" i="10"/>
  <c r="C600" i="10"/>
  <c r="G600" i="10"/>
  <c r="H600" i="10"/>
  <c r="G601" i="10"/>
  <c r="H601" i="10"/>
  <c r="G599" i="10"/>
  <c r="H599" i="10"/>
  <c r="G598" i="10"/>
  <c r="H598" i="10"/>
  <c r="C591" i="10"/>
  <c r="C597" i="10"/>
  <c r="G591" i="10"/>
  <c r="H591" i="10"/>
  <c r="G597" i="10"/>
  <c r="H597" i="10"/>
  <c r="B596" i="10"/>
  <c r="G596" i="10"/>
  <c r="H596" i="10"/>
  <c r="C592" i="10"/>
  <c r="C593" i="10"/>
  <c r="C594" i="10"/>
  <c r="C595" i="10"/>
  <c r="G595" i="10"/>
  <c r="H595" i="10"/>
  <c r="G594" i="10"/>
  <c r="H594" i="10"/>
  <c r="G593" i="10"/>
  <c r="H593" i="10"/>
  <c r="G592" i="10"/>
  <c r="H592" i="10"/>
  <c r="C526" i="10"/>
  <c r="G526" i="10"/>
  <c r="H526" i="10"/>
  <c r="C585" i="10"/>
  <c r="G585" i="10"/>
  <c r="H585" i="10"/>
  <c r="B553" i="10"/>
  <c r="G525" i="10"/>
  <c r="H525" i="10"/>
  <c r="B525" i="10"/>
  <c r="G553" i="10"/>
  <c r="H553" i="10"/>
  <c r="C583" i="10"/>
  <c r="C586" i="10"/>
  <c r="C584" i="10"/>
  <c r="C587" i="10"/>
  <c r="C589" i="10"/>
  <c r="C588" i="10"/>
  <c r="C590" i="10"/>
  <c r="G590" i="10"/>
  <c r="H590" i="10"/>
  <c r="G588" i="10"/>
  <c r="H588" i="10"/>
  <c r="G589" i="10"/>
  <c r="H589" i="10"/>
  <c r="G587" i="10"/>
  <c r="H587" i="10"/>
  <c r="G584" i="10"/>
  <c r="H584" i="10"/>
  <c r="G586" i="10"/>
  <c r="H586" i="10"/>
  <c r="G583" i="10"/>
  <c r="H583" i="10"/>
  <c r="C581" i="10"/>
  <c r="G581" i="10"/>
  <c r="H581" i="10"/>
  <c r="B582" i="10"/>
  <c r="G582" i="10"/>
  <c r="H582" i="10"/>
  <c r="C580" i="10"/>
  <c r="G580" i="10"/>
  <c r="H580" i="10"/>
  <c r="C569" i="10"/>
  <c r="G569" i="10"/>
  <c r="H569" i="10"/>
  <c r="C574" i="10"/>
  <c r="C575" i="10"/>
  <c r="C576" i="10"/>
  <c r="C577" i="10"/>
  <c r="C578" i="10"/>
  <c r="C579" i="10"/>
  <c r="G579" i="10"/>
  <c r="H579" i="10"/>
  <c r="G578" i="10"/>
  <c r="H578" i="10"/>
  <c r="G577" i="10"/>
  <c r="H577" i="10"/>
  <c r="G576" i="10"/>
  <c r="H576" i="10"/>
  <c r="G575" i="10"/>
  <c r="H575" i="10"/>
  <c r="G574" i="10"/>
  <c r="H574" i="10"/>
  <c r="C573" i="10"/>
  <c r="G573" i="10"/>
  <c r="H573" i="10"/>
  <c r="C568" i="10"/>
  <c r="C570" i="10"/>
  <c r="C571" i="10"/>
  <c r="C572" i="10"/>
  <c r="G572" i="10"/>
  <c r="H572" i="10"/>
  <c r="G571" i="10"/>
  <c r="H571" i="10"/>
  <c r="G570" i="10"/>
  <c r="H570" i="10"/>
  <c r="G568" i="10"/>
  <c r="H568" i="10"/>
  <c r="C539" i="10"/>
  <c r="G539" i="10"/>
  <c r="H539" i="10"/>
  <c r="G566" i="10"/>
  <c r="H566" i="10"/>
  <c r="C566" i="10"/>
  <c r="G560" i="10"/>
  <c r="H560" i="10"/>
  <c r="C560" i="10"/>
  <c r="C564" i="10"/>
  <c r="G564" i="10"/>
  <c r="H564" i="10"/>
  <c r="C563" i="10"/>
  <c r="C567" i="10"/>
  <c r="C562" i="10"/>
  <c r="C565" i="10"/>
  <c r="G565" i="10"/>
  <c r="H565" i="10"/>
  <c r="G562" i="10"/>
  <c r="H562" i="10"/>
  <c r="G567" i="10"/>
  <c r="H567" i="10"/>
  <c r="G563" i="10"/>
  <c r="H563" i="10"/>
  <c r="F129" i="41"/>
  <c r="C129" i="41"/>
  <c r="F128" i="41"/>
  <c r="C128" i="41"/>
  <c r="F127" i="41"/>
  <c r="C127" i="41"/>
  <c r="F126" i="41"/>
  <c r="D126" i="41"/>
  <c r="F125" i="41"/>
  <c r="F124" i="41"/>
  <c r="F123" i="41"/>
  <c r="F122" i="41"/>
  <c r="F118" i="41"/>
  <c r="F119" i="41"/>
  <c r="C125" i="41"/>
  <c r="C124" i="41"/>
  <c r="C123" i="41"/>
  <c r="D122" i="41"/>
  <c r="L66" i="37"/>
  <c r="L67" i="37"/>
  <c r="L68" i="37"/>
  <c r="L69" i="37"/>
  <c r="M66" i="37"/>
  <c r="M67" i="37"/>
  <c r="M68" i="37"/>
  <c r="M69" i="37"/>
  <c r="L62" i="37"/>
  <c r="L63" i="37"/>
  <c r="L64" i="37"/>
  <c r="L65" i="37"/>
  <c r="M62" i="37"/>
  <c r="M63" i="37"/>
  <c r="M64" i="37"/>
  <c r="M65" i="37"/>
  <c r="L58" i="37"/>
  <c r="L59" i="37"/>
  <c r="L60" i="37"/>
  <c r="L61" i="37"/>
  <c r="M58" i="37"/>
  <c r="M59" i="37"/>
  <c r="M60" i="37"/>
  <c r="M61" i="37"/>
  <c r="DL21" i="18"/>
  <c r="DL20" i="18"/>
  <c r="DL19" i="18"/>
  <c r="DL18" i="18"/>
  <c r="DL17" i="18"/>
  <c r="DL16" i="18"/>
  <c r="DL15" i="18"/>
  <c r="DL14" i="18"/>
  <c r="DL13" i="18"/>
  <c r="DL12" i="18"/>
  <c r="DL11" i="18"/>
  <c r="DL10" i="18"/>
  <c r="DL9" i="18"/>
  <c r="DL8" i="18"/>
  <c r="DL7" i="18"/>
  <c r="DL6" i="18"/>
  <c r="DK5" i="18"/>
  <c r="DL5" i="18" s="1"/>
  <c r="DK4" i="18"/>
  <c r="DK23" i="18" s="1"/>
  <c r="C558" i="10"/>
  <c r="C559" i="10"/>
  <c r="G559" i="10"/>
  <c r="H559" i="10"/>
  <c r="G558" i="10"/>
  <c r="H558" i="10"/>
  <c r="C556" i="10"/>
  <c r="G556" i="10"/>
  <c r="H556" i="10"/>
  <c r="C557" i="10"/>
  <c r="G557" i="10"/>
  <c r="H557" i="10"/>
  <c r="B555" i="10"/>
  <c r="B550" i="10"/>
  <c r="G555" i="10"/>
  <c r="H555" i="10"/>
  <c r="G550" i="10"/>
  <c r="H550" i="10"/>
  <c r="C551" i="10"/>
  <c r="C552" i="10"/>
  <c r="C554" i="10"/>
  <c r="G554" i="10"/>
  <c r="H554" i="10"/>
  <c r="G552" i="10"/>
  <c r="H552" i="10"/>
  <c r="G551" i="10"/>
  <c r="H551" i="10"/>
  <c r="C546" i="10"/>
  <c r="C545" i="10"/>
  <c r="C548" i="10"/>
  <c r="C549" i="10"/>
  <c r="C547" i="10"/>
  <c r="G547" i="10"/>
  <c r="H547" i="10"/>
  <c r="G549" i="10"/>
  <c r="H549" i="10"/>
  <c r="G548" i="10"/>
  <c r="H548" i="10"/>
  <c r="G545" i="10"/>
  <c r="H545" i="10"/>
  <c r="G546" i="10"/>
  <c r="H546" i="10"/>
  <c r="C540" i="10"/>
  <c r="G540" i="10"/>
  <c r="H540" i="10"/>
  <c r="C538" i="10"/>
  <c r="G538" i="10"/>
  <c r="H538" i="10"/>
  <c r="C536" i="10"/>
  <c r="C537" i="10"/>
  <c r="G537" i="10"/>
  <c r="H537" i="10"/>
  <c r="G536" i="10"/>
  <c r="H536" i="10"/>
  <c r="C541" i="10"/>
  <c r="C535" i="10"/>
  <c r="C542" i="10"/>
  <c r="C543" i="10"/>
  <c r="C544" i="10"/>
  <c r="G544" i="10"/>
  <c r="H544" i="10"/>
  <c r="G543" i="10"/>
  <c r="H543" i="10"/>
  <c r="G542" i="10"/>
  <c r="H542" i="10"/>
  <c r="G535" i="10"/>
  <c r="H535" i="10"/>
  <c r="G541" i="10"/>
  <c r="H541" i="10"/>
  <c r="DG21" i="18"/>
  <c r="DG20" i="18"/>
  <c r="DG19" i="18"/>
  <c r="DG18" i="18"/>
  <c r="DG17" i="18"/>
  <c r="DG16" i="18"/>
  <c r="DG15" i="18"/>
  <c r="DG14" i="18"/>
  <c r="DG13" i="18"/>
  <c r="DG12" i="18"/>
  <c r="DG11" i="18"/>
  <c r="DG10" i="18"/>
  <c r="DG9" i="18"/>
  <c r="DG8" i="18"/>
  <c r="DG7" i="18"/>
  <c r="DG6" i="18"/>
  <c r="DG5" i="18"/>
  <c r="DF5" i="18"/>
  <c r="DF4" i="18"/>
  <c r="DF23" i="18" s="1"/>
  <c r="C533" i="10"/>
  <c r="C532" i="10"/>
  <c r="B530" i="10"/>
  <c r="B531" i="10"/>
  <c r="G533" i="10"/>
  <c r="H533" i="10"/>
  <c r="G532" i="10"/>
  <c r="H532" i="10"/>
  <c r="G531" i="10"/>
  <c r="H531" i="10"/>
  <c r="G530" i="10"/>
  <c r="H530" i="10"/>
  <c r="B527" i="10"/>
  <c r="B528" i="10"/>
  <c r="B529" i="10"/>
  <c r="G529" i="10"/>
  <c r="H529" i="10"/>
  <c r="G528" i="10"/>
  <c r="H528" i="10"/>
  <c r="G527" i="10"/>
  <c r="H527" i="10"/>
  <c r="B524" i="10"/>
  <c r="G524" i="10"/>
  <c r="H524" i="10"/>
  <c r="B522" i="10"/>
  <c r="B523" i="10"/>
  <c r="G523" i="10"/>
  <c r="H523" i="10"/>
  <c r="G522" i="10"/>
  <c r="H522" i="10"/>
  <c r="J514" i="10"/>
  <c r="B520" i="10"/>
  <c r="B521" i="10"/>
  <c r="G521" i="10"/>
  <c r="H521" i="10"/>
  <c r="G520" i="10"/>
  <c r="H520" i="10"/>
  <c r="B519" i="10"/>
  <c r="G519" i="10"/>
  <c r="H519" i="10"/>
  <c r="B511" i="10"/>
  <c r="B512" i="10"/>
  <c r="B513" i="10"/>
  <c r="B481" i="10"/>
  <c r="B515" i="10"/>
  <c r="B516" i="10"/>
  <c r="B517" i="10"/>
  <c r="B518" i="10"/>
  <c r="B514" i="10"/>
  <c r="G518" i="10"/>
  <c r="H518" i="10"/>
  <c r="G517" i="10"/>
  <c r="H517" i="10"/>
  <c r="G516" i="10"/>
  <c r="H516" i="10"/>
  <c r="G515" i="10"/>
  <c r="H515" i="10"/>
  <c r="G481" i="10"/>
  <c r="H481" i="10"/>
  <c r="G513" i="10"/>
  <c r="H513" i="10"/>
  <c r="G512" i="10"/>
  <c r="H512" i="10"/>
  <c r="G511" i="10"/>
  <c r="H511" i="10"/>
  <c r="G514" i="10"/>
  <c r="H514" i="10"/>
  <c r="B510" i="10"/>
  <c r="G510" i="10"/>
  <c r="H510" i="10"/>
  <c r="C500" i="10"/>
  <c r="B508" i="10"/>
  <c r="B509" i="10"/>
  <c r="G509" i="10"/>
  <c r="H509" i="10"/>
  <c r="G508" i="10"/>
  <c r="H508" i="10"/>
  <c r="B507" i="10"/>
  <c r="G507" i="10"/>
  <c r="H507" i="10"/>
  <c r="G500" i="10"/>
  <c r="H500" i="10"/>
  <c r="C499" i="10"/>
  <c r="G499" i="10"/>
  <c r="H499" i="10"/>
  <c r="C506" i="10"/>
  <c r="G506" i="10"/>
  <c r="H506" i="10"/>
  <c r="F114" i="41"/>
  <c r="F115" i="41"/>
  <c r="F116" i="41"/>
  <c r="F117" i="41"/>
  <c r="F113" i="41"/>
  <c r="F112" i="41"/>
  <c r="H498" i="10"/>
  <c r="G498" i="10"/>
  <c r="C505" i="10"/>
  <c r="G505" i="10"/>
  <c r="H505" i="10"/>
  <c r="C498" i="10"/>
  <c r="C502" i="10"/>
  <c r="C503" i="10"/>
  <c r="C504" i="10"/>
  <c r="G504" i="10"/>
  <c r="H504" i="10"/>
  <c r="G503" i="10"/>
  <c r="H503" i="10"/>
  <c r="G502" i="10"/>
  <c r="H502" i="10"/>
  <c r="C497" i="10"/>
  <c r="G497" i="10"/>
  <c r="H497" i="10"/>
  <c r="C317" i="10"/>
  <c r="G317" i="10"/>
  <c r="H317" i="10"/>
  <c r="C496" i="10"/>
  <c r="G496" i="10"/>
  <c r="H496" i="10"/>
  <c r="G495" i="10"/>
  <c r="H495" i="10"/>
  <c r="D108" i="41"/>
  <c r="C109" i="41"/>
  <c r="C110" i="41"/>
  <c r="C111" i="41"/>
  <c r="L54" i="37"/>
  <c r="L55" i="37"/>
  <c r="L56" i="37"/>
  <c r="L57" i="37"/>
  <c r="M54" i="37"/>
  <c r="M55" i="37"/>
  <c r="M56" i="37"/>
  <c r="M57" i="37"/>
  <c r="F108" i="41"/>
  <c r="F109" i="41"/>
  <c r="F110" i="41"/>
  <c r="F111" i="41"/>
  <c r="C492" i="10"/>
  <c r="G492" i="10"/>
  <c r="H492" i="10"/>
  <c r="C493" i="10"/>
  <c r="G493" i="10"/>
  <c r="H493" i="10"/>
  <c r="G494" i="10"/>
  <c r="H494" i="10"/>
  <c r="B491" i="10"/>
  <c r="G491" i="10"/>
  <c r="H491" i="10"/>
  <c r="B489" i="10"/>
  <c r="C489" i="10" s="1"/>
  <c r="G489" i="10"/>
  <c r="H489" i="10"/>
  <c r="C487" i="10"/>
  <c r="C490" i="10"/>
  <c r="G490" i="10"/>
  <c r="H490" i="10"/>
  <c r="G487" i="10"/>
  <c r="H487" i="10"/>
  <c r="C488" i="10"/>
  <c r="G488" i="10"/>
  <c r="H488" i="10"/>
  <c r="C482" i="10"/>
  <c r="C483" i="10"/>
  <c r="C486" i="10"/>
  <c r="C484" i="10"/>
  <c r="C485" i="10"/>
  <c r="G485" i="10"/>
  <c r="H485" i="10"/>
  <c r="G484" i="10"/>
  <c r="H484" i="10"/>
  <c r="G486" i="10"/>
  <c r="H486" i="10"/>
  <c r="G483" i="10"/>
  <c r="H483" i="10"/>
  <c r="G482" i="10"/>
  <c r="H482" i="10"/>
  <c r="C477" i="10"/>
  <c r="C479" i="10"/>
  <c r="C480" i="10"/>
  <c r="C478" i="10"/>
  <c r="G477" i="10"/>
  <c r="H477" i="10"/>
  <c r="G480" i="10"/>
  <c r="H480" i="10"/>
  <c r="G479" i="10"/>
  <c r="H479" i="10"/>
  <c r="G478" i="10"/>
  <c r="H478" i="10"/>
  <c r="D104" i="41"/>
  <c r="C105" i="41"/>
  <c r="C106" i="41"/>
  <c r="C107" i="41"/>
  <c r="F104" i="41"/>
  <c r="F105" i="41"/>
  <c r="F106" i="41"/>
  <c r="F107" i="41"/>
  <c r="B476" i="10"/>
  <c r="G476" i="10"/>
  <c r="H476" i="10"/>
  <c r="B435" i="10"/>
  <c r="C435" i="10" s="1"/>
  <c r="G435" i="10"/>
  <c r="H435" i="10"/>
  <c r="J521" i="10" l="1"/>
  <c r="J516" i="10"/>
  <c r="J518" i="10" s="1"/>
  <c r="D12" i="40"/>
  <c r="D15" i="40"/>
  <c r="D14" i="40"/>
  <c r="D8" i="40"/>
  <c r="D20" i="40"/>
  <c r="D19" i="40"/>
  <c r="D11" i="40"/>
  <c r="D17" i="40"/>
  <c r="D13" i="40"/>
  <c r="DV5" i="18"/>
  <c r="DQ4" i="18"/>
  <c r="DL4" i="18"/>
  <c r="DG4" i="18"/>
  <c r="C475" i="10"/>
  <c r="G475" i="10"/>
  <c r="H475" i="10"/>
  <c r="C469" i="10"/>
  <c r="C471" i="10"/>
  <c r="C472" i="10"/>
  <c r="C473" i="10"/>
  <c r="C474" i="10"/>
  <c r="G474" i="10"/>
  <c r="H474" i="10"/>
  <c r="G473" i="10"/>
  <c r="H473" i="10"/>
  <c r="G472" i="10"/>
  <c r="H472" i="10"/>
  <c r="G471" i="10"/>
  <c r="H471" i="10"/>
  <c r="G469" i="10"/>
  <c r="H469" i="10"/>
  <c r="DB5" i="18"/>
  <c r="DB6" i="18"/>
  <c r="DB7" i="18"/>
  <c r="DB8" i="18"/>
  <c r="DB9" i="18"/>
  <c r="DB10" i="18"/>
  <c r="DB11" i="18"/>
  <c r="DB12" i="18"/>
  <c r="DB13" i="18"/>
  <c r="DB14" i="18"/>
  <c r="DB15" i="18"/>
  <c r="DB16" i="18"/>
  <c r="DB17" i="18"/>
  <c r="DB18" i="18"/>
  <c r="DB19" i="18"/>
  <c r="DB20" i="18"/>
  <c r="DB21" i="18"/>
  <c r="DB22" i="18"/>
  <c r="DB4" i="18"/>
  <c r="DA5" i="18"/>
  <c r="DA4" i="18"/>
  <c r="DA24" i="18" s="1"/>
  <c r="C466" i="10"/>
  <c r="G466" i="10"/>
  <c r="H466" i="10"/>
  <c r="C468" i="10"/>
  <c r="G468" i="10"/>
  <c r="H468" i="10"/>
  <c r="C464" i="10"/>
  <c r="C465" i="10"/>
  <c r="G465" i="10"/>
  <c r="H465" i="10"/>
  <c r="G464" i="10"/>
  <c r="H464" i="10"/>
  <c r="C460" i="10"/>
  <c r="C461" i="10"/>
  <c r="C462" i="10"/>
  <c r="C463" i="10"/>
  <c r="G463" i="10"/>
  <c r="H463" i="10"/>
  <c r="G462" i="10"/>
  <c r="H462" i="10"/>
  <c r="G461" i="10"/>
  <c r="H461" i="10"/>
  <c r="G460" i="10"/>
  <c r="H460" i="10"/>
  <c r="C459" i="10" l="1"/>
  <c r="G459" i="10"/>
  <c r="H459" i="10"/>
  <c r="C457" i="10"/>
  <c r="C458" i="10"/>
  <c r="G458" i="10"/>
  <c r="H458" i="10"/>
  <c r="G457" i="10"/>
  <c r="H457" i="10"/>
  <c r="C454" i="10"/>
  <c r="C455" i="10"/>
  <c r="C456" i="10"/>
  <c r="G456" i="10"/>
  <c r="H456" i="10"/>
  <c r="G455" i="10"/>
  <c r="H455" i="10"/>
  <c r="G454" i="10"/>
  <c r="H454" i="10"/>
  <c r="C453" i="10"/>
  <c r="G453" i="10"/>
  <c r="H453" i="10"/>
  <c r="H452" i="10"/>
  <c r="G452" i="10"/>
  <c r="C452" i="10"/>
  <c r="CW5" i="18"/>
  <c r="CW6" i="18"/>
  <c r="CW7" i="18"/>
  <c r="CW8" i="18"/>
  <c r="CW9" i="18"/>
  <c r="CW10" i="18"/>
  <c r="CW11" i="18"/>
  <c r="CW12" i="18"/>
  <c r="CW13" i="18"/>
  <c r="CW14" i="18"/>
  <c r="CW15" i="18"/>
  <c r="CW16" i="18"/>
  <c r="CW17" i="18"/>
  <c r="CW18" i="18"/>
  <c r="CW19" i="18"/>
  <c r="CW20" i="18"/>
  <c r="CW21" i="18"/>
  <c r="CW22" i="18"/>
  <c r="CW4" i="18"/>
  <c r="CV5" i="18"/>
  <c r="CV4" i="18"/>
  <c r="CV24" i="18" s="1"/>
  <c r="C450" i="10"/>
  <c r="C451" i="10"/>
  <c r="C447" i="10"/>
  <c r="C448" i="10"/>
  <c r="C449" i="10"/>
  <c r="G449" i="10"/>
  <c r="H449" i="10"/>
  <c r="G448" i="10"/>
  <c r="H448" i="10"/>
  <c r="G447" i="10"/>
  <c r="H447" i="10"/>
  <c r="G451" i="10"/>
  <c r="H451" i="10"/>
  <c r="G450" i="10"/>
  <c r="H450" i="10"/>
  <c r="G441" i="10"/>
  <c r="H441" i="10"/>
  <c r="C440" i="10"/>
  <c r="C442" i="10"/>
  <c r="C443" i="10"/>
  <c r="C444" i="10"/>
  <c r="C445" i="10"/>
  <c r="C446" i="10"/>
  <c r="G446" i="10"/>
  <c r="H446" i="10"/>
  <c r="G445" i="10"/>
  <c r="H445" i="10"/>
  <c r="G444" i="10"/>
  <c r="H444" i="10"/>
  <c r="G443" i="10"/>
  <c r="H443" i="10"/>
  <c r="G442" i="10"/>
  <c r="H442" i="10"/>
  <c r="G440" i="10"/>
  <c r="H440" i="10"/>
  <c r="C439" i="10"/>
  <c r="G439" i="10"/>
  <c r="H439" i="10"/>
  <c r="C432" i="10"/>
  <c r="G432" i="10"/>
  <c r="H432" i="10"/>
  <c r="C438" i="10"/>
  <c r="G438" i="10"/>
  <c r="H438" i="10"/>
  <c r="C436" i="10"/>
  <c r="C437" i="10"/>
  <c r="G437" i="10"/>
  <c r="H437" i="10"/>
  <c r="G436" i="10"/>
  <c r="H436" i="10"/>
  <c r="C434" i="10"/>
  <c r="G434" i="10"/>
  <c r="H434" i="10"/>
  <c r="C426" i="10"/>
  <c r="C427" i="10"/>
  <c r="C428" i="10"/>
  <c r="C429" i="10"/>
  <c r="C430" i="10"/>
  <c r="C431" i="10"/>
  <c r="C433" i="10"/>
  <c r="G433" i="10"/>
  <c r="H433" i="10"/>
  <c r="G431" i="10"/>
  <c r="H431" i="10"/>
  <c r="G430" i="10"/>
  <c r="H430" i="10"/>
  <c r="C100" i="41"/>
  <c r="C102" i="41"/>
  <c r="C103" i="41"/>
  <c r="C101" i="41"/>
  <c r="G429" i="10"/>
  <c r="H429" i="10"/>
  <c r="G428" i="10"/>
  <c r="H428" i="10"/>
  <c r="G427" i="10"/>
  <c r="H427" i="10"/>
  <c r="F101" i="41"/>
  <c r="F102" i="41"/>
  <c r="F103" i="41"/>
  <c r="F100" i="41"/>
  <c r="L50" i="37"/>
  <c r="L51" i="37"/>
  <c r="L52" i="37"/>
  <c r="L53" i="37"/>
  <c r="M50" i="37"/>
  <c r="M51" i="37"/>
  <c r="M52" i="37"/>
  <c r="M53" i="37"/>
  <c r="C424" i="10"/>
  <c r="C425" i="10"/>
  <c r="G426" i="10"/>
  <c r="H426" i="10"/>
  <c r="G425" i="10"/>
  <c r="H425" i="10"/>
  <c r="G424" i="10"/>
  <c r="H424" i="10"/>
  <c r="F6" i="21"/>
  <c r="C422" i="10"/>
  <c r="C423" i="10"/>
  <c r="G423" i="10"/>
  <c r="H423" i="10"/>
  <c r="G422" i="10"/>
  <c r="H422" i="10"/>
  <c r="B421" i="10"/>
  <c r="C421" i="10" s="1"/>
  <c r="G421" i="10"/>
  <c r="H421" i="10"/>
  <c r="C415" i="10"/>
  <c r="C416" i="10"/>
  <c r="C417" i="10"/>
  <c r="C418" i="10"/>
  <c r="C419" i="10"/>
  <c r="C420" i="10"/>
  <c r="G420" i="10"/>
  <c r="H420" i="10"/>
  <c r="G419" i="10"/>
  <c r="H419" i="10"/>
  <c r="G418" i="10"/>
  <c r="H418" i="10"/>
  <c r="G417" i="10"/>
  <c r="H417" i="10"/>
  <c r="G416" i="10"/>
  <c r="H416" i="10"/>
  <c r="G415" i="10"/>
  <c r="H415" i="10"/>
  <c r="C414" i="10"/>
  <c r="G414" i="10"/>
  <c r="H414" i="10"/>
  <c r="C412" i="10"/>
  <c r="C413" i="10"/>
  <c r="G413" i="10"/>
  <c r="H413" i="10"/>
  <c r="G412" i="10"/>
  <c r="H412" i="10"/>
  <c r="C411" i="10"/>
  <c r="G411" i="10"/>
  <c r="H411" i="10"/>
  <c r="C409" i="10"/>
  <c r="C410" i="10"/>
  <c r="G410" i="10"/>
  <c r="H410" i="10"/>
  <c r="G409" i="10"/>
  <c r="H409" i="10"/>
  <c r="L46" i="37"/>
  <c r="L47" i="37"/>
  <c r="L48" i="37"/>
  <c r="L49" i="37"/>
  <c r="M46" i="37"/>
  <c r="M47" i="37"/>
  <c r="M48" i="37"/>
  <c r="M49" i="37"/>
  <c r="CR5" i="18"/>
  <c r="CR6" i="18"/>
  <c r="CR7" i="18"/>
  <c r="CR8" i="18"/>
  <c r="CR9" i="18"/>
  <c r="CR10" i="18"/>
  <c r="CR11" i="18"/>
  <c r="CR12" i="18"/>
  <c r="CR13" i="18"/>
  <c r="CR14" i="18"/>
  <c r="CR15" i="18"/>
  <c r="CR16" i="18"/>
  <c r="CR17" i="18"/>
  <c r="CR18" i="18"/>
  <c r="CR19" i="18"/>
  <c r="CR20" i="18"/>
  <c r="CR21" i="18"/>
  <c r="CR4" i="18"/>
  <c r="CQ5" i="18"/>
  <c r="CQ4" i="18"/>
  <c r="CQ23" i="18" s="1"/>
  <c r="C406" i="10"/>
  <c r="C407" i="10"/>
  <c r="C408" i="10"/>
  <c r="G408" i="10"/>
  <c r="H408" i="10"/>
  <c r="G407" i="10"/>
  <c r="H407" i="10"/>
  <c r="G406" i="10"/>
  <c r="H406" i="10"/>
  <c r="C405" i="10"/>
  <c r="G405" i="10"/>
  <c r="H405" i="10"/>
  <c r="C402" i="10"/>
  <c r="C403" i="10"/>
  <c r="C404" i="10"/>
  <c r="G404" i="10"/>
  <c r="H404" i="10"/>
  <c r="G403" i="10"/>
  <c r="H403" i="10"/>
  <c r="G402" i="10"/>
  <c r="H402" i="10"/>
  <c r="C90" i="10"/>
  <c r="C100" i="10"/>
  <c r="C112" i="10"/>
  <c r="C119" i="10"/>
  <c r="C137" i="10"/>
  <c r="C149" i="10"/>
  <c r="C158" i="10"/>
  <c r="C172" i="10"/>
  <c r="C196" i="10"/>
  <c r="C213" i="10"/>
  <c r="C238" i="10"/>
  <c r="C256" i="10"/>
  <c r="C285" i="10"/>
  <c r="G285" i="10"/>
  <c r="H285" i="10"/>
  <c r="G256" i="10"/>
  <c r="H256" i="10"/>
  <c r="G238" i="10"/>
  <c r="H238" i="10"/>
  <c r="G213" i="10"/>
  <c r="H213" i="10"/>
  <c r="G100" i="10"/>
  <c r="G112" i="10"/>
  <c r="G119" i="10"/>
  <c r="G137" i="10"/>
  <c r="G149" i="10"/>
  <c r="G158" i="10"/>
  <c r="G172" i="10"/>
  <c r="G196" i="10"/>
  <c r="H100" i="10"/>
  <c r="H112" i="10"/>
  <c r="H119" i="10"/>
  <c r="H137" i="10"/>
  <c r="H149" i="10"/>
  <c r="H158" i="10"/>
  <c r="H172" i="10"/>
  <c r="H196" i="10"/>
  <c r="G90" i="10"/>
  <c r="H90" i="10"/>
  <c r="C400" i="10"/>
  <c r="C401" i="10"/>
  <c r="G401" i="10"/>
  <c r="H401" i="10"/>
  <c r="G400" i="10"/>
  <c r="H400" i="10"/>
  <c r="C397" i="10"/>
  <c r="C398" i="10"/>
  <c r="C399" i="10"/>
  <c r="G399" i="10"/>
  <c r="H399" i="10"/>
  <c r="G398" i="10"/>
  <c r="H398" i="10"/>
  <c r="G397" i="10"/>
  <c r="H397" i="10"/>
  <c r="C396" i="10"/>
  <c r="G396" i="10"/>
  <c r="H396" i="10"/>
  <c r="C394" i="10"/>
  <c r="C395" i="10"/>
  <c r="G395" i="10"/>
  <c r="H395" i="10"/>
  <c r="G394" i="10"/>
  <c r="H394" i="10"/>
  <c r="C389" i="10"/>
  <c r="C390" i="10"/>
  <c r="C391" i="10"/>
  <c r="C392" i="10"/>
  <c r="C393" i="10"/>
  <c r="C388" i="10"/>
  <c r="G393" i="10"/>
  <c r="H393" i="10"/>
  <c r="G392" i="10"/>
  <c r="H392" i="10"/>
  <c r="G391" i="10"/>
  <c r="H391" i="10"/>
  <c r="G390" i="10"/>
  <c r="H390" i="10"/>
  <c r="G389" i="10"/>
  <c r="H389" i="10"/>
  <c r="G388" i="10"/>
  <c r="H388" i="10"/>
  <c r="G378" i="10"/>
  <c r="H378" i="10"/>
  <c r="G346" i="10"/>
  <c r="H346" i="10"/>
  <c r="G314" i="10"/>
  <c r="H314" i="10"/>
  <c r="G249" i="10"/>
  <c r="G261" i="10"/>
  <c r="G292" i="10"/>
  <c r="H249" i="10"/>
  <c r="H261" i="10"/>
  <c r="H292" i="10"/>
  <c r="G218" i="10"/>
  <c r="H218" i="10"/>
  <c r="G387" i="10"/>
  <c r="H387" i="10"/>
  <c r="G386" i="10"/>
  <c r="H386" i="10"/>
  <c r="G385" i="10"/>
  <c r="H385" i="10"/>
  <c r="G384" i="10"/>
  <c r="H384" i="10"/>
  <c r="G383" i="10"/>
  <c r="H383" i="10"/>
  <c r="G382" i="10"/>
  <c r="H382" i="10"/>
  <c r="F96" i="41"/>
  <c r="F97" i="41"/>
  <c r="F98" i="41"/>
  <c r="F99" i="41"/>
  <c r="F94" i="41"/>
  <c r="F95" i="41"/>
  <c r="F84" i="41"/>
  <c r="F85" i="41"/>
  <c r="F86" i="41"/>
  <c r="F87" i="41"/>
  <c r="F88" i="41"/>
  <c r="F89" i="41"/>
  <c r="F90" i="41"/>
  <c r="F91" i="41"/>
  <c r="F92" i="41"/>
  <c r="F93" i="41"/>
  <c r="F82" i="41"/>
  <c r="F83" i="41"/>
  <c r="F2" i="41"/>
  <c r="F3" i="41"/>
  <c r="F4" i="41"/>
  <c r="F5" i="41"/>
  <c r="F6" i="41"/>
  <c r="F7" i="41"/>
  <c r="F8" i="41"/>
  <c r="F9" i="41"/>
  <c r="F10" i="41"/>
  <c r="F11" i="41"/>
  <c r="F12" i="41"/>
  <c r="F13" i="41"/>
  <c r="F14" i="41"/>
  <c r="F15" i="41"/>
  <c r="F16" i="41"/>
  <c r="F17" i="41"/>
  <c r="F18" i="41"/>
  <c r="F19" i="41"/>
  <c r="F20" i="41"/>
  <c r="F21" i="41"/>
  <c r="F22" i="41"/>
  <c r="F23" i="41"/>
  <c r="F24" i="41"/>
  <c r="F25" i="41"/>
  <c r="F26" i="41"/>
  <c r="F27" i="41"/>
  <c r="F28" i="41"/>
  <c r="F29" i="41"/>
  <c r="F30" i="41"/>
  <c r="F31" i="41"/>
  <c r="F32" i="41"/>
  <c r="F33" i="41"/>
  <c r="F34" i="41"/>
  <c r="F35" i="41"/>
  <c r="F36" i="41"/>
  <c r="F37" i="41"/>
  <c r="F38" i="41"/>
  <c r="F39" i="41"/>
  <c r="F40" i="41"/>
  <c r="F41" i="41"/>
  <c r="F42" i="41"/>
  <c r="F43" i="41"/>
  <c r="F44" i="41"/>
  <c r="F45" i="41"/>
  <c r="F46" i="41"/>
  <c r="F47" i="41"/>
  <c r="F48" i="41"/>
  <c r="F49" i="41"/>
  <c r="F50" i="41"/>
  <c r="F51" i="41"/>
  <c r="F52" i="41"/>
  <c r="F53" i="41"/>
  <c r="F54" i="41"/>
  <c r="F55" i="41"/>
  <c r="F56" i="41"/>
  <c r="F57" i="41"/>
  <c r="F58" i="41"/>
  <c r="F59" i="41"/>
  <c r="F60" i="41"/>
  <c r="F61" i="41"/>
  <c r="F62" i="41"/>
  <c r="F63" i="41"/>
  <c r="F64" i="41"/>
  <c r="F65" i="41"/>
  <c r="F66" i="41"/>
  <c r="F67" i="41"/>
  <c r="F68" i="41"/>
  <c r="F69" i="41"/>
  <c r="F70" i="41"/>
  <c r="F71" i="41"/>
  <c r="F72" i="41"/>
  <c r="F73" i="41"/>
  <c r="F74" i="41"/>
  <c r="F75" i="41"/>
  <c r="F76" i="41"/>
  <c r="F77" i="41"/>
  <c r="F78" i="41"/>
  <c r="F79" i="41"/>
  <c r="F80" i="41"/>
  <c r="F81" i="41"/>
  <c r="I5" i="37"/>
  <c r="I3" i="37"/>
  <c r="C25" i="41"/>
  <c r="C27" i="41" s="1"/>
  <c r="C29" i="41" s="1"/>
  <c r="C17" i="41"/>
  <c r="C19" i="41" s="1"/>
  <c r="C21" i="41" s="1"/>
  <c r="C23" i="41" s="1"/>
  <c r="C16" i="41"/>
  <c r="CM22" i="18"/>
  <c r="CM4" i="18"/>
  <c r="CM5" i="18"/>
  <c r="CM6" i="18"/>
  <c r="CM7" i="18"/>
  <c r="CM8" i="18"/>
  <c r="CM9" i="18"/>
  <c r="CM10" i="18"/>
  <c r="CM11" i="18"/>
  <c r="CM12" i="18"/>
  <c r="CM13" i="18"/>
  <c r="CM14" i="18"/>
  <c r="CM15" i="18"/>
  <c r="CM16" i="18"/>
  <c r="CM17" i="18"/>
  <c r="CM18" i="18"/>
  <c r="CM19" i="18"/>
  <c r="CM20" i="18"/>
  <c r="CM21" i="18"/>
  <c r="CL24" i="18"/>
  <c r="CL5" i="18"/>
  <c r="CL4" i="18"/>
  <c r="CL25" i="18" s="1"/>
  <c r="G379" i="10"/>
  <c r="H379" i="10"/>
  <c r="B381" i="10"/>
  <c r="G381" i="10"/>
  <c r="H381" i="10"/>
  <c r="G380" i="10"/>
  <c r="H380" i="10"/>
  <c r="G377" i="10"/>
  <c r="H377" i="10"/>
  <c r="G376" i="10"/>
  <c r="H376" i="10"/>
  <c r="G370" i="10"/>
  <c r="H370" i="10"/>
  <c r="G374" i="10"/>
  <c r="H374" i="10"/>
  <c r="G375" i="10"/>
  <c r="H375" i="10"/>
  <c r="G368" i="10"/>
  <c r="H368" i="10"/>
  <c r="G43" i="37"/>
  <c r="L42" i="37"/>
  <c r="L43" i="37"/>
  <c r="L44" i="37"/>
  <c r="L45" i="37"/>
  <c r="M42" i="37"/>
  <c r="M43" i="37"/>
  <c r="M44" i="37"/>
  <c r="M45" i="37"/>
  <c r="G373" i="10"/>
  <c r="H373" i="10"/>
  <c r="G371" i="10"/>
  <c r="H371" i="10"/>
  <c r="B372" i="10"/>
  <c r="G372" i="10"/>
  <c r="H372" i="10"/>
  <c r="G369" i="10"/>
  <c r="H369" i="10"/>
  <c r="G367" i="10"/>
  <c r="H367" i="10"/>
  <c r="G366" i="10"/>
  <c r="H366" i="10"/>
  <c r="G365" i="10"/>
  <c r="H365" i="10"/>
  <c r="G364" i="10"/>
  <c r="H364" i="10"/>
  <c r="G363" i="10"/>
  <c r="H363" i="10"/>
  <c r="G258" i="10"/>
  <c r="H258" i="10"/>
  <c r="G362" i="10"/>
  <c r="H362" i="10"/>
  <c r="G333" i="10"/>
  <c r="H333" i="10"/>
  <c r="G361" i="10"/>
  <c r="H361" i="10"/>
  <c r="G360" i="10"/>
  <c r="H360" i="10"/>
  <c r="C16" i="16"/>
  <c r="C17" i="16"/>
  <c r="C18" i="16"/>
  <c r="CH5" i="18"/>
  <c r="CH6" i="18"/>
  <c r="CH7" i="18"/>
  <c r="CH8" i="18"/>
  <c r="CH9" i="18"/>
  <c r="CH10" i="18"/>
  <c r="CH11" i="18"/>
  <c r="CH12" i="18"/>
  <c r="CH13" i="18"/>
  <c r="CH14" i="18"/>
  <c r="CH15" i="18"/>
  <c r="CH16" i="18"/>
  <c r="CH17" i="18"/>
  <c r="CH18" i="18"/>
  <c r="CH19" i="18"/>
  <c r="CH20" i="18"/>
  <c r="CH4" i="18"/>
  <c r="CG23" i="18"/>
  <c r="CG24" i="18" s="1"/>
  <c r="CG22" i="18"/>
  <c r="G359" i="10"/>
  <c r="H359" i="10"/>
  <c r="B358" i="10"/>
  <c r="G358" i="10"/>
  <c r="H358" i="10"/>
  <c r="B357" i="10"/>
  <c r="G357" i="10"/>
  <c r="H357" i="10"/>
  <c r="G356" i="10"/>
  <c r="H356" i="10"/>
  <c r="G355" i="10"/>
  <c r="H355" i="10"/>
  <c r="G354" i="10"/>
  <c r="H354" i="10"/>
  <c r="B350" i="10"/>
  <c r="G350" i="10"/>
  <c r="H350" i="10"/>
  <c r="G353" i="10"/>
  <c r="H353" i="10"/>
  <c r="G352" i="10"/>
  <c r="H352" i="10"/>
  <c r="G351" i="10"/>
  <c r="H351" i="10"/>
  <c r="G349" i="10"/>
  <c r="H349" i="10"/>
  <c r="B348" i="10"/>
  <c r="G348" i="10"/>
  <c r="H348" i="10"/>
  <c r="G347" i="10"/>
  <c r="H347" i="10"/>
  <c r="G345" i="10"/>
  <c r="H345" i="10"/>
  <c r="G342" i="10"/>
  <c r="H342" i="10"/>
  <c r="B344" i="10"/>
  <c r="G344" i="10"/>
  <c r="H344" i="10"/>
  <c r="B343" i="10"/>
  <c r="G343" i="10"/>
  <c r="H343" i="10"/>
  <c r="G341" i="10"/>
  <c r="H341" i="10"/>
  <c r="G340" i="10"/>
  <c r="H340" i="10"/>
  <c r="B338" i="10"/>
  <c r="B316" i="10"/>
  <c r="G316" i="10"/>
  <c r="H316" i="10"/>
  <c r="B295" i="10"/>
  <c r="B309" i="10"/>
  <c r="G309" i="10"/>
  <c r="H309" i="10"/>
  <c r="G295" i="10"/>
  <c r="H295" i="10"/>
  <c r="G332" i="10"/>
  <c r="H332" i="10"/>
  <c r="B332" i="10"/>
  <c r="G339" i="10"/>
  <c r="H339" i="10"/>
  <c r="L38" i="37"/>
  <c r="L39" i="37"/>
  <c r="L40" i="37"/>
  <c r="L41" i="37"/>
  <c r="M38" i="37"/>
  <c r="M39" i="37"/>
  <c r="M40" i="37"/>
  <c r="M41" i="37"/>
  <c r="B327" i="10"/>
  <c r="G327" i="10"/>
  <c r="H327" i="10"/>
  <c r="G329" i="10"/>
  <c r="H329" i="10"/>
  <c r="G330" i="10"/>
  <c r="H330" i="10"/>
  <c r="G331" i="10"/>
  <c r="H331" i="10"/>
  <c r="B328" i="10"/>
  <c r="G307" i="10"/>
  <c r="H307" i="10"/>
  <c r="G305" i="10"/>
  <c r="H305" i="10"/>
  <c r="G306" i="10"/>
  <c r="H306" i="10"/>
  <c r="B326" i="10"/>
  <c r="G338" i="10"/>
  <c r="H338" i="10"/>
  <c r="G326" i="10"/>
  <c r="H326" i="10"/>
  <c r="G328" i="10"/>
  <c r="H328" i="10"/>
  <c r="G337" i="10"/>
  <c r="H337" i="10"/>
  <c r="G336" i="10"/>
  <c r="H336" i="10"/>
  <c r="G335" i="10"/>
  <c r="H335" i="10"/>
  <c r="CC5" i="18"/>
  <c r="CC6" i="18"/>
  <c r="CC7" i="18"/>
  <c r="CC8" i="18"/>
  <c r="CC9" i="18"/>
  <c r="CC10" i="18"/>
  <c r="CC11" i="18"/>
  <c r="CC12" i="18"/>
  <c r="CC13" i="18"/>
  <c r="CC14" i="18"/>
  <c r="CC15" i="18"/>
  <c r="CC16" i="18"/>
  <c r="CC17" i="18"/>
  <c r="CC18" i="18"/>
  <c r="CC19" i="18"/>
  <c r="CC20" i="18"/>
  <c r="CC21" i="18"/>
  <c r="CC4" i="18"/>
  <c r="CB23" i="18"/>
  <c r="CB4" i="18"/>
  <c r="CB24" i="18" s="1"/>
  <c r="G325" i="10"/>
  <c r="H325" i="10"/>
  <c r="G334" i="10"/>
  <c r="H334" i="10"/>
  <c r="G322" i="10"/>
  <c r="H322" i="10"/>
  <c r="G324" i="10"/>
  <c r="H324" i="10"/>
  <c r="G323" i="10"/>
  <c r="H323" i="10"/>
  <c r="G313" i="10"/>
  <c r="H313" i="10"/>
  <c r="G311" i="10"/>
  <c r="H311" i="10"/>
  <c r="G319" i="10"/>
  <c r="H319" i="10"/>
  <c r="G321" i="10"/>
  <c r="H321" i="10"/>
  <c r="G320" i="10"/>
  <c r="H320" i="10"/>
  <c r="G318" i="10"/>
  <c r="H318" i="10"/>
  <c r="G315" i="10"/>
  <c r="H315" i="10"/>
  <c r="G312" i="10"/>
  <c r="H312" i="10"/>
  <c r="L34" i="37"/>
  <c r="L35" i="37"/>
  <c r="L36" i="37"/>
  <c r="L37" i="37"/>
  <c r="M34" i="37"/>
  <c r="M35" i="37"/>
  <c r="M36" i="37"/>
  <c r="M37" i="37"/>
  <c r="G310" i="10"/>
  <c r="H310" i="10"/>
  <c r="G308" i="10"/>
  <c r="H308" i="10"/>
  <c r="G304" i="10"/>
  <c r="H304" i="10"/>
  <c r="G303" i="10"/>
  <c r="H303" i="10"/>
  <c r="G302" i="10"/>
  <c r="H302" i="10"/>
  <c r="G301" i="10"/>
  <c r="H301" i="10"/>
  <c r="G300" i="10"/>
  <c r="H300" i="10"/>
  <c r="G299" i="10"/>
  <c r="H299" i="10"/>
  <c r="G298" i="10"/>
  <c r="H298" i="10"/>
  <c r="G297" i="10"/>
  <c r="H297" i="10"/>
  <c r="G296" i="10"/>
  <c r="H296" i="10"/>
  <c r="B294" i="10"/>
  <c r="G294" i="10"/>
  <c r="H294" i="10"/>
  <c r="G293" i="10"/>
  <c r="H293" i="10"/>
  <c r="G283" i="10"/>
  <c r="H283" i="10"/>
  <c r="G291" i="10"/>
  <c r="H291" i="10"/>
  <c r="BX5" i="18"/>
  <c r="BX6" i="18"/>
  <c r="BX7" i="18"/>
  <c r="BX8" i="18"/>
  <c r="BX9" i="18"/>
  <c r="BX10" i="18"/>
  <c r="BX11" i="18"/>
  <c r="BX12" i="18"/>
  <c r="BX13" i="18"/>
  <c r="BX14" i="18"/>
  <c r="BX15" i="18"/>
  <c r="BX16" i="18"/>
  <c r="BX17" i="18"/>
  <c r="BX18" i="18"/>
  <c r="BX19" i="18"/>
  <c r="BX20" i="18"/>
  <c r="BX21" i="18"/>
  <c r="BX4" i="18"/>
  <c r="BW23" i="18"/>
  <c r="BW18" i="18"/>
  <c r="BW14" i="18"/>
  <c r="BW4" i="18"/>
  <c r="BW24" i="18" s="1"/>
  <c r="G290" i="10"/>
  <c r="H290" i="10"/>
  <c r="G289" i="10"/>
  <c r="H289" i="10"/>
  <c r="B282" i="10"/>
  <c r="G282" i="10"/>
  <c r="H282" i="10"/>
  <c r="G288" i="10"/>
  <c r="H288" i="10"/>
  <c r="G287" i="10"/>
  <c r="H287" i="10"/>
  <c r="G286" i="10"/>
  <c r="H286" i="10"/>
  <c r="G284" i="10"/>
  <c r="H284" i="10"/>
  <c r="G281" i="10"/>
  <c r="H281" i="10"/>
  <c r="G271" i="10"/>
  <c r="H271" i="10"/>
  <c r="G240" i="10"/>
  <c r="H240" i="10"/>
  <c r="G223" i="10"/>
  <c r="H223" i="10"/>
  <c r="G280" i="10"/>
  <c r="H280" i="10"/>
  <c r="G252" i="10"/>
  <c r="H252" i="10"/>
  <c r="G234" i="10"/>
  <c r="H234" i="10"/>
  <c r="G279" i="10"/>
  <c r="H279" i="10"/>
  <c r="G278" i="10"/>
  <c r="H278" i="10"/>
  <c r="G277" i="10"/>
  <c r="H277" i="10"/>
  <c r="G276" i="10"/>
  <c r="H276" i="10"/>
  <c r="G275" i="10"/>
  <c r="H275" i="10"/>
  <c r="G274" i="10"/>
  <c r="H274" i="10"/>
  <c r="I31" i="37"/>
  <c r="I32" i="37"/>
  <c r="L30" i="37"/>
  <c r="L31" i="37"/>
  <c r="L32" i="37"/>
  <c r="L33" i="37"/>
  <c r="M30" i="37"/>
  <c r="M31" i="37"/>
  <c r="M32" i="37"/>
  <c r="M33" i="37"/>
  <c r="G273" i="10"/>
  <c r="H273" i="10"/>
  <c r="G272" i="10"/>
  <c r="H272" i="10"/>
  <c r="G270" i="10"/>
  <c r="H270" i="10"/>
  <c r="G269" i="10"/>
  <c r="H269" i="10"/>
  <c r="G268" i="10"/>
  <c r="H268" i="10"/>
  <c r="G29" i="37"/>
  <c r="B267" i="10"/>
  <c r="G267" i="10"/>
  <c r="H267" i="10"/>
  <c r="G266" i="10"/>
  <c r="H266" i="10"/>
  <c r="G265" i="10"/>
  <c r="H265" i="10"/>
  <c r="G264" i="10"/>
  <c r="H264" i="10"/>
  <c r="G263" i="10"/>
  <c r="H263" i="10"/>
  <c r="B262" i="10"/>
  <c r="G262" i="10"/>
  <c r="H262" i="10"/>
  <c r="G260" i="10"/>
  <c r="H260" i="10"/>
  <c r="BS5" i="18"/>
  <c r="BS6" i="18"/>
  <c r="BS7" i="18"/>
  <c r="BS8" i="18"/>
  <c r="BS9" i="18"/>
  <c r="BS10" i="18"/>
  <c r="BS11" i="18"/>
  <c r="BS12" i="18"/>
  <c r="BS13" i="18"/>
  <c r="BS14" i="18"/>
  <c r="BS15" i="18"/>
  <c r="BS16" i="18"/>
  <c r="BS17" i="18"/>
  <c r="BS18" i="18"/>
  <c r="BS19" i="18"/>
  <c r="BS20" i="18"/>
  <c r="BS4" i="18"/>
  <c r="G254" i="10"/>
  <c r="H254" i="10"/>
  <c r="G259" i="10"/>
  <c r="H259" i="10"/>
  <c r="G257" i="10"/>
  <c r="H257" i="10"/>
  <c r="G22" i="37"/>
  <c r="H26" i="37" s="1"/>
  <c r="L26" i="37"/>
  <c r="L27" i="37"/>
  <c r="L28" i="37"/>
  <c r="L29" i="37"/>
  <c r="M26" i="37"/>
  <c r="M27" i="37"/>
  <c r="M28" i="37"/>
  <c r="M29" i="37"/>
  <c r="BM25" i="18"/>
  <c r="BM5" i="18"/>
  <c r="BM4" i="18"/>
  <c r="BN5" i="18"/>
  <c r="BN6" i="18"/>
  <c r="BN7" i="18"/>
  <c r="BN8" i="18"/>
  <c r="BN9" i="18"/>
  <c r="BN10" i="18"/>
  <c r="BN11" i="18"/>
  <c r="BN12" i="18"/>
  <c r="BN13" i="18"/>
  <c r="BN14" i="18"/>
  <c r="BN15" i="18"/>
  <c r="BN16" i="18"/>
  <c r="BN17" i="18"/>
  <c r="BN18" i="18"/>
  <c r="BN19" i="18"/>
  <c r="BN20" i="18"/>
  <c r="BN21" i="18"/>
  <c r="BN22" i="18"/>
  <c r="BN4" i="18"/>
  <c r="BH5" i="18"/>
  <c r="BH4" i="18"/>
  <c r="BH18" i="18"/>
  <c r="BI5" i="18"/>
  <c r="BI6" i="18"/>
  <c r="BI7" i="18"/>
  <c r="BI8" i="18"/>
  <c r="BI9" i="18"/>
  <c r="BI10" i="18"/>
  <c r="BI11" i="18"/>
  <c r="BI12" i="18"/>
  <c r="BI13" i="18"/>
  <c r="BI14" i="18"/>
  <c r="BI15" i="18"/>
  <c r="BI16" i="18"/>
  <c r="BI17" i="18"/>
  <c r="BI18" i="18"/>
  <c r="BI19" i="18"/>
  <c r="BI4" i="18"/>
  <c r="BR22" i="18"/>
  <c r="BR5" i="18"/>
  <c r="BR4" i="18"/>
  <c r="BR23" i="18"/>
  <c r="G255" i="10"/>
  <c r="H255" i="10"/>
  <c r="G253" i="10"/>
  <c r="H253" i="10"/>
  <c r="G251" i="10"/>
  <c r="H251" i="10"/>
  <c r="G250" i="10"/>
  <c r="H250" i="10"/>
  <c r="G248" i="10"/>
  <c r="H248" i="10"/>
  <c r="G247" i="10"/>
  <c r="H247" i="10"/>
  <c r="G246" i="10"/>
  <c r="H246" i="10"/>
  <c r="G245" i="10"/>
  <c r="H245" i="10"/>
  <c r="G244" i="10"/>
  <c r="H244" i="10"/>
  <c r="G243" i="10"/>
  <c r="H243" i="10"/>
  <c r="G242" i="10"/>
  <c r="H242" i="10"/>
  <c r="H241" i="10"/>
  <c r="G241" i="10"/>
  <c r="H239" i="10"/>
  <c r="G239" i="10"/>
  <c r="H237" i="10"/>
  <c r="G237" i="10"/>
  <c r="H236" i="10"/>
  <c r="G236" i="10"/>
  <c r="H176" i="10"/>
  <c r="G176" i="10"/>
  <c r="H160" i="10"/>
  <c r="G160" i="10"/>
  <c r="F5" i="37"/>
  <c r="I9" i="37" s="1"/>
  <c r="I13" i="37" s="1"/>
  <c r="I17" i="37" s="1"/>
  <c r="I21" i="37" s="1"/>
  <c r="I25" i="37" s="1"/>
  <c r="I8" i="37"/>
  <c r="I12" i="37" s="1"/>
  <c r="I16" i="37" s="1"/>
  <c r="I20" i="37" s="1"/>
  <c r="I24" i="37" s="1"/>
  <c r="L22" i="37"/>
  <c r="L23" i="37"/>
  <c r="L24" i="37"/>
  <c r="L25" i="37"/>
  <c r="M22" i="37"/>
  <c r="M23" i="37"/>
  <c r="M24" i="37"/>
  <c r="M25" i="37"/>
  <c r="G235" i="10"/>
  <c r="H235" i="10"/>
  <c r="G233" i="10"/>
  <c r="H233" i="10"/>
  <c r="G232" i="10"/>
  <c r="H232" i="10"/>
  <c r="G231" i="10"/>
  <c r="H231" i="10"/>
  <c r="G230" i="10"/>
  <c r="H230" i="10"/>
  <c r="G229" i="10"/>
  <c r="H229" i="10"/>
  <c r="G228" i="10"/>
  <c r="H228" i="10"/>
  <c r="G227" i="10"/>
  <c r="H227" i="10"/>
  <c r="G208" i="10"/>
  <c r="H208" i="10"/>
  <c r="G191" i="10"/>
  <c r="H191" i="10"/>
  <c r="G168" i="10"/>
  <c r="H168" i="10"/>
  <c r="G226" i="10"/>
  <c r="H226" i="10"/>
  <c r="G225" i="10"/>
  <c r="H225" i="10"/>
  <c r="G222" i="10"/>
  <c r="H222" i="10"/>
  <c r="G224" i="10"/>
  <c r="H224" i="10"/>
  <c r="H221" i="10"/>
  <c r="G221" i="10"/>
  <c r="H220" i="10"/>
  <c r="G220" i="10"/>
  <c r="H216" i="10"/>
  <c r="G216" i="10"/>
  <c r="H219" i="10"/>
  <c r="G219" i="10"/>
  <c r="H217" i="10"/>
  <c r="G217" i="10"/>
  <c r="H14" i="37"/>
  <c r="H18" i="37" s="1"/>
  <c r="M18" i="37"/>
  <c r="M19" i="37"/>
  <c r="M20" i="37"/>
  <c r="M21" i="37"/>
  <c r="L18" i="37"/>
  <c r="L19" i="37"/>
  <c r="L20" i="37"/>
  <c r="L21" i="37"/>
  <c r="G215" i="10"/>
  <c r="H215" i="10"/>
  <c r="G211" i="10"/>
  <c r="H211" i="10"/>
  <c r="G209" i="10"/>
  <c r="H209" i="10"/>
  <c r="G214" i="10"/>
  <c r="H214" i="10"/>
  <c r="G212" i="10"/>
  <c r="H212" i="10"/>
  <c r="G210" i="10"/>
  <c r="H210" i="10"/>
  <c r="F3" i="37"/>
  <c r="G3" i="37"/>
  <c r="L15" i="37"/>
  <c r="L16" i="37"/>
  <c r="L17" i="37"/>
  <c r="M15" i="37"/>
  <c r="M16" i="37"/>
  <c r="M17" i="37"/>
  <c r="L14" i="37"/>
  <c r="M14" i="37"/>
  <c r="BH22" i="18"/>
  <c r="H207" i="10"/>
  <c r="G207" i="10"/>
  <c r="B207" i="10"/>
  <c r="H206" i="10"/>
  <c r="G206" i="10"/>
  <c r="H205" i="10"/>
  <c r="G205" i="10"/>
  <c r="H204" i="10"/>
  <c r="G204" i="10"/>
  <c r="C5" i="16"/>
  <c r="BC5" i="18"/>
  <c r="BC4" i="18"/>
  <c r="BD5" i="18"/>
  <c r="BD6" i="18"/>
  <c r="BD7" i="18"/>
  <c r="BD8" i="18"/>
  <c r="BD9" i="18"/>
  <c r="BD10" i="18"/>
  <c r="BD11" i="18"/>
  <c r="BD12" i="18"/>
  <c r="BD13" i="18"/>
  <c r="BD14" i="18"/>
  <c r="BD15" i="18"/>
  <c r="BD16" i="18"/>
  <c r="BD17" i="18"/>
  <c r="BD4" i="18"/>
  <c r="BC21" i="18"/>
  <c r="BC20" i="18"/>
  <c r="H202" i="10"/>
  <c r="H203" i="10"/>
  <c r="G202" i="10"/>
  <c r="G203" i="10"/>
  <c r="G201" i="10"/>
  <c r="H201" i="10"/>
  <c r="G200" i="10"/>
  <c r="H200" i="10"/>
  <c r="G198" i="10"/>
  <c r="H198" i="10"/>
  <c r="G199" i="10"/>
  <c r="H199" i="10"/>
  <c r="L10" i="37"/>
  <c r="M10" i="37"/>
  <c r="L11" i="37"/>
  <c r="M11" i="37"/>
  <c r="L12" i="37"/>
  <c r="M12" i="37"/>
  <c r="H13" i="37"/>
  <c r="L13" i="37"/>
  <c r="M13" i="37"/>
  <c r="G195" i="10"/>
  <c r="G197" i="10"/>
  <c r="H195" i="10"/>
  <c r="H197" i="10"/>
  <c r="G194" i="10"/>
  <c r="H194" i="10"/>
  <c r="G193" i="10"/>
  <c r="H193" i="10"/>
  <c r="G192" i="10"/>
  <c r="H192" i="10"/>
  <c r="G190" i="10"/>
  <c r="H190" i="10"/>
  <c r="G189" i="10"/>
  <c r="H189" i="10"/>
  <c r="B188" i="10"/>
  <c r="G188" i="10"/>
  <c r="H188" i="10"/>
  <c r="G186" i="10"/>
  <c r="G187" i="10"/>
  <c r="G185" i="10"/>
  <c r="H186" i="10"/>
  <c r="H187" i="10"/>
  <c r="H185" i="10"/>
  <c r="G184" i="10"/>
  <c r="H184" i="10"/>
  <c r="H9" i="37"/>
  <c r="L6" i="37"/>
  <c r="L7" i="37"/>
  <c r="L8" i="37"/>
  <c r="L9" i="37"/>
  <c r="M6" i="37"/>
  <c r="M7" i="37"/>
  <c r="M8" i="37"/>
  <c r="M9" i="37"/>
  <c r="G183" i="10"/>
  <c r="H183" i="10"/>
  <c r="G182" i="10"/>
  <c r="H182" i="10"/>
  <c r="G181" i="10"/>
  <c r="H181" i="10"/>
  <c r="G180" i="10"/>
  <c r="H180" i="10"/>
  <c r="G179" i="10"/>
  <c r="H179" i="10"/>
  <c r="G178" i="10"/>
  <c r="H178" i="10"/>
  <c r="G177" i="10"/>
  <c r="H177" i="10"/>
  <c r="AW21" i="18"/>
  <c r="AW5" i="18"/>
  <c r="AW4" i="18"/>
  <c r="M3" i="37"/>
  <c r="M4" i="37"/>
  <c r="M5" i="37"/>
  <c r="M2" i="37"/>
  <c r="L3" i="37"/>
  <c r="L4" i="37"/>
  <c r="L5" i="37"/>
  <c r="L2" i="37"/>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1" i="10"/>
  <c r="G92" i="10"/>
  <c r="G93" i="10"/>
  <c r="G94" i="10"/>
  <c r="G95" i="10"/>
  <c r="G96" i="10"/>
  <c r="G97" i="10"/>
  <c r="G98" i="10"/>
  <c r="G99" i="10"/>
  <c r="G101" i="10"/>
  <c r="G102" i="10"/>
  <c r="G103" i="10"/>
  <c r="G104" i="10"/>
  <c r="G105" i="10"/>
  <c r="G106" i="10"/>
  <c r="G107" i="10"/>
  <c r="G108" i="10"/>
  <c r="G109" i="10"/>
  <c r="G110" i="10"/>
  <c r="G111" i="10"/>
  <c r="G113" i="10"/>
  <c r="G114" i="10"/>
  <c r="G115" i="10"/>
  <c r="G116" i="10"/>
  <c r="G117" i="10"/>
  <c r="G118" i="10"/>
  <c r="G120" i="10"/>
  <c r="G121" i="10"/>
  <c r="G122" i="10"/>
  <c r="G123" i="10"/>
  <c r="G124" i="10"/>
  <c r="G125" i="10"/>
  <c r="G126" i="10"/>
  <c r="G127" i="10"/>
  <c r="G128" i="10"/>
  <c r="G129" i="10"/>
  <c r="G130" i="10"/>
  <c r="G131" i="10"/>
  <c r="G132" i="10"/>
  <c r="G133" i="10"/>
  <c r="G134" i="10"/>
  <c r="G135" i="10"/>
  <c r="G136" i="10"/>
  <c r="G138" i="10"/>
  <c r="G139" i="10"/>
  <c r="G140" i="10"/>
  <c r="G141" i="10"/>
  <c r="G142" i="10"/>
  <c r="G143" i="10"/>
  <c r="G144" i="10"/>
  <c r="G145" i="10"/>
  <c r="G146" i="10"/>
  <c r="G147" i="10"/>
  <c r="G148" i="10"/>
  <c r="G150" i="10"/>
  <c r="G151" i="10"/>
  <c r="G152" i="10"/>
  <c r="G153" i="10"/>
  <c r="G154" i="10"/>
  <c r="G155" i="10"/>
  <c r="G156" i="10"/>
  <c r="G157" i="10"/>
  <c r="G159" i="10"/>
  <c r="G161" i="10"/>
  <c r="G162" i="10"/>
  <c r="G163" i="10"/>
  <c r="G164" i="10"/>
  <c r="G165" i="10"/>
  <c r="G166" i="10"/>
  <c r="G167" i="10"/>
  <c r="G169" i="10"/>
  <c r="G170" i="10"/>
  <c r="G171" i="10"/>
  <c r="G173" i="10"/>
  <c r="G174" i="10"/>
  <c r="G175" i="10"/>
  <c r="H167" i="10"/>
  <c r="H161" i="10"/>
  <c r="H174" i="10"/>
  <c r="H175" i="10"/>
  <c r="H169" i="10"/>
  <c r="H173" i="10"/>
  <c r="H171" i="10"/>
  <c r="H170" i="10"/>
  <c r="H166" i="10"/>
  <c r="H165" i="10"/>
  <c r="AR21" i="18"/>
  <c r="AR5" i="18"/>
  <c r="AS5" i="18"/>
  <c r="AR4" i="18"/>
  <c r="H157" i="10"/>
  <c r="H155" i="10"/>
  <c r="H164" i="10"/>
  <c r="H163" i="10"/>
  <c r="H162" i="10"/>
  <c r="H156" i="10"/>
  <c r="H159" i="10"/>
  <c r="H154" i="10"/>
  <c r="H153" i="10"/>
  <c r="H152" i="10"/>
  <c r="C4" i="16"/>
  <c r="C6" i="16"/>
  <c r="C7" i="16"/>
  <c r="H151" i="10"/>
  <c r="H147" i="10"/>
  <c r="H136" i="10"/>
  <c r="H115" i="10"/>
  <c r="H148" i="10"/>
  <c r="H135" i="10"/>
  <c r="H117" i="10"/>
  <c r="H110" i="10"/>
  <c r="H118" i="10"/>
  <c r="H133" i="10"/>
  <c r="H146" i="10"/>
  <c r="H145" i="10"/>
  <c r="H144" i="10"/>
  <c r="H150" i="10"/>
  <c r="H143" i="10"/>
  <c r="AN4" i="18"/>
  <c r="AM19" i="18"/>
  <c r="AM18" i="18"/>
  <c r="H142" i="10"/>
  <c r="H141" i="10"/>
  <c r="H140" i="10"/>
  <c r="H139" i="10"/>
  <c r="H138" i="10"/>
  <c r="H7" i="10"/>
  <c r="H8" i="10"/>
  <c r="H3" i="10"/>
  <c r="H4" i="10"/>
  <c r="H9" i="10"/>
  <c r="H2" i="10"/>
  <c r="H11" i="10"/>
  <c r="H10" i="10"/>
  <c r="H12" i="10"/>
  <c r="H5" i="10"/>
  <c r="H13" i="10"/>
  <c r="H14" i="10"/>
  <c r="H15" i="10"/>
  <c r="H17" i="10"/>
  <c r="H18" i="10"/>
  <c r="H19" i="10"/>
  <c r="H16" i="10"/>
  <c r="H20" i="10"/>
  <c r="H23" i="10"/>
  <c r="H21" i="10"/>
  <c r="H22"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3" i="10"/>
  <c r="H54" i="10"/>
  <c r="H55" i="10"/>
  <c r="H52" i="10"/>
  <c r="H56" i="10"/>
  <c r="H57" i="10"/>
  <c r="H58" i="10"/>
  <c r="H59" i="10"/>
  <c r="H60" i="10"/>
  <c r="H61" i="10"/>
  <c r="H62" i="10"/>
  <c r="H63" i="10"/>
  <c r="H74" i="10"/>
  <c r="H64" i="10"/>
  <c r="H65" i="10"/>
  <c r="H66" i="10"/>
  <c r="H67" i="10"/>
  <c r="H68" i="10"/>
  <c r="H69" i="10"/>
  <c r="H70" i="10"/>
  <c r="H71" i="10"/>
  <c r="H72" i="10"/>
  <c r="H73" i="10"/>
  <c r="H75" i="10"/>
  <c r="H76" i="10"/>
  <c r="H77" i="10"/>
  <c r="H78" i="10"/>
  <c r="H79" i="10"/>
  <c r="H80" i="10"/>
  <c r="H81" i="10"/>
  <c r="H82" i="10"/>
  <c r="H83" i="10"/>
  <c r="H84" i="10"/>
  <c r="H85" i="10"/>
  <c r="H86" i="10"/>
  <c r="H87" i="10"/>
  <c r="H88" i="10"/>
  <c r="H89" i="10"/>
  <c r="H91" i="10"/>
  <c r="H92" i="10"/>
  <c r="H94" i="10"/>
  <c r="H93" i="10"/>
  <c r="H96" i="10"/>
  <c r="H95" i="10"/>
  <c r="H97" i="10"/>
  <c r="H98" i="10"/>
  <c r="H99" i="10"/>
  <c r="H101" i="10"/>
  <c r="H102" i="10"/>
  <c r="H103" i="10"/>
  <c r="H104" i="10"/>
  <c r="H105" i="10"/>
  <c r="H106" i="10"/>
  <c r="H107" i="10"/>
  <c r="H108" i="10"/>
  <c r="H109" i="10"/>
  <c r="H111" i="10"/>
  <c r="H116" i="10"/>
  <c r="H113" i="10"/>
  <c r="H114" i="10"/>
  <c r="H120" i="10"/>
  <c r="H121" i="10"/>
  <c r="H122" i="10"/>
  <c r="H123" i="10"/>
  <c r="H124" i="10"/>
  <c r="H125" i="10"/>
  <c r="H126" i="10"/>
  <c r="H127" i="10"/>
  <c r="H128" i="10"/>
  <c r="H129" i="10"/>
  <c r="H130" i="10"/>
  <c r="H131" i="10"/>
  <c r="H132" i="10"/>
  <c r="H134" i="10"/>
  <c r="H6" i="10"/>
  <c r="D3" i="21"/>
  <c r="B3" i="21"/>
  <c r="D7" i="21"/>
  <c r="B7" i="21"/>
  <c r="D6" i="21"/>
  <c r="B6" i="21"/>
  <c r="C6" i="21"/>
  <c r="C4" i="21"/>
  <c r="C5" i="21"/>
  <c r="B4" i="21"/>
  <c r="B5" i="21"/>
  <c r="C3" i="21"/>
  <c r="C7" i="21"/>
  <c r="AH18" i="18"/>
  <c r="AH19" i="18"/>
  <c r="AH21" i="18"/>
  <c r="AI16" i="18"/>
  <c r="AI15" i="18"/>
  <c r="AI14" i="18"/>
  <c r="AI13" i="18"/>
  <c r="AI12" i="18"/>
  <c r="AI11" i="18"/>
  <c r="AI10" i="18"/>
  <c r="AI9" i="18"/>
  <c r="AI8" i="18"/>
  <c r="AI7" i="18"/>
  <c r="AI6" i="18"/>
  <c r="AI5" i="18"/>
  <c r="AI4" i="18"/>
  <c r="B128" i="10"/>
  <c r="AB19" i="18"/>
  <c r="AB18" i="18"/>
  <c r="AB23" i="18"/>
  <c r="AC5" i="18"/>
  <c r="AC4" i="18"/>
  <c r="AC10" i="18"/>
  <c r="AC6" i="18"/>
  <c r="Y5" i="18"/>
  <c r="G27" i="16"/>
  <c r="V21" i="18"/>
  <c r="V20" i="18"/>
  <c r="M27" i="16"/>
  <c r="M29" i="16" s="1"/>
  <c r="M31" i="16" s="1"/>
  <c r="V15" i="18"/>
  <c r="V17" i="18"/>
  <c r="W5" i="18"/>
  <c r="W4" i="18"/>
  <c r="P15" i="18"/>
  <c r="P20" i="18"/>
  <c r="P17" i="18"/>
  <c r="P18" i="18"/>
  <c r="P14" i="18"/>
  <c r="Q6" i="18"/>
  <c r="Q5" i="18"/>
  <c r="Q4" i="18"/>
  <c r="M19" i="16"/>
  <c r="M21" i="16"/>
  <c r="M23" i="16"/>
  <c r="M25" i="16" s="1"/>
  <c r="L23" i="18"/>
  <c r="H22" i="18"/>
  <c r="J16" i="18"/>
  <c r="J17" i="18"/>
  <c r="K5" i="18"/>
  <c r="K6" i="18"/>
  <c r="K4" i="18"/>
  <c r="E5" i="18"/>
  <c r="E4" i="18"/>
  <c r="D15" i="18"/>
  <c r="E6" i="18"/>
  <c r="B70" i="10"/>
  <c r="B66" i="10"/>
  <c r="M18" i="16"/>
  <c r="B49" i="10"/>
  <c r="B46" i="10"/>
  <c r="B40" i="10"/>
  <c r="B35" i="10"/>
  <c r="B30" i="10"/>
  <c r="AC17" i="18"/>
  <c r="AC15" i="18"/>
  <c r="AC13" i="18"/>
  <c r="AC11" i="18"/>
  <c r="AC9" i="18"/>
  <c r="AC7" i="18"/>
  <c r="AC16" i="18"/>
  <c r="AC14" i="18"/>
  <c r="AC12" i="18"/>
  <c r="AC8" i="18"/>
  <c r="W13" i="18"/>
  <c r="W6" i="18"/>
  <c r="W8" i="18"/>
  <c r="W7" i="18"/>
  <c r="W9" i="18"/>
  <c r="W10" i="18"/>
  <c r="W11" i="18"/>
  <c r="W12" i="18"/>
  <c r="Q8" i="18"/>
  <c r="Q7" i="18"/>
  <c r="K9" i="18"/>
  <c r="K13" i="18"/>
  <c r="K7" i="18"/>
  <c r="K11" i="18"/>
  <c r="K8" i="18"/>
  <c r="K14" i="18"/>
  <c r="K12" i="18"/>
  <c r="K10" i="18"/>
  <c r="E13" i="18"/>
  <c r="E11" i="18"/>
  <c r="E9" i="18"/>
  <c r="E7" i="18"/>
  <c r="E12" i="18"/>
  <c r="E10" i="18"/>
  <c r="E8" i="18"/>
  <c r="B25" i="10"/>
  <c r="B24" i="10"/>
  <c r="G15" i="11"/>
  <c r="G16" i="11"/>
  <c r="B21" i="10"/>
  <c r="B19" i="10"/>
  <c r="Q9" i="18"/>
  <c r="Q12" i="18"/>
  <c r="Q11" i="18"/>
  <c r="Q10" i="18"/>
  <c r="Q13" i="18"/>
  <c r="F15" i="18"/>
  <c r="BC22" i="18"/>
  <c r="AX4" i="18"/>
  <c r="AX6" i="18"/>
  <c r="AX7" i="18"/>
  <c r="AX8" i="18"/>
  <c r="AX9" i="18"/>
  <c r="AX10" i="18"/>
  <c r="AX11" i="18"/>
  <c r="AX12" i="18"/>
  <c r="AX13" i="18"/>
  <c r="AX14" i="18"/>
  <c r="AX15" i="18"/>
  <c r="AX16" i="18"/>
  <c r="AX17" i="18"/>
  <c r="AX18" i="18"/>
  <c r="AX19" i="18"/>
  <c r="AX5" i="18"/>
  <c r="AN5" i="18"/>
  <c r="AN6" i="18"/>
  <c r="AN7" i="18"/>
  <c r="AN8" i="18"/>
  <c r="AN9" i="18"/>
  <c r="AN10" i="18"/>
  <c r="AN11" i="18"/>
  <c r="AN12" i="18"/>
  <c r="AN13" i="18"/>
  <c r="AN14" i="18"/>
  <c r="AN15" i="18"/>
  <c r="AN16" i="18"/>
  <c r="AN17" i="18"/>
  <c r="AS4" i="18"/>
  <c r="AR22" i="18"/>
  <c r="AR23" i="18"/>
  <c r="AS6" i="18"/>
  <c r="AS7" i="18"/>
  <c r="AS8" i="18"/>
  <c r="AS9" i="18"/>
  <c r="AS10" i="18"/>
  <c r="AS11" i="18"/>
  <c r="AS12" i="18"/>
  <c r="AS13" i="18"/>
  <c r="AS14" i="18"/>
  <c r="AS15" i="18"/>
  <c r="AS16" i="18"/>
  <c r="AS17" i="18"/>
  <c r="AS18" i="18"/>
  <c r="AS19" i="18"/>
  <c r="BH23" i="18"/>
  <c r="D34" i="40" l="1"/>
  <c r="D35" i="40"/>
  <c r="D36" i="40"/>
  <c r="D37" i="40"/>
  <c r="D38" i="40"/>
  <c r="D39" i="40"/>
  <c r="D40" i="40"/>
  <c r="D33" i="40"/>
  <c r="I7" i="37"/>
  <c r="I11" i="37" s="1"/>
  <c r="G15" i="37" s="1"/>
  <c r="G18" i="37"/>
  <c r="I18" i="37" s="1"/>
  <c r="B1310"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Skillarchie Davis</author>
  </authors>
  <commentList>
    <comment ref="D4" authorId="0" shapeId="0" xr:uid="{00000000-0006-0000-0500-000001000000}">
      <text>
        <r>
          <rPr>
            <b/>
            <sz val="9"/>
            <color indexed="81"/>
            <rFont val="Tahoma"/>
            <family val="2"/>
          </rPr>
          <t>Skillarchie Davis:</t>
        </r>
        <r>
          <rPr>
            <sz val="9"/>
            <color indexed="81"/>
            <rFont val="Tahoma"/>
            <family val="2"/>
          </rPr>
          <t xml:space="preserve">
The Car should pay back the insurance.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tc={3036F62E-D9F3-43B5-B52D-1E55DF2E8031}</author>
    <author>tc={CC54987A-EDBB-46C9-A951-DE776D62C716}</author>
    <author>tc={16A512D8-69E1-4D59-ABFB-7801D8127FA9}</author>
    <author>tc={B5A2919A-2FB1-4C30-9C5F-4780C460AED9}</author>
    <author>tc={03093187-269B-4402-9006-00E83C3010EC}</author>
    <author>tc={0B8CF3D6-AB98-4232-9F79-36ECCDAF430C}</author>
  </authors>
  <commentList>
    <comment ref="CH7" authorId="0" shapeId="0" xr:uid="{3036F62E-D9F3-43B5-B52D-1E55DF2E8031}">
      <text>
        <t>[Threaded comment]
Your version of Excel allows you to read this threaded comment; however, any edits to it will get removed if the file is opened in a newer version of Excel. Learn more: https://go.microsoft.com/fwlink/?linkid=870924
Comment:
    Used to pay Education Tax</t>
      </text>
    </comment>
    <comment ref="CH8" authorId="1" shapeId="0" xr:uid="{CC54987A-EDBB-46C9-A951-DE776D62C716}">
      <text>
        <t>[Threaded comment]
Your version of Excel allows you to read this threaded comment; however, any edits to it will get removed if the file is opened in a newer version of Excel. Learn more: https://go.microsoft.com/fwlink/?linkid=870924
Comment:
    Use to pay off NIS</t>
      </text>
    </comment>
    <comment ref="CM13" authorId="2" shapeId="0" xr:uid="{16A512D8-69E1-4D59-ABFB-7801D8127FA9}">
      <text>
        <t xml:space="preserve">[Threaded comment]
Your version of Excel allows you to read this threaded comment; however, any edits to it will get removed if the file is opened in a newer version of Excel. Learn more: https://go.microsoft.com/fwlink/?linkid=870924
Comment:
    Used to pay NIS and Income tax.
</t>
      </text>
    </comment>
    <comment ref="AY14" authorId="3" shapeId="0" xr:uid="{00000000-0006-0000-0900-000001000000}">
      <text>
        <t>[Threaded comment]
Your version of Excel allows you to read this threaded comment; however, any edits to it will get removed if the file is opened in a newer version of Excel. Learn more: https://go.microsoft.com/fwlink/?linkid=870924
Comment:
    Tax to balance back</t>
      </text>
    </comment>
    <comment ref="CM14" authorId="4" shapeId="0" xr:uid="{03093187-269B-4402-9006-00E83C3010EC}">
      <text>
        <t>[Threaded comment]
Your version of Excel allows you to read this threaded comment; however, any edits to it will get removed if the file is opened in a newer version of Excel. Learn more: https://go.microsoft.com/fwlink/?linkid=870924
Comment:
    Used to pay NHT and NIS</t>
      </text>
    </comment>
    <comment ref="CM22" authorId="5" shapeId="0" xr:uid="{0B8CF3D6-AB98-4232-9F79-36ECCDAF430C}">
      <text>
        <t>[Threaded comment]
Your version of Excel allows you to read this threaded comment; however, any edits to it will get removed if the file is opened in a newer version of Excel. Learn more: https://go.microsoft.com/fwlink/?linkid=870924
Comment:
    Used to pay NIS and Income Tax</t>
      </text>
    </comment>
  </commentList>
</comments>
</file>

<file path=xl/sharedStrings.xml><?xml version="1.0" encoding="utf-8"?>
<sst xmlns="http://schemas.openxmlformats.org/spreadsheetml/2006/main" count="6558" uniqueCount="690">
  <si>
    <t>COST</t>
  </si>
  <si>
    <t>DATE</t>
  </si>
  <si>
    <t>bread</t>
  </si>
  <si>
    <t>Milo</t>
  </si>
  <si>
    <t>Transportation</t>
  </si>
  <si>
    <t>Eaplay</t>
  </si>
  <si>
    <t>Game pass</t>
  </si>
  <si>
    <t>Estate Donation</t>
  </si>
  <si>
    <t>Lotion</t>
  </si>
  <si>
    <t>Air freshener</t>
  </si>
  <si>
    <t>ITEMS</t>
  </si>
  <si>
    <t>Pay</t>
  </si>
  <si>
    <t>Date</t>
  </si>
  <si>
    <t>Company</t>
  </si>
  <si>
    <t xml:space="preserve">JWN </t>
  </si>
  <si>
    <t>Bank</t>
  </si>
  <si>
    <t>Account Type</t>
  </si>
  <si>
    <t>Amount</t>
  </si>
  <si>
    <t>JN</t>
  </si>
  <si>
    <t>Savings</t>
  </si>
  <si>
    <t>Fixed Deposit</t>
  </si>
  <si>
    <t>ScotiaBank</t>
  </si>
  <si>
    <t>Total</t>
  </si>
  <si>
    <t>FirstGlobal</t>
  </si>
  <si>
    <t>Amazon Prime</t>
  </si>
  <si>
    <t>Grips</t>
  </si>
  <si>
    <t>Gianna Bday lunch</t>
  </si>
  <si>
    <t>Magnum</t>
  </si>
  <si>
    <t>Udemy Courses</t>
  </si>
  <si>
    <t>Volume Button</t>
  </si>
  <si>
    <t>Graduation Package</t>
  </si>
  <si>
    <t>Graduation Budget</t>
  </si>
  <si>
    <t>Budget</t>
  </si>
  <si>
    <t>Item</t>
  </si>
  <si>
    <t>Current Budget</t>
  </si>
  <si>
    <t>Video Games</t>
  </si>
  <si>
    <t>Dinner</t>
  </si>
  <si>
    <t>First Global</t>
  </si>
  <si>
    <t>Breakfast Shopping</t>
  </si>
  <si>
    <t>Doctor</t>
  </si>
  <si>
    <t>Medication</t>
  </si>
  <si>
    <t>Personal Care</t>
  </si>
  <si>
    <t>Insurance</t>
  </si>
  <si>
    <t>Gianna Bday N anniversy Present</t>
  </si>
  <si>
    <t>Graduation Suits</t>
  </si>
  <si>
    <t>Netflixs</t>
  </si>
  <si>
    <t>Pockey Cash</t>
  </si>
  <si>
    <t>Beach Trip</t>
  </si>
  <si>
    <t>Planet Hurt</t>
  </si>
  <si>
    <t>Light Bill</t>
  </si>
  <si>
    <t>Natural Product</t>
  </si>
  <si>
    <t>Surprises/Gifts</t>
  </si>
  <si>
    <t>Package</t>
  </si>
  <si>
    <t>Gianna Date</t>
  </si>
  <si>
    <t>Shampoo</t>
  </si>
  <si>
    <t>TV Compilation</t>
  </si>
  <si>
    <t xml:space="preserve">Amazon </t>
  </si>
  <si>
    <t>Collect</t>
  </si>
  <si>
    <t>Coursera</t>
  </si>
  <si>
    <t>Lunch</t>
  </si>
  <si>
    <t>Headset</t>
  </si>
  <si>
    <t>Mouse</t>
  </si>
  <si>
    <t>EGMR</t>
  </si>
  <si>
    <t>Tithes and Offering</t>
  </si>
  <si>
    <t>EGMPD</t>
  </si>
  <si>
    <t>Gianna Transportation</t>
  </si>
  <si>
    <t>Work Clothes</t>
  </si>
  <si>
    <t>Food</t>
  </si>
  <si>
    <t>License</t>
  </si>
  <si>
    <t>Driving Class</t>
  </si>
  <si>
    <t>Month</t>
  </si>
  <si>
    <t>Spread</t>
  </si>
  <si>
    <t>Percentage</t>
  </si>
  <si>
    <t>Secondary Savings</t>
  </si>
  <si>
    <t>Primary Savings</t>
  </si>
  <si>
    <t>Tithes and offering</t>
  </si>
  <si>
    <t>NHT</t>
  </si>
  <si>
    <t>Spare</t>
  </si>
  <si>
    <t xml:space="preserve">Third Saving </t>
  </si>
  <si>
    <t>Children Saving</t>
  </si>
  <si>
    <t>For the month of august 6k of the children savings was used therefore the scotia US acoount should be compensated. Additionally, the Skillarchie's Estate Board has given the purchasing department the green light to purchase the TCL AC unit that is estimated to be between 70k and 90k. The 57k from july will be used to cover atleat 70 or 80 percent of this purchase.</t>
  </si>
  <si>
    <t>Allocation</t>
  </si>
  <si>
    <t>Reallocate Child Saving to scotia.</t>
  </si>
  <si>
    <t>Child saving credited 6k from scotia account.</t>
  </si>
  <si>
    <t xml:space="preserve">Use to cover the AC </t>
  </si>
  <si>
    <t>Blue Print</t>
  </si>
  <si>
    <t>Balance</t>
  </si>
  <si>
    <t>Scotia US</t>
  </si>
  <si>
    <t>Family Trip</t>
  </si>
  <si>
    <t>Replacement Screen</t>
  </si>
  <si>
    <t>AC and Installation</t>
  </si>
  <si>
    <t>AC pilot switch</t>
  </si>
  <si>
    <t>Queen Stall</t>
  </si>
  <si>
    <t>CHILD</t>
  </si>
  <si>
    <t>S8 purchase</t>
  </si>
  <si>
    <t>Gianna Allownace</t>
  </si>
  <si>
    <t>Bicycle</t>
  </si>
  <si>
    <t>Shaving and Hair products</t>
  </si>
  <si>
    <t>leave</t>
  </si>
  <si>
    <t>Allocated</t>
  </si>
  <si>
    <t>Household Products</t>
  </si>
  <si>
    <t>Vertis Technology</t>
  </si>
  <si>
    <t>GG Bible</t>
  </si>
  <si>
    <t>Vitamins</t>
  </si>
  <si>
    <t>Abs Pro</t>
  </si>
  <si>
    <t>Gianna Allowance</t>
  </si>
  <si>
    <t>Leave</t>
  </si>
  <si>
    <t>GG phone</t>
  </si>
  <si>
    <t>Box Phone</t>
  </si>
  <si>
    <t>check</t>
  </si>
  <si>
    <t>Liquid Savings</t>
  </si>
  <si>
    <t>Charles Tablet</t>
  </si>
  <si>
    <t>Charles Tablet Case</t>
  </si>
  <si>
    <t>charles tablet and accesseries</t>
  </si>
  <si>
    <t>Burger King</t>
  </si>
  <si>
    <t>Taste's Patties</t>
  </si>
  <si>
    <t>GG Phone</t>
  </si>
  <si>
    <t>GG Screen Protector</t>
  </si>
  <si>
    <t>Flowers</t>
  </si>
  <si>
    <t>Secure</t>
  </si>
  <si>
    <t>Spare and block</t>
  </si>
  <si>
    <t>Gamepass</t>
  </si>
  <si>
    <t>Stocks Deposit</t>
  </si>
  <si>
    <t>Skilly Phone and accesseries</t>
  </si>
  <si>
    <t>Training Mat and condoms</t>
  </si>
  <si>
    <t>Fifa22</t>
  </si>
  <si>
    <t>Strong back stuff</t>
  </si>
  <si>
    <t xml:space="preserve">Mycart Express </t>
  </si>
  <si>
    <t>Exam car</t>
  </si>
  <si>
    <t>KFC</t>
  </si>
  <si>
    <t>New year Token.</t>
  </si>
  <si>
    <t>Gianna Allowance and new year token</t>
  </si>
  <si>
    <t>Exam Car</t>
  </si>
  <si>
    <t>Lucky crab</t>
  </si>
  <si>
    <t>Pocket money</t>
  </si>
  <si>
    <t>Car Deposit</t>
  </si>
  <si>
    <t>Emergency Fund</t>
  </si>
  <si>
    <t>Total Amount</t>
  </si>
  <si>
    <t>Quarterly Amount</t>
  </si>
  <si>
    <t>Monthly Amount</t>
  </si>
  <si>
    <t>Name</t>
  </si>
  <si>
    <t>Plans 2022</t>
  </si>
  <si>
    <t>Car Monthly</t>
  </si>
  <si>
    <t>Row Labels</t>
  </si>
  <si>
    <t>Grand Total</t>
  </si>
  <si>
    <t>Jan</t>
  </si>
  <si>
    <t>Feb</t>
  </si>
  <si>
    <t>Mar</t>
  </si>
  <si>
    <t>Sum of COST</t>
  </si>
  <si>
    <t>The Estate Dashboard</t>
  </si>
  <si>
    <t>Year</t>
  </si>
  <si>
    <t>Gloria's Date</t>
  </si>
  <si>
    <t>Driving Exam fee</t>
  </si>
  <si>
    <t>mystic mountain trip</t>
  </si>
  <si>
    <t>car</t>
  </si>
  <si>
    <t>Mystic mountain trip</t>
  </si>
  <si>
    <t>Tax Refund</t>
  </si>
  <si>
    <t>Licence Fee</t>
  </si>
  <si>
    <t>Repay</t>
  </si>
  <si>
    <t>Diff</t>
  </si>
  <si>
    <t>Lucky Crab</t>
  </si>
  <si>
    <t>Drivers License Fee</t>
  </si>
  <si>
    <t>Paintball</t>
  </si>
  <si>
    <t>Pants</t>
  </si>
  <si>
    <t>GG Glasses</t>
  </si>
  <si>
    <t>Car Rental</t>
  </si>
  <si>
    <t>Master Program application fee</t>
  </si>
  <si>
    <t>Driving Book Copy</t>
  </si>
  <si>
    <t>KFC and Gas</t>
  </si>
  <si>
    <t>Consulting Fee Masters</t>
  </si>
  <si>
    <t>used to balance</t>
  </si>
  <si>
    <t xml:space="preserve">Bank </t>
  </si>
  <si>
    <t>Account Number</t>
  </si>
  <si>
    <t>Purpose</t>
  </si>
  <si>
    <t>JMMB</t>
  </si>
  <si>
    <t>Checking</t>
  </si>
  <si>
    <t>Currency</t>
  </si>
  <si>
    <t>JM</t>
  </si>
  <si>
    <t>USD</t>
  </si>
  <si>
    <t>Emergency Funds</t>
  </si>
  <si>
    <t>Personal</t>
  </si>
  <si>
    <t>Car deposit and Car Monthly</t>
  </si>
  <si>
    <t>Buzzers</t>
  </si>
  <si>
    <t>Gas</t>
  </si>
  <si>
    <t>House Products</t>
  </si>
  <si>
    <t>Flow Top UP</t>
  </si>
  <si>
    <t>Amount Spend (USD)</t>
  </si>
  <si>
    <t>Amount Added (JMD)</t>
  </si>
  <si>
    <t>Amount Added (USD)</t>
  </si>
  <si>
    <t>Total Amount (JMD)</t>
  </si>
  <si>
    <t>Total Amount (USD)</t>
  </si>
  <si>
    <t>Toll</t>
  </si>
  <si>
    <t>Fun Toys</t>
  </si>
  <si>
    <t>Fun restraint</t>
  </si>
  <si>
    <t>Item pickup</t>
  </si>
  <si>
    <t>Ball</t>
  </si>
  <si>
    <t>Barber</t>
  </si>
  <si>
    <t>Dental Care</t>
  </si>
  <si>
    <t>Master's Application Fee</t>
  </si>
  <si>
    <t>Tv Repair</t>
  </si>
  <si>
    <t>Ballgame</t>
  </si>
  <si>
    <t>Gianna Trip</t>
  </si>
  <si>
    <t>Patty</t>
  </si>
  <si>
    <t>Website Renewal</t>
  </si>
  <si>
    <t>Date Night</t>
  </si>
  <si>
    <t>Loan processing</t>
  </si>
  <si>
    <t>AC Service and Mom</t>
  </si>
  <si>
    <t>Owed</t>
  </si>
  <si>
    <t>AC service</t>
  </si>
  <si>
    <t>Police Record</t>
  </si>
  <si>
    <t>Police record</t>
  </si>
  <si>
    <t xml:space="preserve">Ear Doctor </t>
  </si>
  <si>
    <t>Bus fare</t>
  </si>
  <si>
    <t>Ear Drops</t>
  </si>
  <si>
    <t>Car Insurance</t>
  </si>
  <si>
    <t>Food_5months</t>
  </si>
  <si>
    <t>Mom</t>
  </si>
  <si>
    <t>Gianna Glasses</t>
  </si>
  <si>
    <t>Popeyes</t>
  </si>
  <si>
    <t xml:space="preserve">Cement </t>
  </si>
  <si>
    <t>Car Stuff</t>
  </si>
  <si>
    <t>Adaptor</t>
  </si>
  <si>
    <t>Car Tracker</t>
  </si>
  <si>
    <t>Pizza Date</t>
  </si>
  <si>
    <t>Bluetooth Transmitter</t>
  </si>
  <si>
    <t>Pictures</t>
  </si>
  <si>
    <t>Lock</t>
  </si>
  <si>
    <t>Laptop</t>
  </si>
  <si>
    <t>Duolingo</t>
  </si>
  <si>
    <t>Spotify</t>
  </si>
  <si>
    <t>Ground provision</t>
  </si>
  <si>
    <t>Water and Juice</t>
  </si>
  <si>
    <t>Hair Products</t>
  </si>
  <si>
    <t xml:space="preserve">Detox </t>
  </si>
  <si>
    <t>Nair</t>
  </si>
  <si>
    <t>Car Soap</t>
  </si>
  <si>
    <t>Trash Bag</t>
  </si>
  <si>
    <t>Game Controller</t>
  </si>
  <si>
    <t>Chicken</t>
  </si>
  <si>
    <t>Tax</t>
  </si>
  <si>
    <t>Household Fix</t>
  </si>
  <si>
    <t>Detox Foods</t>
  </si>
  <si>
    <t>Wendys</t>
  </si>
  <si>
    <t>Canadian Visa Application</t>
  </si>
  <si>
    <t>Condoms</t>
  </si>
  <si>
    <t>Scratch Remover</t>
  </si>
  <si>
    <t>White House</t>
  </si>
  <si>
    <t>House stuff</t>
  </si>
  <si>
    <t>Fifa23</t>
  </si>
  <si>
    <t>Xbox Gold</t>
  </si>
  <si>
    <t>Vertis</t>
  </si>
  <si>
    <t>Tax Payment</t>
  </si>
  <si>
    <t>Garbage bin</t>
  </si>
  <si>
    <t>House Stuff</t>
  </si>
  <si>
    <t>Consulting Fee Canada</t>
  </si>
  <si>
    <t>Gianna Medication</t>
  </si>
  <si>
    <t>Car Registration</t>
  </si>
  <si>
    <t>Check</t>
  </si>
  <si>
    <t xml:space="preserve"> </t>
  </si>
  <si>
    <t>Domestic</t>
  </si>
  <si>
    <t>Education</t>
  </si>
  <si>
    <t>Gaming</t>
  </si>
  <si>
    <t>Religion</t>
  </si>
  <si>
    <t>Government</t>
  </si>
  <si>
    <t>Heathcare</t>
  </si>
  <si>
    <t>Food &amp; Beverages</t>
  </si>
  <si>
    <t>Industry</t>
  </si>
  <si>
    <t>Electronics</t>
  </si>
  <si>
    <t>Home</t>
  </si>
  <si>
    <t>Banking</t>
  </si>
  <si>
    <t>Life Insurance</t>
  </si>
  <si>
    <t>Church</t>
  </si>
  <si>
    <t>Outing</t>
  </si>
  <si>
    <t>School</t>
  </si>
  <si>
    <t>Finance &amp; Economy</t>
  </si>
  <si>
    <t>Health</t>
  </si>
  <si>
    <t>Column1</t>
  </si>
  <si>
    <t>Microwave</t>
  </si>
  <si>
    <t>Kettle</t>
  </si>
  <si>
    <t>Cost USD</t>
  </si>
  <si>
    <t>Amount USD</t>
  </si>
  <si>
    <t>Instistution</t>
  </si>
  <si>
    <t>HouseStuff</t>
  </si>
  <si>
    <t>Car Loan</t>
  </si>
  <si>
    <t>Fry Chicken</t>
  </si>
  <si>
    <t>Pizza</t>
  </si>
  <si>
    <t>Liquor</t>
  </si>
  <si>
    <t>Percy</t>
  </si>
  <si>
    <t>Bread</t>
  </si>
  <si>
    <t>Rechargeable Battery</t>
  </si>
  <si>
    <t>Flow Bill</t>
  </si>
  <si>
    <t>Car Service</t>
  </si>
  <si>
    <t>Dragon</t>
  </si>
  <si>
    <t>Sprite</t>
  </si>
  <si>
    <t>Netflix</t>
  </si>
  <si>
    <t>Oxtail</t>
  </si>
  <si>
    <t>Jerk chicken</t>
  </si>
  <si>
    <t>Gatorade</t>
  </si>
  <si>
    <t>Juicy Patty</t>
  </si>
  <si>
    <t>Supligen</t>
  </si>
  <si>
    <t>Mom Plane Ticket</t>
  </si>
  <si>
    <t>Doritos</t>
  </si>
  <si>
    <t>Little Tokyo</t>
  </si>
  <si>
    <t>Soap</t>
  </si>
  <si>
    <t>Food Bulk</t>
  </si>
  <si>
    <t>Oats</t>
  </si>
  <si>
    <t>Fruits</t>
  </si>
  <si>
    <t>Party</t>
  </si>
  <si>
    <t>Milk</t>
  </si>
  <si>
    <t>Inspect Spray</t>
  </si>
  <si>
    <t>Cheese Cake</t>
  </si>
  <si>
    <t>Tray of egg</t>
  </si>
  <si>
    <t>Plane Ticket</t>
  </si>
  <si>
    <t>Food_3months</t>
  </si>
  <si>
    <t>LinkedIn Premium</t>
  </si>
  <si>
    <t>Skillarchie's Estate Family Aid</t>
  </si>
  <si>
    <t xml:space="preserve">Traffic Ticket </t>
  </si>
  <si>
    <t>Check luggage</t>
  </si>
  <si>
    <t>Nathan's Fast Food</t>
  </si>
  <si>
    <t>Lips Balm</t>
  </si>
  <si>
    <t>Uber</t>
  </si>
  <si>
    <t>Shoes</t>
  </si>
  <si>
    <t>Socks</t>
  </si>
  <si>
    <t>Credit</t>
  </si>
  <si>
    <t>Clothes</t>
  </si>
  <si>
    <t>Gianna Clothes</t>
  </si>
  <si>
    <t>Pandora</t>
  </si>
  <si>
    <t>Mcdonalds</t>
  </si>
  <si>
    <t>Dunkin' Donut</t>
  </si>
  <si>
    <t>Puma Shoes</t>
  </si>
  <si>
    <t>Sweetie</t>
  </si>
  <si>
    <t>Suit case</t>
  </si>
  <si>
    <t>Bojangles</t>
  </si>
  <si>
    <t>Brianna</t>
  </si>
  <si>
    <t>Retirement</t>
  </si>
  <si>
    <t>PNC</t>
  </si>
  <si>
    <t>River Trip</t>
  </si>
  <si>
    <t>Car Fitness</t>
  </si>
  <si>
    <t>Car battery</t>
  </si>
  <si>
    <t>batteries</t>
  </si>
  <si>
    <t>roll on</t>
  </si>
  <si>
    <t xml:space="preserve">taste's </t>
  </si>
  <si>
    <t>Canada Job Hunting Service</t>
  </si>
  <si>
    <t>Lime</t>
  </si>
  <si>
    <t>Krispy Cream</t>
  </si>
  <si>
    <t>Dermatologist Doctor</t>
  </si>
  <si>
    <t>Cost</t>
  </si>
  <si>
    <t>life Insurance</t>
  </si>
  <si>
    <t>Cash</t>
  </si>
  <si>
    <t>Category</t>
  </si>
  <si>
    <t>Months</t>
  </si>
  <si>
    <t>Difference</t>
  </si>
  <si>
    <t>Breanna Laptop Assistance</t>
  </si>
  <si>
    <t>lime</t>
  </si>
  <si>
    <t>Tumeric Pill</t>
  </si>
  <si>
    <t>Chocolate Chips</t>
  </si>
  <si>
    <t>Banana Bread</t>
  </si>
  <si>
    <t>fresca</t>
  </si>
  <si>
    <t>Metal Pick</t>
  </si>
  <si>
    <t>Harvey's</t>
  </si>
  <si>
    <t>Books</t>
  </si>
  <si>
    <t>Hershey's Chocolate</t>
  </si>
  <si>
    <t>Barber Club</t>
  </si>
  <si>
    <t>Beard Oil</t>
  </si>
  <si>
    <t>Sysane Eye drop</t>
  </si>
  <si>
    <t>Advil</t>
  </si>
  <si>
    <t>Vitamin D</t>
  </si>
  <si>
    <t>Eye Doctor</t>
  </si>
  <si>
    <t>Prescipted Glasses</t>
  </si>
  <si>
    <t>King Alarm</t>
  </si>
  <si>
    <t>Juice</t>
  </si>
  <si>
    <t>Beard Comb</t>
  </si>
  <si>
    <t>Marble cake</t>
  </si>
  <si>
    <t>Twink</t>
  </si>
  <si>
    <t>Walmart</t>
  </si>
  <si>
    <t>Ice Cream</t>
  </si>
  <si>
    <t>Alma</t>
  </si>
  <si>
    <t>Omega 3 eye care</t>
  </si>
  <si>
    <t>Eye Vitamins</t>
  </si>
  <si>
    <t>Glasses cleaner</t>
  </si>
  <si>
    <t>Family Dollar</t>
  </si>
  <si>
    <t>Book</t>
  </si>
  <si>
    <t>Pen</t>
  </si>
  <si>
    <t>Pencil</t>
  </si>
  <si>
    <t>Irish Moss</t>
  </si>
  <si>
    <t>Homemaker Premium Orange Juice</t>
  </si>
  <si>
    <t>Nestle Vanilla Sandwich</t>
  </si>
  <si>
    <t xml:space="preserve">Popsicle </t>
  </si>
  <si>
    <t>Comb and Brush pack</t>
  </si>
  <si>
    <t>Cotton ball</t>
  </si>
  <si>
    <t>Hydrogen Peroxide</t>
  </si>
  <si>
    <t>Irish Spring</t>
  </si>
  <si>
    <t>Baby Oil</t>
  </si>
  <si>
    <t>Chinese</t>
  </si>
  <si>
    <t>Colgate</t>
  </si>
  <si>
    <t>minute maid</t>
  </si>
  <si>
    <t>Soldanza</t>
  </si>
  <si>
    <t>Coca cola Mini</t>
  </si>
  <si>
    <t>Jamaica Irish Moss</t>
  </si>
  <si>
    <t>Paper Plates</t>
  </si>
  <si>
    <t>Hand Towel</t>
  </si>
  <si>
    <t>Pepsi</t>
  </si>
  <si>
    <t xml:space="preserve">coca cola </t>
  </si>
  <si>
    <t>Fifa24</t>
  </si>
  <si>
    <t>Wheat Bread</t>
  </si>
  <si>
    <t>Potato Bread</t>
  </si>
  <si>
    <t>Oreo</t>
  </si>
  <si>
    <t>Bologna</t>
  </si>
  <si>
    <t>franks</t>
  </si>
  <si>
    <t>Mars  mixed mini variety bag</t>
  </si>
  <si>
    <t>DoubleMint</t>
  </si>
  <si>
    <t>Baked bean</t>
  </si>
  <si>
    <t>BORDEN CHEDDAR SLICED CHEESE</t>
  </si>
  <si>
    <t>Tropicana Premium Orange Juice</t>
  </si>
  <si>
    <t>Krasdale Sponge 4P</t>
  </si>
  <si>
    <t>Kaboom Shower/Tub/Tile clean</t>
  </si>
  <si>
    <t>Snickers single</t>
  </si>
  <si>
    <t>Clorox Gallon</t>
  </si>
  <si>
    <t>Comet Microfiber Towel</t>
  </si>
  <si>
    <t>Colgate Sensitivity</t>
  </si>
  <si>
    <t>Colgate Brisk Mint</t>
  </si>
  <si>
    <t>Colgate Frosty Mint</t>
  </si>
  <si>
    <t>Eggs</t>
  </si>
  <si>
    <t>Frito -Lay Classic 18 Bag</t>
  </si>
  <si>
    <t>Pringles</t>
  </si>
  <si>
    <t>Orange Juice</t>
  </si>
  <si>
    <t xml:space="preserve">Glasses </t>
  </si>
  <si>
    <t>Garbage bag</t>
  </si>
  <si>
    <t>Flow Sim</t>
  </si>
  <si>
    <t>Print</t>
  </si>
  <si>
    <t>Island Grill</t>
  </si>
  <si>
    <t>Mobile Application Course</t>
  </si>
  <si>
    <t>Digestive</t>
  </si>
  <si>
    <t>Banana</t>
  </si>
  <si>
    <t>Bun</t>
  </si>
  <si>
    <t>Cayenne Pepper</t>
  </si>
  <si>
    <t>Natural Orange Juice</t>
  </si>
  <si>
    <t>Baking Soda</t>
  </si>
  <si>
    <t>Apple Cider Vinegar</t>
  </si>
  <si>
    <t>Football</t>
  </si>
  <si>
    <t>Iron Board</t>
  </si>
  <si>
    <t>Car Vacuum</t>
  </si>
  <si>
    <t>Hanger</t>
  </si>
  <si>
    <t>Tape Measure</t>
  </si>
  <si>
    <t>Juice drug</t>
  </si>
  <si>
    <t>Towel</t>
  </si>
  <si>
    <t>Chia seed</t>
  </si>
  <si>
    <t>Sea Moss</t>
  </si>
  <si>
    <t>Sorrel</t>
  </si>
  <si>
    <t>TV unit living room set</t>
  </si>
  <si>
    <t>Working Desk New York</t>
  </si>
  <si>
    <t>Work Desk Jamaica</t>
  </si>
  <si>
    <t>Working Chair Jamaica</t>
  </si>
  <si>
    <t>Badia Extra Virgin Olive Oil</t>
  </si>
  <si>
    <t>IEBRIA 100% Extra Virgin Olive Oil</t>
  </si>
  <si>
    <t>MousePad</t>
  </si>
  <si>
    <t>Phone jack</t>
  </si>
  <si>
    <t>Water</t>
  </si>
  <si>
    <t>Pharmacy</t>
  </si>
  <si>
    <t>Dish Rack</t>
  </si>
  <si>
    <t>Green Apple</t>
  </si>
  <si>
    <t>Lemon</t>
  </si>
  <si>
    <t>Cucumber</t>
  </si>
  <si>
    <t>Celery</t>
  </si>
  <si>
    <t>Parsley</t>
  </si>
  <si>
    <t>Ginger</t>
  </si>
  <si>
    <t>watermelon</t>
  </si>
  <si>
    <t>Garlic</t>
  </si>
  <si>
    <t xml:space="preserve">Orange </t>
  </si>
  <si>
    <t>Kale</t>
  </si>
  <si>
    <t>Spinach</t>
  </si>
  <si>
    <t>Beet</t>
  </si>
  <si>
    <t>Cabbage</t>
  </si>
  <si>
    <t>Broccoli</t>
  </si>
  <si>
    <t>Pine</t>
  </si>
  <si>
    <t>Lettuce</t>
  </si>
  <si>
    <t>Rapid Roach Spray</t>
  </si>
  <si>
    <t>Bun &amp; Cheese</t>
  </si>
  <si>
    <t>Parking</t>
  </si>
  <si>
    <t>Charger</t>
  </si>
  <si>
    <t>Apple</t>
  </si>
  <si>
    <t>Powerade</t>
  </si>
  <si>
    <t>Scott Paper Towel</t>
  </si>
  <si>
    <t>Tyre Shine</t>
  </si>
  <si>
    <t>Spray Bottle</t>
  </si>
  <si>
    <t>Goodie</t>
  </si>
  <si>
    <t>Small Rug</t>
  </si>
  <si>
    <t>Big Rug</t>
  </si>
  <si>
    <t>Malta</t>
  </si>
  <si>
    <t>Sorrel Beer</t>
  </si>
  <si>
    <t>Tastes</t>
  </si>
  <si>
    <t>Carrot</t>
  </si>
  <si>
    <t>Orange</t>
  </si>
  <si>
    <t>Potatoes</t>
  </si>
  <si>
    <t>Plaintain</t>
  </si>
  <si>
    <t>Guzzler</t>
  </si>
  <si>
    <t>Island Vibes Water</t>
  </si>
  <si>
    <t>Gatarade</t>
  </si>
  <si>
    <t>Kool Kids</t>
  </si>
  <si>
    <t>Emergency Fund/spending</t>
  </si>
  <si>
    <t xml:space="preserve">total </t>
  </si>
  <si>
    <t xml:space="preserve">Bridge </t>
  </si>
  <si>
    <t>Tooth Fillling</t>
  </si>
  <si>
    <t>King Aarm</t>
  </si>
  <si>
    <t>Castor Oil</t>
  </si>
  <si>
    <t>Clove Oil</t>
  </si>
  <si>
    <t>Tylenol</t>
  </si>
  <si>
    <t>Colgate ToothPaste Sensitive</t>
  </si>
  <si>
    <t>Plague Control Brush</t>
  </si>
  <si>
    <t>Coolant</t>
  </si>
  <si>
    <t>Sud Sud</t>
  </si>
  <si>
    <t>Chicken &amp; Things</t>
  </si>
  <si>
    <t>Biscuits</t>
  </si>
  <si>
    <t>Romain Virgo Concert</t>
  </si>
  <si>
    <t>Entertainment</t>
  </si>
  <si>
    <t>Fun</t>
  </si>
  <si>
    <t>Cranberry</t>
  </si>
  <si>
    <t>Peanuts</t>
  </si>
  <si>
    <t>Screen Protector</t>
  </si>
  <si>
    <t>Jelly</t>
  </si>
  <si>
    <t>Cheese</t>
  </si>
  <si>
    <t>June Plum Juice</t>
  </si>
  <si>
    <t>Data Protection Course</t>
  </si>
  <si>
    <t>toll</t>
  </si>
  <si>
    <t>Coconut Oil</t>
  </si>
  <si>
    <t>Pepper</t>
  </si>
  <si>
    <t>Callaloo</t>
  </si>
  <si>
    <t>Vitamin B complex</t>
  </si>
  <si>
    <t>VitaminSkin, Hair &amp; Nail</t>
  </si>
  <si>
    <t>Easter Bun</t>
  </si>
  <si>
    <t>Dental Xray</t>
  </si>
  <si>
    <t>Dental Oral Examination</t>
  </si>
  <si>
    <t>AC Service</t>
  </si>
  <si>
    <t>Cran water</t>
  </si>
  <si>
    <t>Soda</t>
  </si>
  <si>
    <t>Icool Water</t>
  </si>
  <si>
    <t>Onion</t>
  </si>
  <si>
    <t>Sweet Peeper</t>
  </si>
  <si>
    <t>Dental Filling</t>
  </si>
  <si>
    <t>Dumbell</t>
  </si>
  <si>
    <t>Honey Bun Goldie</t>
  </si>
  <si>
    <t>Butterkist</t>
  </si>
  <si>
    <t>Celebration Cake</t>
  </si>
  <si>
    <t>Tropical Rhytm</t>
  </si>
  <si>
    <t>Toco Loco</t>
  </si>
  <si>
    <t>Turmeric</t>
  </si>
  <si>
    <t>Melon</t>
  </si>
  <si>
    <t>Tropicana Strawberry</t>
  </si>
  <si>
    <t>Tropicana Peach</t>
  </si>
  <si>
    <t>Dental Tooth Extraction</t>
  </si>
  <si>
    <t>Sugar</t>
  </si>
  <si>
    <t>Papaya</t>
  </si>
  <si>
    <t>Car Maintenance</t>
  </si>
  <si>
    <t>Android Development Udemy Course</t>
  </si>
  <si>
    <t xml:space="preserve"> Car Maintenance</t>
  </si>
  <si>
    <t>Lasco Baked Bean</t>
  </si>
  <si>
    <t>Excelsior Cream Crackers</t>
  </si>
  <si>
    <t>Grace Macaroni</t>
  </si>
  <si>
    <t>Grace Sardine</t>
  </si>
  <si>
    <t>Grace Mackerel</t>
  </si>
  <si>
    <t>Colgate Soda and Peroxid</t>
  </si>
  <si>
    <t>Pregnancy Test</t>
  </si>
  <si>
    <t>Lucozade</t>
  </si>
  <si>
    <t>Tropics</t>
  </si>
  <si>
    <t>Boat Ride</t>
  </si>
  <si>
    <t>Mattraws</t>
  </si>
  <si>
    <t>Kiwi</t>
  </si>
  <si>
    <t>Chicken Season</t>
  </si>
  <si>
    <t>Maggi Fish Season</t>
  </si>
  <si>
    <t>Car Scent</t>
  </si>
  <si>
    <t>Maggi Complete Season</t>
  </si>
  <si>
    <t>Paper Towel</t>
  </si>
  <si>
    <t>Simple Natural Coconut Oil</t>
  </si>
  <si>
    <t>Vegetable Oil</t>
  </si>
  <si>
    <t>Car Window</t>
  </si>
  <si>
    <t>Curry Goat</t>
  </si>
  <si>
    <t>Jojoba Oil</t>
  </si>
  <si>
    <t>Peppermint Oil</t>
  </si>
  <si>
    <t>Oral B Glide Floss</t>
  </si>
  <si>
    <t>Car Glass</t>
  </si>
  <si>
    <t>Website</t>
  </si>
  <si>
    <t>Rat and Mouse Trap</t>
  </si>
  <si>
    <t>Flaxseed</t>
  </si>
  <si>
    <t>Skellion</t>
  </si>
  <si>
    <t>Time</t>
  </si>
  <si>
    <t>Tomato</t>
  </si>
  <si>
    <t>Vanilla Ice Cream Sandwich</t>
  </si>
  <si>
    <t>Banana Bulla</t>
  </si>
  <si>
    <t>Pineapple Bulla</t>
  </si>
  <si>
    <t>Coca Cola</t>
  </si>
  <si>
    <t>Butter</t>
  </si>
  <si>
    <t>Flavour Splash</t>
  </si>
  <si>
    <t>Ruffles</t>
  </si>
  <si>
    <t>Rat Poison</t>
  </si>
  <si>
    <t>Tooth Brush</t>
  </si>
  <si>
    <t>Ankle Support</t>
  </si>
  <si>
    <t>Skittles</t>
  </si>
  <si>
    <t>Serge Island Milk</t>
  </si>
  <si>
    <t>Chiffon Butter</t>
  </si>
  <si>
    <t>Cup Soup</t>
  </si>
  <si>
    <t>Rice</t>
  </si>
  <si>
    <t>Slice Fish</t>
  </si>
  <si>
    <t>Red Peas</t>
  </si>
  <si>
    <t>Scale</t>
  </si>
  <si>
    <t>Pizza Hut</t>
  </si>
  <si>
    <t>Muffing</t>
  </si>
  <si>
    <t>Scillion &amp; Time</t>
  </si>
  <si>
    <t>Change Alternator Belt</t>
  </si>
  <si>
    <t>Ginger Beer Soda</t>
  </si>
  <si>
    <t>Foska Oats</t>
  </si>
  <si>
    <t>Coconut Biscuit</t>
  </si>
  <si>
    <t>Banana Chips</t>
  </si>
  <si>
    <t>Cheese zee</t>
  </si>
  <si>
    <t>Mom Bday</t>
  </si>
  <si>
    <t>White Cement</t>
  </si>
  <si>
    <t>Drainage thingy</t>
  </si>
  <si>
    <t>Phone Case</t>
  </si>
  <si>
    <t>House Fixy</t>
  </si>
  <si>
    <t>Travel</t>
  </si>
  <si>
    <t>water</t>
  </si>
  <si>
    <t>Pillow</t>
  </si>
  <si>
    <t>TV Mount</t>
  </si>
  <si>
    <t>Gloria's</t>
  </si>
  <si>
    <t>Quick Chick</t>
  </si>
  <si>
    <t xml:space="preserve">Gianna Dental Care </t>
  </si>
  <si>
    <t>Carib 5</t>
  </si>
  <si>
    <t>Mother's</t>
  </si>
  <si>
    <t>TV Mount Installation</t>
  </si>
  <si>
    <t>Paper Towel Holder</t>
  </si>
  <si>
    <t>Chia Seed</t>
  </si>
  <si>
    <t>Sugar Cane</t>
  </si>
  <si>
    <t>Candy</t>
  </si>
  <si>
    <t>Sound Man</t>
  </si>
  <si>
    <t>Black Seed Oil</t>
  </si>
  <si>
    <t>God Father Duty</t>
  </si>
  <si>
    <t>Lip Balm</t>
  </si>
  <si>
    <t>Suzannetta Chartered Celebration</t>
  </si>
  <si>
    <t>GodFather Duties</t>
  </si>
  <si>
    <t>Guava Pineapple</t>
  </si>
  <si>
    <t>Boom</t>
  </si>
  <si>
    <t>Dole Seedless Prune</t>
  </si>
  <si>
    <t>Red Bull</t>
  </si>
  <si>
    <t>HandTowel Holder</t>
  </si>
  <si>
    <t>Wendy</t>
  </si>
  <si>
    <t>Storage Bin</t>
  </si>
  <si>
    <t>Raid Ant &amp; Roach Spray</t>
  </si>
  <si>
    <t>Tastee Cheese</t>
  </si>
  <si>
    <t>National Spice Bun</t>
  </si>
  <si>
    <t>Health Card Premium</t>
  </si>
  <si>
    <t>Bully Beef</t>
  </si>
  <si>
    <t>Peanut</t>
  </si>
  <si>
    <t>Strong Back</t>
  </si>
  <si>
    <t>Bag of snack mixs</t>
  </si>
  <si>
    <t>Ruffles Originals</t>
  </si>
  <si>
    <t>Straw</t>
  </si>
  <si>
    <t>Hershey Chocolate</t>
  </si>
  <si>
    <t>PizzaHut</t>
  </si>
  <si>
    <t>Health Card</t>
  </si>
  <si>
    <t>Plans 2025</t>
  </si>
  <si>
    <t>Game Pass</t>
  </si>
  <si>
    <t>Ground Provision</t>
  </si>
  <si>
    <t>Projects  2024 Phase 4</t>
  </si>
  <si>
    <t>Car Payments</t>
  </si>
  <si>
    <t>Herboo Dual Cleansing</t>
  </si>
  <si>
    <t>Juicy Patties</t>
  </si>
  <si>
    <t>Car Miscellaneous</t>
  </si>
  <si>
    <t>Tastee Patty</t>
  </si>
  <si>
    <t>Goldie</t>
  </si>
  <si>
    <t xml:space="preserve">Tastee </t>
  </si>
  <si>
    <t>Nestle Crunch Bar</t>
  </si>
  <si>
    <t>Car Assessment Report</t>
  </si>
  <si>
    <t>Light Reinstillation</t>
  </si>
  <si>
    <t>(Multiple Items)</t>
  </si>
  <si>
    <t>Apr</t>
  </si>
  <si>
    <t>May</t>
  </si>
  <si>
    <t>Jun</t>
  </si>
  <si>
    <t>Jul</t>
  </si>
  <si>
    <t>Aug</t>
  </si>
  <si>
    <t>Sep</t>
  </si>
  <si>
    <t>Plane Seat</t>
  </si>
  <si>
    <t>Watch</t>
  </si>
  <si>
    <t>Pinky Bday Dinner</t>
  </si>
  <si>
    <t>Bedframe</t>
  </si>
  <si>
    <t>Donut</t>
  </si>
  <si>
    <t>WormWood</t>
  </si>
  <si>
    <t>Bluetooth Charger</t>
  </si>
  <si>
    <t>Key Holder</t>
  </si>
  <si>
    <t>Grapes</t>
  </si>
  <si>
    <t>Bed Frame</t>
  </si>
  <si>
    <t>Healthcare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</si>
</sst>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_(&quot;$&quot;* #,##0.00_);_(&quot;$&quot;* \(#,##0.00\);_(&quot;$&quot;* &quot;-&quot;??_);_(@_)"/>
    <numFmt numFmtId="165" formatCode="_-&quot;$&quot;* #,##0_-;\-&quot;$&quot;* #,##0_-;_-&quot;$&quot;* &quot;-&quot;??_-;_-@_-"/>
    <numFmt numFmtId="166" formatCode="&quot;$&quot;#,##0.00"/>
    <numFmt numFmtId="167"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1"/>
      <color rgb="FF000000"/>
      <name val="Calibri"/>
      <family val="2"/>
    </font>
    <font>
      <sz val="11"/>
      <name val="Calibri"/>
      <family val="2"/>
      <scheme val="minor"/>
    </font>
    <font>
      <sz val="11"/>
      <color rgb="FFFF0000"/>
      <name val="Calibri"/>
      <family val="2"/>
      <scheme val="minor"/>
    </font>
    <font>
      <sz val="9"/>
      <color indexed="81"/>
      <name val="Tahoma"/>
      <family val="2"/>
    </font>
    <font>
      <b/>
      <sz val="9"/>
      <color indexed="81"/>
      <name val="Tahoma"/>
      <family val="2"/>
    </font>
    <font>
      <b/>
      <sz val="18"/>
      <name val="Times New Roman"/>
      <family val="1"/>
    </font>
    <font>
      <sz val="11"/>
      <color theme="1"/>
      <name val="Calibri"/>
      <family val="2"/>
      <scheme val="minor"/>
    </font>
    <font>
      <sz val="8"/>
      <name val="Calibri"/>
      <family val="2"/>
      <scheme val="minor"/>
    </font>
    <font>
      <sz val="11"/>
      <color theme="1"/>
      <name val="Calibri"/>
      <family val="2"/>
      <scheme val="minor"/>
    </font>
    <font>
      <sz val="7"/>
      <color rgb="FF05AC53"/>
      <name val="Segoe UI"/>
      <family val="2"/>
    </font>
    <font>
      <b/>
      <sz val="11"/>
      <color theme="0"/>
      <name val="Calibri"/>
      <family val="2"/>
      <scheme val="minor"/>
    </font>
    <font>
      <sz val="11"/>
      <color theme="1"/>
      <name val="Calibri"/>
      <family val="2"/>
      <scheme val="minor"/>
    </font>
    <font>
      <sz val="11"/>
      <color theme="1"/>
      <name val="Calibri"/>
      <family val="2"/>
      <scheme val="minor"/>
    </font>
    <font>
      <sz val="11"/>
      <color theme="1"/>
      <name val="Calibri"/>
      <scheme val="minor"/>
    </font>
  </fonts>
  <fills count="13">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4"/>
        <bgColor indexed="64"/>
      </patternFill>
    </fill>
    <fill>
      <patternFill patternType="solid">
        <fgColor theme="4" tint="0.79998168889431442"/>
        <bgColor indexed="64"/>
      </patternFill>
    </fill>
    <fill>
      <patternFill patternType="solid">
        <fgColor theme="9"/>
        <bgColor indexed="64"/>
      </patternFill>
    </fill>
    <fill>
      <patternFill patternType="solid">
        <fgColor theme="8"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style="thin">
        <color theme="4"/>
      </right>
      <top style="thin">
        <color theme="4"/>
      </top>
      <bottom/>
      <diagonal/>
    </border>
    <border>
      <left/>
      <right style="thin">
        <color theme="4"/>
      </right>
      <top style="thin">
        <color theme="4"/>
      </top>
      <bottom style="thin">
        <color theme="4"/>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double">
        <color indexed="64"/>
      </bottom>
      <diagonal/>
    </border>
  </borders>
  <cellStyleXfs count="4">
    <xf numFmtId="0" fontId="0" fillId="0" borderId="0"/>
    <xf numFmtId="44" fontId="1" fillId="0" borderId="0" applyFont="0" applyFill="0" applyBorder="0" applyAlignment="0" applyProtection="0"/>
    <xf numFmtId="0" fontId="4" fillId="0" borderId="0"/>
    <xf numFmtId="9" fontId="1" fillId="0" borderId="0" applyFont="0" applyFill="0" applyBorder="0" applyAlignment="0" applyProtection="0"/>
  </cellStyleXfs>
  <cellXfs count="111">
    <xf numFmtId="0" fontId="0" fillId="0" borderId="0" xfId="0"/>
    <xf numFmtId="44" fontId="0" fillId="0" borderId="0" xfId="1" applyFont="1"/>
    <xf numFmtId="14" fontId="0" fillId="0" borderId="0" xfId="0" applyNumberFormat="1"/>
    <xf numFmtId="165" fontId="0" fillId="0" borderId="0" xfId="1" applyNumberFormat="1" applyFont="1"/>
    <xf numFmtId="0" fontId="2" fillId="0" borderId="0" xfId="0" applyFont="1"/>
    <xf numFmtId="44" fontId="2" fillId="0" borderId="0" xfId="1" applyFont="1"/>
    <xf numFmtId="166" fontId="0" fillId="0" borderId="0" xfId="0" applyNumberFormat="1"/>
    <xf numFmtId="0" fontId="3" fillId="0" borderId="1" xfId="0" applyFont="1" applyBorder="1"/>
    <xf numFmtId="0" fontId="0" fillId="0" borderId="1" xfId="0" applyBorder="1"/>
    <xf numFmtId="14" fontId="0" fillId="0" borderId="1" xfId="0" applyNumberFormat="1" applyBorder="1"/>
    <xf numFmtId="44" fontId="0" fillId="0" borderId="1" xfId="1" applyFont="1" applyBorder="1"/>
    <xf numFmtId="0" fontId="0" fillId="2" borderId="0" xfId="0" applyFill="1"/>
    <xf numFmtId="166" fontId="0" fillId="2" borderId="0" xfId="0" applyNumberFormat="1" applyFill="1"/>
    <xf numFmtId="14" fontId="0" fillId="2" borderId="0" xfId="0" applyNumberFormat="1" applyFill="1"/>
    <xf numFmtId="0" fontId="3" fillId="3" borderId="0" xfId="0" applyFont="1" applyFill="1"/>
    <xf numFmtId="0" fontId="2" fillId="3" borderId="0" xfId="0" applyFont="1" applyFill="1"/>
    <xf numFmtId="166" fontId="0" fillId="0" borderId="1" xfId="0" applyNumberFormat="1" applyBorder="1"/>
    <xf numFmtId="0" fontId="0" fillId="5" borderId="1" xfId="0" applyFill="1" applyBorder="1"/>
    <xf numFmtId="0" fontId="0" fillId="0" borderId="0" xfId="0" applyAlignment="1">
      <alignment wrapText="1"/>
    </xf>
    <xf numFmtId="44" fontId="0" fillId="2" borderId="0" xfId="1" applyFont="1" applyFill="1"/>
    <xf numFmtId="44" fontId="0" fillId="6" borderId="0" xfId="1" applyFont="1" applyFill="1"/>
    <xf numFmtId="0" fontId="0" fillId="7" borderId="0" xfId="0" applyFill="1"/>
    <xf numFmtId="167" fontId="0" fillId="0" borderId="0" xfId="3" applyNumberFormat="1" applyFont="1"/>
    <xf numFmtId="167" fontId="0" fillId="0" borderId="0" xfId="0" applyNumberFormat="1"/>
    <xf numFmtId="44" fontId="0" fillId="0" borderId="0" xfId="0" applyNumberFormat="1"/>
    <xf numFmtId="0" fontId="0" fillId="2" borderId="0" xfId="0" applyFill="1" applyAlignment="1">
      <alignment wrapText="1"/>
    </xf>
    <xf numFmtId="167" fontId="0" fillId="2" borderId="0" xfId="3" applyNumberFormat="1" applyFont="1" applyFill="1"/>
    <xf numFmtId="44" fontId="0" fillId="0" borderId="0" xfId="1" applyFont="1" applyFill="1"/>
    <xf numFmtId="14" fontId="0" fillId="6" borderId="0" xfId="0" applyNumberFormat="1" applyFill="1"/>
    <xf numFmtId="0" fontId="0" fillId="6" borderId="0" xfId="0" applyFill="1"/>
    <xf numFmtId="167" fontId="0" fillId="6" borderId="0" xfId="3" applyNumberFormat="1" applyFont="1" applyFill="1"/>
    <xf numFmtId="44" fontId="0" fillId="8" borderId="0" xfId="1" applyFont="1" applyFill="1"/>
    <xf numFmtId="167" fontId="0" fillId="0" borderId="0" xfId="3" applyNumberFormat="1" applyFont="1" applyFill="1"/>
    <xf numFmtId="166" fontId="2" fillId="0" borderId="0" xfId="1" applyNumberFormat="1" applyFont="1"/>
    <xf numFmtId="166" fontId="0" fillId="0" borderId="0" xfId="1" applyNumberFormat="1" applyFont="1" applyFill="1"/>
    <xf numFmtId="14" fontId="2" fillId="0" borderId="0" xfId="0" applyNumberFormat="1" applyFont="1"/>
    <xf numFmtId="44" fontId="6" fillId="0" borderId="0" xfId="0" applyNumberFormat="1" applyFont="1"/>
    <xf numFmtId="44" fontId="0" fillId="2" borderId="0" xfId="0" applyNumberFormat="1" applyFill="1"/>
    <xf numFmtId="164" fontId="0" fillId="0" borderId="0" xfId="0" applyNumberFormat="1"/>
    <xf numFmtId="0" fontId="0" fillId="7" borderId="0" xfId="0" applyFill="1" applyAlignment="1">
      <alignment horizontal="center" vertical="center"/>
    </xf>
    <xf numFmtId="166" fontId="0" fillId="7" borderId="0" xfId="0" applyNumberFormat="1" applyFill="1" applyAlignment="1">
      <alignment horizontal="center" vertical="center"/>
    </xf>
    <xf numFmtId="0" fontId="0" fillId="9" borderId="0" xfId="0" applyFill="1"/>
    <xf numFmtId="166" fontId="0" fillId="9" borderId="0" xfId="0" applyNumberFormat="1" applyFill="1"/>
    <xf numFmtId="0" fontId="0" fillId="0" borderId="0" xfId="0" pivotButton="1"/>
    <xf numFmtId="0" fontId="0" fillId="0" borderId="0" xfId="0" applyAlignment="1">
      <alignment horizontal="left"/>
    </xf>
    <xf numFmtId="44" fontId="10" fillId="0" borderId="0" xfId="1" applyFont="1"/>
    <xf numFmtId="0" fontId="0" fillId="10" borderId="0" xfId="0" applyFill="1"/>
    <xf numFmtId="44" fontId="0" fillId="10" borderId="0" xfId="1" applyFont="1" applyFill="1"/>
    <xf numFmtId="0" fontId="0" fillId="0" borderId="0" xfId="0" applyAlignment="1">
      <alignment horizontal="center"/>
    </xf>
    <xf numFmtId="0" fontId="3" fillId="0" borderId="0" xfId="0" applyFont="1" applyAlignment="1">
      <alignment horizontal="center"/>
    </xf>
    <xf numFmtId="44" fontId="3" fillId="0" borderId="0" xfId="1" applyFont="1" applyAlignment="1">
      <alignment horizontal="center"/>
    </xf>
    <xf numFmtId="44" fontId="0" fillId="0" borderId="0" xfId="1" applyFont="1" applyAlignment="1">
      <alignment horizontal="center"/>
    </xf>
    <xf numFmtId="14" fontId="3" fillId="0" borderId="0" xfId="0" applyNumberFormat="1" applyFont="1" applyAlignment="1">
      <alignment horizontal="center"/>
    </xf>
    <xf numFmtId="14" fontId="0" fillId="0" borderId="0" xfId="0" applyNumberFormat="1" applyAlignment="1">
      <alignment horizontal="center"/>
    </xf>
    <xf numFmtId="9" fontId="0" fillId="2" borderId="0" xfId="3" applyFont="1" applyFill="1"/>
    <xf numFmtId="44" fontId="10" fillId="0" borderId="0" xfId="1" applyFont="1" applyAlignment="1">
      <alignment horizontal="center"/>
    </xf>
    <xf numFmtId="0" fontId="3" fillId="0" borderId="0" xfId="0" applyFont="1"/>
    <xf numFmtId="44" fontId="10" fillId="0" borderId="0" xfId="1" applyFont="1" applyFill="1" applyAlignment="1">
      <alignment horizontal="center"/>
    </xf>
    <xf numFmtId="14" fontId="0" fillId="9" borderId="0" xfId="0" applyNumberFormat="1" applyFill="1"/>
    <xf numFmtId="44" fontId="0" fillId="9" borderId="0" xfId="1" applyFont="1" applyFill="1"/>
    <xf numFmtId="44" fontId="2" fillId="0" borderId="0" xfId="1" applyFont="1" applyFill="1"/>
    <xf numFmtId="165" fontId="0" fillId="0" borderId="0" xfId="1" applyNumberFormat="1" applyFont="1" applyFill="1"/>
    <xf numFmtId="44" fontId="10" fillId="0" borderId="0" xfId="1" applyFont="1" applyFill="1"/>
    <xf numFmtId="44" fontId="12" fillId="0" borderId="0" xfId="1" applyFont="1"/>
    <xf numFmtId="44" fontId="0" fillId="11" borderId="2" xfId="1" applyFont="1" applyFill="1" applyBorder="1" applyAlignment="1">
      <alignment horizontal="center"/>
    </xf>
    <xf numFmtId="44" fontId="12" fillId="0" borderId="0" xfId="1" applyFont="1" applyAlignment="1">
      <alignment horizontal="center"/>
    </xf>
    <xf numFmtId="44" fontId="0" fillId="0" borderId="2" xfId="1" applyFont="1" applyBorder="1" applyAlignment="1">
      <alignment horizontal="center"/>
    </xf>
    <xf numFmtId="0" fontId="13" fillId="0" borderId="0" xfId="0" applyFont="1"/>
    <xf numFmtId="0" fontId="0" fillId="0" borderId="3" xfId="0" applyBorder="1"/>
    <xf numFmtId="0" fontId="14" fillId="12" borderId="3" xfId="0" applyFont="1" applyFill="1" applyBorder="1"/>
    <xf numFmtId="0" fontId="0" fillId="0" borderId="4" xfId="0" applyBorder="1"/>
    <xf numFmtId="44" fontId="0" fillId="4" borderId="0" xfId="1" applyFont="1" applyFill="1"/>
    <xf numFmtId="1" fontId="0" fillId="0" borderId="0" xfId="0" applyNumberFormat="1" applyAlignment="1">
      <alignment horizontal="left"/>
    </xf>
    <xf numFmtId="44" fontId="15" fillId="0" borderId="0" xfId="1" applyFont="1"/>
    <xf numFmtId="9" fontId="0" fillId="0" borderId="0" xfId="3" applyFont="1"/>
    <xf numFmtId="44" fontId="16" fillId="0" borderId="0" xfId="1" applyFont="1"/>
    <xf numFmtId="44" fontId="17" fillId="0" borderId="0" xfId="1" applyFont="1"/>
    <xf numFmtId="0" fontId="14" fillId="0" borderId="6" xfId="0" applyFont="1" applyBorder="1"/>
    <xf numFmtId="44" fontId="14" fillId="0" borderId="7" xfId="1" applyFont="1" applyFill="1" applyBorder="1"/>
    <xf numFmtId="14" fontId="14" fillId="0" borderId="7" xfId="0" applyNumberFormat="1" applyFont="1" applyBorder="1"/>
    <xf numFmtId="0" fontId="14" fillId="0" borderId="7" xfId="0" applyFont="1" applyBorder="1"/>
    <xf numFmtId="0" fontId="0" fillId="0" borderId="5" xfId="0" applyBorder="1"/>
    <xf numFmtId="165" fontId="0" fillId="0" borderId="2" xfId="1" applyNumberFormat="1" applyFont="1" applyFill="1" applyBorder="1"/>
    <xf numFmtId="14" fontId="0" fillId="0" borderId="2" xfId="0" applyNumberFormat="1" applyBorder="1"/>
    <xf numFmtId="0" fontId="0" fillId="0" borderId="2" xfId="0" applyBorder="1"/>
    <xf numFmtId="165" fontId="0" fillId="0" borderId="0" xfId="0" applyNumberFormat="1"/>
    <xf numFmtId="165" fontId="14" fillId="0" borderId="7" xfId="1" applyNumberFormat="1" applyFont="1" applyFill="1" applyBorder="1"/>
    <xf numFmtId="14" fontId="0" fillId="0" borderId="8" xfId="0" applyNumberFormat="1" applyBorder="1"/>
    <xf numFmtId="44" fontId="14" fillId="0" borderId="7" xfId="1" applyFont="1" applyFill="1" applyBorder="1" applyAlignment="1">
      <alignment horizontal="left"/>
    </xf>
    <xf numFmtId="44" fontId="0" fillId="0" borderId="0" xfId="1" applyFont="1" applyFill="1" applyAlignment="1">
      <alignment horizontal="left"/>
    </xf>
    <xf numFmtId="44" fontId="17" fillId="0" borderId="0" xfId="1" applyFont="1" applyFill="1"/>
    <xf numFmtId="44" fontId="17" fillId="0" borderId="0" xfId="1" applyFont="1" applyFill="1" applyAlignment="1">
      <alignment horizontal="left"/>
    </xf>
    <xf numFmtId="44" fontId="17" fillId="0" borderId="0" xfId="1" applyFont="1" applyFill="1" applyBorder="1"/>
    <xf numFmtId="44" fontId="17" fillId="0" borderId="0" xfId="1" applyFont="1" applyFill="1" applyBorder="1" applyAlignment="1">
      <alignment horizontal="left"/>
    </xf>
    <xf numFmtId="44" fontId="0" fillId="0" borderId="0" xfId="1" applyFont="1" applyFill="1" applyBorder="1" applyAlignment="1">
      <alignment horizontal="left"/>
    </xf>
    <xf numFmtId="165" fontId="0" fillId="0" borderId="0" xfId="1" applyNumberFormat="1" applyFont="1" applyFill="1" applyBorder="1"/>
    <xf numFmtId="0" fontId="0" fillId="0" borderId="8" xfId="0" applyBorder="1"/>
    <xf numFmtId="44" fontId="17" fillId="0" borderId="0" xfId="1" applyFont="1" applyAlignment="1">
      <alignment horizontal="left"/>
    </xf>
    <xf numFmtId="165" fontId="17" fillId="0" borderId="0" xfId="1" applyNumberFormat="1" applyFont="1" applyFill="1" applyBorder="1"/>
    <xf numFmtId="44" fontId="17" fillId="0" borderId="0" xfId="1" applyFont="1" applyBorder="1" applyAlignment="1">
      <alignment horizontal="left"/>
    </xf>
    <xf numFmtId="166" fontId="3" fillId="3" borderId="9" xfId="0" applyNumberFormat="1" applyFont="1" applyFill="1" applyBorder="1"/>
    <xf numFmtId="0" fontId="0" fillId="8" borderId="0" xfId="0" applyFill="1"/>
    <xf numFmtId="44" fontId="0" fillId="0" borderId="0" xfId="1" applyFont="1" applyFill="1" applyAlignment="1">
      <alignment horizontal="left" vertical="top"/>
    </xf>
    <xf numFmtId="0" fontId="0" fillId="0" borderId="0" xfId="1" applyNumberFormat="1" applyFont="1" applyFill="1" applyAlignment="1">
      <alignment horizontal="left" vertical="top"/>
    </xf>
    <xf numFmtId="44" fontId="17" fillId="0" borderId="2" xfId="1" applyFont="1" applyBorder="1"/>
    <xf numFmtId="0" fontId="9" fillId="3"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horizontal="center"/>
    </xf>
    <xf numFmtId="0" fontId="5" fillId="3" borderId="0" xfId="0" applyFont="1" applyFill="1" applyAlignment="1">
      <alignment horizontal="center"/>
    </xf>
    <xf numFmtId="0" fontId="0" fillId="2" borderId="0" xfId="0" applyFill="1" applyAlignment="1">
      <alignment horizontal="left" vertical="top" wrapText="1"/>
    </xf>
    <xf numFmtId="0" fontId="0" fillId="4" borderId="1" xfId="0" applyFill="1" applyBorder="1" applyAlignment="1">
      <alignment horizontal="center"/>
    </xf>
  </cellXfs>
  <cellStyles count="4">
    <cellStyle name="Currency" xfId="1" builtinId="4"/>
    <cellStyle name="Normal" xfId="0" builtinId="0"/>
    <cellStyle name="Normal 2" xfId="2" xr:uid="{00000000-0005-0000-0000-000002000000}"/>
    <cellStyle name="Percent" xfId="3" builtinId="5"/>
  </cellStyles>
  <dxfs count="57">
    <dxf>
      <font>
        <b val="0"/>
        <i val="0"/>
        <strike val="0"/>
        <condense val="0"/>
        <extend val="0"/>
        <outline val="0"/>
        <shadow val="0"/>
        <u val="none"/>
        <vertAlign val="baseline"/>
        <sz val="11"/>
        <color theme="1"/>
        <name val="Calibri"/>
        <family val="2"/>
        <scheme val="minor"/>
      </font>
      <numFmt numFmtId="165" formatCode="_-&quot;$&quot;* #,##0_-;\-&quot;$&quot;* #,##0_-;_-&quot;$&quot;* &quot;-&quot;??_-;_-@_-"/>
    </dxf>
    <dxf>
      <font>
        <b val="0"/>
        <i val="0"/>
        <strike val="0"/>
        <condense val="0"/>
        <extend val="0"/>
        <outline val="0"/>
        <shadow val="0"/>
        <u val="none"/>
        <vertAlign val="baseline"/>
        <sz val="11"/>
        <color theme="1"/>
        <name val="Calibri"/>
        <family val="2"/>
        <scheme val="minor"/>
      </font>
      <numFmt numFmtId="165" formatCode="_-&quot;$&quot;* #,##0_-;\-&quot;$&quot;* #,##0_-;_-&quot;$&quot;* &quot;-&quot;??_-;_-@_-"/>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m/yyyy"/>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dxf>
    <dxf>
      <numFmt numFmtId="0" formatCode="General"/>
    </dxf>
    <dxf>
      <numFmt numFmtId="0" formatCode="General"/>
    </dxf>
    <dxf>
      <numFmt numFmtId="19" formatCode="d/m/yyyy"/>
      <fill>
        <patternFill patternType="none">
          <fgColor indexed="64"/>
          <bgColor indexed="65"/>
        </patternFill>
      </fill>
    </dxf>
    <dxf>
      <numFmt numFmtId="19" formatCode="d/m/yyyy"/>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34" formatCode="_-&quot;$&quot;* #,##0.00_-;\-&quot;$&quot;* #,##0.00_-;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quot;$&quot;* #,##0.00_-;_-&quot;$&quot;* &quot;-&quot;??_-;_-@_-"/>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9" formatCode="d/m/yyyy"/>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65" formatCode="_-&quot;$&quot;* #,##0_-;\-&quot;$&quot;* #,##0_-;_-&quot;$&quot;* &quot;-&quot;??_-;_-@_-"/>
      <fill>
        <patternFill patternType="none">
          <fgColor indexed="64"/>
          <bgColor auto="1"/>
        </patternFill>
      </fill>
    </dxf>
    <dxf>
      <numFmt numFmtId="165" formatCode="_-&quot;$&quot;* #,##0_-;\-&quot;$&quot;* #,##0_-;_-&quot;$&quot;* &quot;-&quot;??_-;_-@_-"/>
      <fill>
        <patternFill patternType="none">
          <fgColor indexed="64"/>
          <bgColor auto="1"/>
        </patternFill>
      </fill>
    </dxf>
    <dxf>
      <fill>
        <patternFill patternType="none">
          <fgColor indexed="64"/>
          <bgColor auto="1"/>
        </patternFill>
      </fill>
    </dxf>
    <dxf>
      <border outline="0">
        <right style="thin">
          <color theme="4" tint="0.39997558519241921"/>
        </right>
        <top style="thin">
          <color theme="4" tint="0.39997558519241921"/>
        </top>
      </border>
    </dxf>
    <dxf>
      <fill>
        <patternFill patternType="none">
          <fgColor indexed="64"/>
          <bgColor auto="1"/>
        </patternFill>
      </fill>
    </dxf>
    <dxf>
      <border outline="0">
        <bottom style="thin">
          <color theme="4" tint="0.39997558519241921"/>
        </bottom>
      </border>
    </dxf>
    <dxf>
      <fill>
        <patternFill patternType="none">
          <fgColor indexed="64"/>
          <bgColor auto="1"/>
        </patternFill>
      </fill>
    </dxf>
    <dxf>
      <numFmt numFmtId="0" formatCode="General"/>
    </dxf>
    <dxf>
      <numFmt numFmtId="0" formatCode="General"/>
    </dxf>
    <dxf>
      <numFmt numFmtId="19" formatCode="d/m/yyyy"/>
    </dxf>
    <dxf>
      <numFmt numFmtId="19" formatCode="d/m/yyyy"/>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doc .xlsx]Sheet15!PivotTable27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ysClr val="windowText" lastClr="000000"/>
                </a:solidFill>
              </a:rPr>
              <a:t>Total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Sheet15!$B$3</c:f>
              <c:strCache>
                <c:ptCount val="1"/>
                <c:pt idx="0">
                  <c:v>Total</c:v>
                </c:pt>
              </c:strCache>
            </c:strRef>
          </c:tx>
          <c:spPr>
            <a:ln w="28575" cap="rnd">
              <a:solidFill>
                <a:schemeClr val="accent1"/>
              </a:solidFill>
              <a:round/>
            </a:ln>
            <a:effectLst/>
          </c:spPr>
          <c:marker>
            <c:symbol val="none"/>
          </c:marker>
          <c:cat>
            <c:strRef>
              <c:f>Sheet15!$A$4:$A$13</c:f>
              <c:strCache>
                <c:ptCount val="9"/>
                <c:pt idx="0">
                  <c:v>Jan</c:v>
                </c:pt>
                <c:pt idx="1">
                  <c:v>Feb</c:v>
                </c:pt>
                <c:pt idx="2">
                  <c:v>Mar</c:v>
                </c:pt>
                <c:pt idx="3">
                  <c:v>Apr</c:v>
                </c:pt>
                <c:pt idx="4">
                  <c:v>May</c:v>
                </c:pt>
                <c:pt idx="5">
                  <c:v>Jun</c:v>
                </c:pt>
                <c:pt idx="6">
                  <c:v>Jul</c:v>
                </c:pt>
                <c:pt idx="7">
                  <c:v>Aug</c:v>
                </c:pt>
                <c:pt idx="8">
                  <c:v>Sep</c:v>
                </c:pt>
              </c:strCache>
            </c:strRef>
          </c:cat>
          <c:val>
            <c:numRef>
              <c:f>Sheet15!$B$4:$B$13</c:f>
              <c:numCache>
                <c:formatCode>General</c:formatCode>
                <c:ptCount val="9"/>
                <c:pt idx="0">
                  <c:v>343492.57999999996</c:v>
                </c:pt>
                <c:pt idx="1">
                  <c:v>281158.53000000003</c:v>
                </c:pt>
                <c:pt idx="2">
                  <c:v>278135.45999999996</c:v>
                </c:pt>
                <c:pt idx="3">
                  <c:v>384953.43</c:v>
                </c:pt>
                <c:pt idx="4">
                  <c:v>284861.93</c:v>
                </c:pt>
                <c:pt idx="5">
                  <c:v>278353.43</c:v>
                </c:pt>
                <c:pt idx="6">
                  <c:v>303624.43</c:v>
                </c:pt>
                <c:pt idx="7">
                  <c:v>232132.43</c:v>
                </c:pt>
                <c:pt idx="8">
                  <c:v>256738.43</c:v>
                </c:pt>
              </c:numCache>
            </c:numRef>
          </c:val>
          <c:smooth val="0"/>
          <c:extLst>
            <c:ext xmlns:c16="http://schemas.microsoft.com/office/drawing/2014/chart" uri="{C3380CC4-5D6E-409C-BE32-E72D297353CC}">
              <c16:uniqueId val="{00000000-F97E-46FE-9987-6BDD97AA5D91}"/>
            </c:ext>
          </c:extLst>
        </c:ser>
        <c:dLbls>
          <c:showLegendKey val="0"/>
          <c:showVal val="0"/>
          <c:showCatName val="0"/>
          <c:showSerName val="0"/>
          <c:showPercent val="0"/>
          <c:showBubbleSize val="0"/>
        </c:dLbls>
        <c:smooth val="0"/>
        <c:axId val="1899852447"/>
        <c:axId val="1899855359"/>
      </c:lineChart>
      <c:catAx>
        <c:axId val="18998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855359"/>
        <c:crosses val="autoZero"/>
        <c:auto val="1"/>
        <c:lblAlgn val="ctr"/>
        <c:lblOffset val="100"/>
        <c:noMultiLvlLbl val="0"/>
      </c:catAx>
      <c:valAx>
        <c:axId val="189985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85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doc .xlsx]Sheet16!PivotTable29</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b="1">
                <a:solidFill>
                  <a:sysClr val="windowText" lastClr="000000"/>
                </a:solidFill>
              </a:rPr>
              <a:t>TOP 5 ITEMS BY COST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Sheet16!$B$3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Sheet16!$A$4:$A$9</c:f>
              <c:strCache>
                <c:ptCount val="5"/>
                <c:pt idx="0">
                  <c:v>Light Bill</c:v>
                </c:pt>
                <c:pt idx="1">
                  <c:v>Gas</c:v>
                </c:pt>
                <c:pt idx="2">
                  <c:v>Car Loan</c:v>
                </c:pt>
                <c:pt idx="3">
                  <c:v>Dental Filling</c:v>
                </c:pt>
                <c:pt idx="4">
                  <c:v>Mattraws</c:v>
                </c:pt>
              </c:strCache>
            </c:strRef>
          </c:cat>
          <c:val>
            <c:numRef>
              <c:f>Sheet16!$B$4:$B$9</c:f>
              <c:numCache>
                <c:formatCode>General</c:formatCode>
                <c:ptCount val="5"/>
                <c:pt idx="0">
                  <c:v>225000</c:v>
                </c:pt>
                <c:pt idx="1">
                  <c:v>114400</c:v>
                </c:pt>
                <c:pt idx="2">
                  <c:v>399280</c:v>
                </c:pt>
                <c:pt idx="3">
                  <c:v>213000</c:v>
                </c:pt>
                <c:pt idx="4">
                  <c:v>87000</c:v>
                </c:pt>
              </c:numCache>
            </c:numRef>
          </c:val>
          <c:extLst>
            <c:ext xmlns:c16="http://schemas.microsoft.com/office/drawing/2014/chart" uri="{C3380CC4-5D6E-409C-BE32-E72D297353CC}">
              <c16:uniqueId val="{00000000-8CDE-4E4F-9914-4942C4A28A58}"/>
            </c:ext>
          </c:extLst>
        </c:ser>
        <c:dLbls>
          <c:dLblPos val="outEnd"/>
          <c:showLegendKey val="0"/>
          <c:showVal val="1"/>
          <c:showCatName val="0"/>
          <c:showSerName val="0"/>
          <c:showPercent val="0"/>
          <c:showBubbleSize val="0"/>
        </c:dLbls>
        <c:gapWidth val="164"/>
        <c:overlap val="-22"/>
        <c:axId val="1743214367"/>
        <c:axId val="1743214783"/>
      </c:barChart>
      <c:catAx>
        <c:axId val="174321436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214783"/>
        <c:crosses val="autoZero"/>
        <c:auto val="1"/>
        <c:lblAlgn val="ctr"/>
        <c:lblOffset val="100"/>
        <c:noMultiLvlLbl val="0"/>
      </c:catAx>
      <c:valAx>
        <c:axId val="1743214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21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31750</xdr:colOff>
      <xdr:row>0</xdr:row>
      <xdr:rowOff>50800</xdr:rowOff>
    </xdr:from>
    <xdr:to>
      <xdr:col>3</xdr:col>
      <xdr:colOff>38950</xdr:colOff>
      <xdr:row>2</xdr:row>
      <xdr:rowOff>65800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1750" y="50800"/>
              <a:ext cx="1836000" cy="396000"/>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28575</xdr:colOff>
      <xdr:row>3</xdr:row>
      <xdr:rowOff>34925</xdr:rowOff>
    </xdr:from>
    <xdr:to>
      <xdr:col>16</xdr:col>
      <xdr:colOff>333375</xdr:colOff>
      <xdr:row>18</xdr:row>
      <xdr:rowOff>15875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288925</xdr:colOff>
      <xdr:row>3</xdr:row>
      <xdr:rowOff>28575</xdr:rowOff>
    </xdr:from>
    <xdr:to>
      <xdr:col>8</xdr:col>
      <xdr:colOff>593725</xdr:colOff>
      <xdr:row>18</xdr:row>
      <xdr:rowOff>9525</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6350</xdr:colOff>
      <xdr:row>3</xdr:row>
      <xdr:rowOff>12700</xdr:rowOff>
    </xdr:from>
    <xdr:to>
      <xdr:col>1</xdr:col>
      <xdr:colOff>234950</xdr:colOff>
      <xdr:row>18</xdr:row>
      <xdr:rowOff>6350</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00000000-0008-0000-0000-000005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350" y="584200"/>
              <a:ext cx="838200" cy="2664000"/>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skillarchie davis" id="{3EF6338B-2737-4E16-85CF-5F899D0AC88D}" userId="b06bd4818700443f"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illarchie davis" refreshedDate="45570.491006828706" createdVersion="6" refreshedVersion="8" minRefreshableVersion="3" recordCount="1459" xr:uid="{00000000-000A-0000-FFFF-FFFF00000000}">
  <cacheSource type="worksheet">
    <worksheetSource name="Balance"/>
  </cacheSource>
  <cacheFields count="8">
    <cacheField name="ITEMS" numFmtId="0">
      <sharedItems count="513">
        <s v="Lotion"/>
        <s v="Eaplay"/>
        <s v="Game pass"/>
        <s v="Transportation"/>
        <s v="bread"/>
        <s v="Milo"/>
        <s v="Estate Donation"/>
        <s v="Air freshener"/>
        <s v="Amazon Prime"/>
        <s v="Grips"/>
        <s v="Magnum"/>
        <s v="Gianna Bday lunch"/>
        <s v="Udemy Courses"/>
        <s v="Volume Button"/>
        <s v="Graduation Package"/>
        <s v="Video Games"/>
        <s v="Dinner"/>
        <s v="First Global"/>
        <s v="Breakfast Shopping"/>
        <s v="Doctor"/>
        <s v="Medication"/>
        <s v="Personal Care"/>
        <s v="Insurance"/>
        <s v="Gianna Bday N anniversy Present"/>
        <s v="Graduation Suits"/>
        <s v="Netflixs"/>
        <s v="Pockey Cash"/>
        <s v="Tithes and Offering"/>
        <s v="Light Bill"/>
        <s v="Natural Product"/>
        <s v="Planet Hurt"/>
        <s v="Beach Trip"/>
        <s v="Surprises/Gifts"/>
        <s v="Package"/>
        <s v="Gianna Date"/>
        <s v="Shampoo"/>
        <s v="TV Compilation"/>
        <s v="Amazon "/>
        <s v="Collect"/>
        <s v="Coursera"/>
        <s v="Lunch"/>
        <s v="Headset"/>
        <s v="Mouse"/>
        <s v="EGMR"/>
        <s v="EGMPD"/>
        <s v="Gianna Transportation"/>
        <s v="Work Clothes"/>
        <s v="Food"/>
        <s v="License"/>
        <s v="Driving Class"/>
        <s v="Replacement Screen"/>
        <s v="AC and Installation"/>
        <s v="AC pilot switch"/>
        <s v="Queen Stall"/>
        <s v="S8 purchase"/>
        <s v="Bicycle"/>
        <s v="Shaving and Hair products"/>
        <s v="Household Products"/>
        <s v="GG Bible"/>
        <s v="Vitamins"/>
        <s v="Abs Pro"/>
        <s v="Gianna Allowance"/>
        <s v="Burger King"/>
        <s v="Taste's Patties"/>
        <s v="GG Phone"/>
        <s v="GG Screen Protector"/>
        <s v="Flowers"/>
        <s v="Skilly Phone and accesseries"/>
        <s v="Training Mat and condoms"/>
        <s v="Fifa22"/>
        <s v="Strong back stuff"/>
        <s v="Mycart Express "/>
        <s v="KFC"/>
        <s v="Exam Car"/>
        <s v="Lucky crab"/>
        <s v="Pocket money"/>
        <s v="Gloria's Date"/>
        <s v="Driving Exam fee"/>
        <s v="Mystic mountain trip"/>
        <s v="Tax Refund"/>
        <s v="Drivers License Fee"/>
        <s v="Paintball"/>
        <s v="Pants"/>
        <s v="GG Glasses"/>
        <s v="Consulting Fee Masters"/>
        <s v="KFC and Gas"/>
        <s v="Driving Book Copy"/>
        <s v="Car Rental"/>
        <s v="Gas"/>
        <s v="House Products"/>
        <s v="Flow Top UP"/>
        <s v="Toll"/>
        <s v="Fun Toys"/>
        <s v="Fun restraint"/>
        <s v="Item pickup"/>
        <s v="Ball"/>
        <s v="Barber"/>
        <s v="Dental Care"/>
        <s v="Master's Application Fee"/>
        <s v="Tv Repair"/>
        <s v="Ballgame"/>
        <s v="Gianna Trip"/>
        <s v="Patty"/>
        <s v="Loan processing"/>
        <s v="AC Service and Mom"/>
        <s v="Website Renewal"/>
        <s v="Police record"/>
        <s v="Ear Doctor "/>
        <s v="Bus fare"/>
        <s v="Ear Drops"/>
        <s v="Car Insurance"/>
        <s v="Food_5months"/>
        <s v="Mom"/>
        <s v="Gianna Glasses"/>
        <s v="Popeyes"/>
        <s v="Cement "/>
        <s v="Car Stuff"/>
        <s v="Adaptor"/>
        <s v="Car Tracker"/>
        <s v="Pizza Date"/>
        <s v="Bluetooth Transmitter"/>
        <s v="Pictures"/>
        <s v="Traffic Ticket "/>
        <s v="Lock"/>
        <s v="Laptop"/>
        <s v="NHT"/>
        <s v="Duolingo"/>
        <s v="Spotify"/>
        <s v="Hair Products"/>
        <s v="Detox "/>
        <s v="Nair"/>
        <s v="Car Soap"/>
        <s v="Trash Bag"/>
        <s v="Game Controller"/>
        <s v="Household Fix"/>
        <s v="Detox Foods"/>
        <s v="Wendys"/>
        <s v="Canadian Visa Application"/>
        <s v="Scratch Remover"/>
        <s v="Condoms"/>
        <s v="Tax Payment"/>
        <s v="White House"/>
        <s v="House stuff"/>
        <s v="Fifa23"/>
        <s v="Xbox Gold"/>
        <s v="Garbage bin"/>
        <s v="Car Registration"/>
        <s v="Gianna Medication"/>
        <s v="Consulting Fee Canada"/>
        <s v="Microwave"/>
        <s v="Kettle"/>
        <s v="HouseStuff"/>
        <s v="Car Loan"/>
        <s v="Fry Chicken"/>
        <s v="Pizza"/>
        <s v="Liquor"/>
        <s v="Percy"/>
        <s v="Rechargeable Battery"/>
        <s v="Flow Bill"/>
        <s v="Car Service"/>
        <s v="Dragon"/>
        <s v="Sprite"/>
        <s v="Oxtail"/>
        <s v="Jerk chicken"/>
        <s v="Gatorade"/>
        <s v="Juicy Patty"/>
        <s v="Supligen"/>
        <s v="Mom Plane Ticket"/>
        <s v="Doritos"/>
        <s v="Little Tokyo"/>
        <s v="Soap"/>
        <s v="Oats"/>
        <s v="Fruits"/>
        <s v="Party"/>
        <s v="Milk"/>
        <s v="Inspect Spray"/>
        <s v="Cheese Cake"/>
        <s v="Tray of egg"/>
        <s v="Plane Ticket"/>
        <s v="Food_3months"/>
        <s v="LinkedIn Premium"/>
        <s v="Skillarchie's Estate Family Aid"/>
        <s v="Check luggage"/>
        <s v="Nathan's Fast Food"/>
        <s v="Lips Balm"/>
        <s v="Uber"/>
        <s v="Shoes"/>
        <s v="Socks"/>
        <s v="Credit"/>
        <s v="Clothes"/>
        <s v="Gianna Clothes"/>
        <s v="Pandora"/>
        <s v="Puma Shoes"/>
        <s v="Mcdonalds"/>
        <s v="Dunkin' Donut"/>
        <s v="Sweetie"/>
        <s v="Suit case"/>
        <s v="Bojangles"/>
        <s v="River Trip"/>
        <s v="Car Fitness"/>
        <s v="Car battery"/>
        <s v="Dermatologist Doctor"/>
        <s v="batteries"/>
        <s v="roll on"/>
        <s v="Krispy Cream"/>
        <s v="taste's "/>
        <s v="Canada Job Hunting Service"/>
        <s v="Lime"/>
        <s v="Breanna Laptop Assistance"/>
        <s v="Tumeric Pill"/>
        <s v="Chocolate Chips"/>
        <s v="Banana Bread"/>
        <s v="fresca"/>
        <s v="Metal Pick"/>
        <s v="Harvey's"/>
        <s v="Books"/>
        <s v="Hershey's Chocolate"/>
        <s v="Barber Club"/>
        <s v="Beard Oil"/>
        <s v="Sysane Eye drop"/>
        <s v="Advil"/>
        <s v="Vitamin D"/>
        <s v="Eye Doctor"/>
        <s v="Prescipted Glasses"/>
        <s v="King Alarm"/>
        <s v="Juice"/>
        <s v="Beard Comb"/>
        <s v="Marble cake"/>
        <s v="Twink"/>
        <s v="Walmart"/>
        <s v="Ice Cream"/>
        <s v="Alma"/>
        <s v="Omega 3 eye care"/>
        <s v="Eye Vitamins"/>
        <s v="Glasses cleaner"/>
        <s v="Family Dollar"/>
        <s v="Working Desk New York"/>
        <s v="Book"/>
        <s v="Pen"/>
        <s v="Pencil"/>
        <s v="Irish Moss"/>
        <s v="Homemaker Premium Orange Juice"/>
        <s v="Popsicle "/>
        <s v="Nestle Vanilla Sandwich"/>
        <s v="Comb and Brush pack"/>
        <s v="Cotton ball"/>
        <s v="Hydrogen Peroxide"/>
        <s v="Irish Spring"/>
        <s v="Baby Oil"/>
        <s v="Chinese"/>
        <s v="Colgate"/>
        <s v="minute maid"/>
        <s v="Soldanza"/>
        <s v="Coca cola Mini"/>
        <s v="Jamaica Irish Moss"/>
        <s v="Paper Plates"/>
        <s v="Hand Towel"/>
        <s v="Pepsi"/>
        <s v="coca cola "/>
        <s v="Tropicana Premium Orange Juice"/>
        <s v="Fifa24"/>
        <s v="Wheat Bread"/>
        <s v="Potato Bread"/>
        <s v="Oreo"/>
        <s v="Bologna"/>
        <s v="franks"/>
        <s v="Mars  mixed mini variety bag"/>
        <s v="DoubleMint"/>
        <s v="Baked bean"/>
        <s v="BORDEN CHEDDAR SLICED CHEESE"/>
        <s v="Krasdale Sponge 4P"/>
        <s v="Kaboom Shower/Tub/Tile clean"/>
        <s v="Snickers single"/>
        <s v="Clorox Gallon"/>
        <s v="Comet Microfiber Towel"/>
        <s v="Colgate Sensitivity"/>
        <s v="Colgate Brisk Mint"/>
        <s v="Colgate Frosty Mint"/>
        <s v="Eggs"/>
        <s v="Frito -Lay Classic 18 Bag"/>
        <s v="Pringles"/>
        <s v="Orange Juice"/>
        <s v="Glasses "/>
        <s v="Garbage bag"/>
        <s v="Flow Sim"/>
        <s v="Print"/>
        <s v="Island Grill"/>
        <s v="Mobile Application Course"/>
        <s v="Digestive"/>
        <s v="Banana"/>
        <s v="Bun"/>
        <s v="Cayenne Pepper"/>
        <s v="Natural Orange Juice"/>
        <s v="Baking Soda"/>
        <s v="Apple Cider Vinegar"/>
        <s v="Football"/>
        <s v="Iron Board"/>
        <s v="Car Vacuum"/>
        <s v="Hanger"/>
        <s v="Tape Measure"/>
        <s v="Juice drug"/>
        <s v="Towel"/>
        <s v="Chia seed"/>
        <s v="Sea Moss"/>
        <s v="Sorrel"/>
        <s v="TV unit living room set"/>
        <s v="Work Desk Jamaica"/>
        <s v="Working Chair Jamaica"/>
        <s v="Badia Extra Virgin Olive Oil"/>
        <s v="IEBRIA 100% Extra Virgin Olive Oil"/>
        <s v="MousePad"/>
        <s v="Phone jack"/>
        <s v="Water"/>
        <s v="Pharmacy"/>
        <s v="Dish Rack"/>
        <s v="Green Apple"/>
        <s v="Lemon"/>
        <s v="Cucumber"/>
        <s v="Celery"/>
        <s v="Parsley"/>
        <s v="Ginger"/>
        <s v="watermelon"/>
        <s v="Garlic"/>
        <s v="Orange "/>
        <s v="Kale"/>
        <s v="Spinach"/>
        <s v="Beet"/>
        <s v="Cabbage"/>
        <s v="Broccoli"/>
        <s v="Pine"/>
        <s v="Lettuce"/>
        <s v="Rapid Roach Spray"/>
        <s v="Bun &amp; Cheese"/>
        <s v="Parking"/>
        <s v="Charger"/>
        <s v="Apple"/>
        <s v="Powerade"/>
        <s v="Scott Paper Towel"/>
        <s v="Tyre Shine"/>
        <s v="Spray Bottle"/>
        <s v="Goodie"/>
        <s v="Small Rug"/>
        <s v="Big Rug"/>
        <s v="Malta"/>
        <s v="Sorrel Beer"/>
        <s v="Tastes"/>
        <s v="Carrot"/>
        <s v="Orange"/>
        <s v="Potatoes"/>
        <s v="Plaintain"/>
        <s v="Guzzler"/>
        <s v="Island Vibes Water"/>
        <s v="Gatarade"/>
        <s v="Kool Kids"/>
        <s v="Dental Filling"/>
        <s v="Bridge "/>
        <s v="Castor Oil"/>
        <s v="Clove Oil"/>
        <s v="Tylenol"/>
        <s v="Colgate ToothPaste Sensitive"/>
        <s v="Plague Control Brush"/>
        <s v="Coolant"/>
        <s v="Sud Sud"/>
        <s v="Chicken &amp; Things"/>
        <s v="Biscuits"/>
        <s v="Romain Virgo Concert"/>
        <s v="Cranberry"/>
        <s v="Peanuts"/>
        <s v="Screen Protector"/>
        <s v="Jelly"/>
        <s v="Cheese"/>
        <s v="June Plum Juice"/>
        <s v="Data Protection Course"/>
        <s v="Coconut Oil"/>
        <s v="Pepper"/>
        <s v="Callaloo"/>
        <s v="Vitamin B complex"/>
        <s v="VitaminSkin, Hair &amp; Nail"/>
        <s v="Easter Bun"/>
        <s v="Dental Xray"/>
        <s v="Dental Oral Examination"/>
        <s v="AC Service"/>
        <s v="Cran water"/>
        <s v="Icool Water"/>
        <s v="Soda"/>
        <s v="Onion"/>
        <s v="Sweet Peeper"/>
        <s v="Dumbell"/>
        <s v="Honey Bun Goldie"/>
        <s v="Butterkist"/>
        <s v="Celebration Cake"/>
        <s v="Tropical Rhytm"/>
        <s v="Toco Loco"/>
        <s v="Turmeric"/>
        <s v="Melon"/>
        <s v="Tropicana Strawberry"/>
        <s v="Tropicana Peach"/>
        <s v="Dental Tooth Extraction"/>
        <s v="Sugar"/>
        <s v="Papaya"/>
        <s v="Car Maintenance"/>
        <s v="Android Development Udemy Course"/>
        <s v="Lasco Baked Bean"/>
        <s v="Excelsior Cream Crackers"/>
        <s v="Grace Macaroni"/>
        <s v="Grace Sardine"/>
        <s v="Grace Mackerel"/>
        <s v="Colgate Soda and Peroxid"/>
        <s v="Pregnancy Test"/>
        <s v="Lucozade"/>
        <s v="Tropics"/>
        <s v="Boat Ride"/>
        <s v="Mattraws"/>
        <s v="Kiwi"/>
        <s v="Chicken Season"/>
        <s v="Maggi Fish Season"/>
        <s v="Car Scent"/>
        <s v="Maggi Complete Season"/>
        <s v="Paper Towel"/>
        <s v="Simple Natural Coconut Oil"/>
        <s v="Vegetable Oil"/>
        <s v="Car Window"/>
        <s v="Curry Goat"/>
        <s v="Chicken"/>
        <s v="Jojoba Oil"/>
        <s v="Peppermint Oil"/>
        <s v="Oral B Glide Floss"/>
        <s v="Rat and Mouse Trap"/>
        <s v="Flaxseed"/>
        <s v="Skellion"/>
        <s v="Time"/>
        <s v="Tomato"/>
        <s v="Vanilla Ice Cream Sandwich"/>
        <s v="Banana Bulla"/>
        <s v="Pineapple Bulla"/>
        <s v="Coca Cola"/>
        <s v="Butter"/>
        <s v="Flavour Splash"/>
        <s v="Ruffles"/>
        <s v="Rat Poison"/>
        <s v="Tooth Brush"/>
        <s v="Ankle Support"/>
        <s v="Skittles"/>
        <s v="Serge Island Milk"/>
        <s v="Chiffon Butter"/>
        <s v="Cup Soup"/>
        <s v="Rice"/>
        <s v="Slice Fish"/>
        <s v="Red Peas"/>
        <s v="Scale"/>
        <s v="Pizza Hut"/>
        <s v="Muffing"/>
        <s v="Scillion &amp; Time"/>
        <s v="Change Alternator Belt"/>
        <s v="Ginger Beer Soda"/>
        <s v="Foska Oats"/>
        <s v="Coconut Biscuit"/>
        <s v="Banana Chips"/>
        <s v="Cheese zee"/>
        <s v="Mom Bday"/>
        <s v="White Cement"/>
        <s v="Drainage thingy"/>
        <s v="Phone Case"/>
        <s v="House Fixy"/>
        <s v="Pillow"/>
        <s v="TV Mount"/>
        <s v="Gloria's"/>
        <s v="Quick Chick"/>
        <s v="Gianna Dental Care "/>
        <s v="Carib 5"/>
        <s v="Mother's"/>
        <s v="TV Mount Installation"/>
        <s v="Paper Towel Holder"/>
        <s v="Sugar Cane"/>
        <s v="Candy"/>
        <s v="Sound Man"/>
        <s v="Black Seed Oil"/>
        <s v="Lip Balm"/>
        <s v="Suzannetta Chartered Celebration"/>
        <s v="GodFather Duties"/>
        <s v="Guava Pineapple"/>
        <s v="Boom"/>
        <s v="Dole Seedless Prune"/>
        <s v="Red Bull"/>
        <s v="HandTowel Holder"/>
        <s v="Storage Bin"/>
        <s v="Raid Ant &amp; Roach Spray"/>
        <s v="Tastee Cheese"/>
        <s v="National Spice Bun"/>
        <s v="Health Card Premium"/>
        <s v="Bully Beef"/>
        <s v="Peanut"/>
        <s v="Strong Back"/>
        <s v="Bag of snack mixs"/>
        <s v="Ruffles Originals"/>
        <s v="Straw"/>
        <s v="Hershey Chocolate"/>
        <s v="PizzaHut"/>
        <s v="Wendy"/>
        <s v="Herboo Dual Cleansing"/>
        <s v="Juicy Patties"/>
        <s v="Tastee Patty"/>
        <s v="Goldie"/>
        <s v="Tastee "/>
        <s v="Nestle Crunch Bar"/>
        <s v="Car Assessment Report"/>
        <s v="Light Reinstillation"/>
        <s v="Teeth Fiiling" u="1"/>
        <s v="Wendy's" u="1"/>
        <s v="Offering " u="1"/>
        <s v="Medicatiom" u="1"/>
        <s v="Offerings" u="1"/>
        <s v="Ticket " u="1"/>
      </sharedItems>
    </cacheField>
    <cacheField name="COST" numFmtId="0">
      <sharedItems containsSemiMixedTypes="0" containsString="0" containsNumber="1" minValue="43" maxValue="187000"/>
    </cacheField>
    <cacheField name="Cost USD" numFmtId="0">
      <sharedItems containsSemiMixedTypes="0" containsString="0" containsNumber="1" minValue="0.29251700680272108" maxValue="1272.1088435374149"/>
    </cacheField>
    <cacheField name="Instistution" numFmtId="0">
      <sharedItems/>
    </cacheField>
    <cacheField name="Industry" numFmtId="0">
      <sharedItems/>
    </cacheField>
    <cacheField name="DATE" numFmtId="14">
      <sharedItems containsSemiMixedTypes="0" containsNonDate="0" containsDate="1" containsString="0" minDate="2020-05-18T00:00:00" maxDate="2024-09-29T00:00:00"/>
    </cacheField>
    <cacheField name="Month" numFmtId="0">
      <sharedItems count="12">
        <s v="May"/>
        <s v="Sep"/>
        <s v="Oct"/>
        <s v="Nov"/>
        <s v="Dec"/>
        <s v="Jan"/>
        <s v="Feb"/>
        <s v="Mar"/>
        <s v="Apr"/>
        <s v="Jun"/>
        <s v="Jul"/>
        <s v="Aug"/>
      </sharedItems>
    </cacheField>
    <cacheField name="Year" numFmtId="0">
      <sharedItems count="5">
        <s v="2020"/>
        <s v="2021"/>
        <s v="2022"/>
        <s v="2023"/>
        <s v="2024"/>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9">
  <r>
    <x v="0"/>
    <n v="1000"/>
    <n v="6.8027210884353737"/>
    <s v="Domestic"/>
    <s v="Home"/>
    <d v="2020-05-18T00:00:00"/>
    <x v="0"/>
    <x v="0"/>
  </r>
  <r>
    <x v="1"/>
    <n v="900"/>
    <n v="6.1224489795918364"/>
    <s v="Gaming"/>
    <s v="Entertainment"/>
    <d v="2020-09-02T00:00:00"/>
    <x v="1"/>
    <x v="0"/>
  </r>
  <r>
    <x v="2"/>
    <n v="2250"/>
    <n v="15.306122448979592"/>
    <s v="Gaming"/>
    <s v="Entertainment"/>
    <d v="2020-09-06T00:00:00"/>
    <x v="1"/>
    <x v="0"/>
  </r>
  <r>
    <x v="3"/>
    <n v="500"/>
    <n v="3.4013605442176869"/>
    <s v="Domestic"/>
    <s v="Transportation"/>
    <d v="2020-09-06T00:00:00"/>
    <x v="1"/>
    <x v="0"/>
  </r>
  <r>
    <x v="4"/>
    <n v="300"/>
    <n v="2.0408163265306123"/>
    <s v="Domestic"/>
    <s v="Food &amp; Beverages"/>
    <d v="2020-09-12T00:00:00"/>
    <x v="1"/>
    <x v="0"/>
  </r>
  <r>
    <x v="5"/>
    <n v="450"/>
    <n v="3.0612244897959182"/>
    <s v="Domestic"/>
    <s v="Food &amp; Beverages"/>
    <d v="2020-09-13T00:00:00"/>
    <x v="1"/>
    <x v="0"/>
  </r>
  <r>
    <x v="3"/>
    <n v="1500"/>
    <n v="10.204081632653061"/>
    <s v="Domestic"/>
    <s v="Transportation"/>
    <d v="2020-09-14T00:00:00"/>
    <x v="1"/>
    <x v="0"/>
  </r>
  <r>
    <x v="6"/>
    <n v="30000"/>
    <n v="204.08163265306123"/>
    <s v="Domestic"/>
    <s v="Food &amp; Beverages"/>
    <d v="2020-09-17T00:00:00"/>
    <x v="1"/>
    <x v="0"/>
  </r>
  <r>
    <x v="7"/>
    <n v="1000"/>
    <n v="6.8027210884353737"/>
    <s v="Domestic"/>
    <s v="Home"/>
    <d v="2020-09-19T00:00:00"/>
    <x v="1"/>
    <x v="0"/>
  </r>
  <r>
    <x v="1"/>
    <n v="900"/>
    <n v="6.1224489795918364"/>
    <s v="Gaming"/>
    <s v="Entertainment"/>
    <d v="2020-10-02T00:00:00"/>
    <x v="2"/>
    <x v="0"/>
  </r>
  <r>
    <x v="2"/>
    <n v="2250"/>
    <n v="15.306122448979592"/>
    <s v="Gaming"/>
    <s v="Entertainment"/>
    <d v="2020-10-06T00:00:00"/>
    <x v="2"/>
    <x v="0"/>
  </r>
  <r>
    <x v="3"/>
    <n v="300"/>
    <n v="2.0408163265306123"/>
    <s v="Domestic"/>
    <s v="Transportation"/>
    <d v="2020-10-10T00:00:00"/>
    <x v="2"/>
    <x v="0"/>
  </r>
  <r>
    <x v="8"/>
    <n v="1964"/>
    <n v="13.360544217687075"/>
    <s v="Domestic"/>
    <s v="Electronics"/>
    <d v="2020-10-11T00:00:00"/>
    <x v="2"/>
    <x v="0"/>
  </r>
  <r>
    <x v="9"/>
    <n v="1030"/>
    <n v="7.0068027210884356"/>
    <s v="Gaming"/>
    <s v="Entertainment"/>
    <d v="2020-10-12T00:00:00"/>
    <x v="2"/>
    <x v="0"/>
  </r>
  <r>
    <x v="3"/>
    <n v="1000"/>
    <n v="6.8027210884353737"/>
    <s v="Domestic"/>
    <s v="Transportation"/>
    <d v="2020-10-14T00:00:00"/>
    <x v="2"/>
    <x v="0"/>
  </r>
  <r>
    <x v="10"/>
    <n v="1000"/>
    <n v="6.8027210884353737"/>
    <s v="Domestic"/>
    <s v="Food &amp; Beverages"/>
    <d v="2020-10-17T00:00:00"/>
    <x v="2"/>
    <x v="0"/>
  </r>
  <r>
    <x v="11"/>
    <n v="7000"/>
    <n v="47.61904761904762"/>
    <s v="Domestic"/>
    <s v="Food &amp; Beverages"/>
    <d v="2020-10-18T00:00:00"/>
    <x v="2"/>
    <x v="0"/>
  </r>
  <r>
    <x v="12"/>
    <n v="1500"/>
    <n v="10.204081632653061"/>
    <s v="Education"/>
    <s v="School"/>
    <d v="2020-10-26T00:00:00"/>
    <x v="2"/>
    <x v="0"/>
  </r>
  <r>
    <x v="1"/>
    <n v="900"/>
    <n v="6.1224489795918364"/>
    <s v="Gaming"/>
    <s v="Entertainment"/>
    <d v="2020-11-02T00:00:00"/>
    <x v="3"/>
    <x v="0"/>
  </r>
  <r>
    <x v="13"/>
    <n v="1950"/>
    <n v="13.26530612244898"/>
    <s v="Gaming"/>
    <s v="Entertainment"/>
    <d v="2020-11-02T00:00:00"/>
    <x v="3"/>
    <x v="0"/>
  </r>
  <r>
    <x v="14"/>
    <n v="6800"/>
    <n v="46.258503401360542"/>
    <s v="Domestic"/>
    <s v="Food &amp; Beverages"/>
    <d v="2020-11-03T00:00:00"/>
    <x v="3"/>
    <x v="0"/>
  </r>
  <r>
    <x v="2"/>
    <n v="2250"/>
    <n v="15.306122448979592"/>
    <s v="Gaming"/>
    <s v="Entertainment"/>
    <d v="2020-11-06T00:00:00"/>
    <x v="3"/>
    <x v="0"/>
  </r>
  <r>
    <x v="8"/>
    <n v="1950"/>
    <n v="13.26530612244898"/>
    <s v="Domestic"/>
    <s v="Electronics"/>
    <d v="2020-11-13T00:00:00"/>
    <x v="3"/>
    <x v="0"/>
  </r>
  <r>
    <x v="15"/>
    <n v="9000"/>
    <n v="61.224489795918366"/>
    <s v="Gaming"/>
    <s v="Entertainment"/>
    <d v="2020-11-14T00:00:00"/>
    <x v="3"/>
    <x v="0"/>
  </r>
  <r>
    <x v="16"/>
    <n v="5000"/>
    <n v="34.013605442176868"/>
    <s v="Domestic"/>
    <s v="Food &amp; Beverages"/>
    <d v="2020-11-15T00:00:00"/>
    <x v="3"/>
    <x v="0"/>
  </r>
  <r>
    <x v="17"/>
    <n v="5000"/>
    <n v="34.013605442176868"/>
    <s v="Domestic"/>
    <s v="Banking"/>
    <d v="2020-11-16T00:00:00"/>
    <x v="3"/>
    <x v="0"/>
  </r>
  <r>
    <x v="18"/>
    <n v="13300"/>
    <n v="90.476190476190482"/>
    <s v="Domestic"/>
    <s v="Food &amp; Beverages"/>
    <d v="2020-11-17T00:00:00"/>
    <x v="3"/>
    <x v="0"/>
  </r>
  <r>
    <x v="3"/>
    <n v="4000"/>
    <n v="27.210884353741495"/>
    <s v="Domestic"/>
    <s v="Transportation"/>
    <d v="2020-11-18T00:00:00"/>
    <x v="3"/>
    <x v="0"/>
  </r>
  <r>
    <x v="8"/>
    <n v="1948.5"/>
    <n v="13.255102040816327"/>
    <s v="Domestic"/>
    <s v="Food &amp; Beverages"/>
    <d v="2020-12-10T00:00:00"/>
    <x v="4"/>
    <x v="0"/>
  </r>
  <r>
    <x v="19"/>
    <n v="15000"/>
    <n v="102.04081632653062"/>
    <s v="Heathcare"/>
    <s v="Health"/>
    <d v="2020-12-18T00:00:00"/>
    <x v="4"/>
    <x v="0"/>
  </r>
  <r>
    <x v="3"/>
    <n v="4000"/>
    <n v="27.210884353741495"/>
    <s v="Domestic"/>
    <s v="Transportation"/>
    <d v="2020-12-19T00:00:00"/>
    <x v="4"/>
    <x v="0"/>
  </r>
  <r>
    <x v="20"/>
    <n v="5000"/>
    <n v="34.013605442176868"/>
    <s v="Heathcare"/>
    <s v="Health"/>
    <d v="2020-12-20T00:00:00"/>
    <x v="4"/>
    <x v="0"/>
  </r>
  <r>
    <x v="2"/>
    <n v="2250"/>
    <n v="15.306122448979592"/>
    <s v="Gaming"/>
    <s v="Entertainment"/>
    <d v="2021-01-06T00:00:00"/>
    <x v="5"/>
    <x v="1"/>
  </r>
  <r>
    <x v="8"/>
    <n v="1948.5"/>
    <n v="13.255102040816327"/>
    <s v="Domestic"/>
    <s v="Electronics"/>
    <d v="2021-01-10T00:00:00"/>
    <x v="5"/>
    <x v="1"/>
  </r>
  <r>
    <x v="21"/>
    <n v="4320.96"/>
    <n v="29.394285714285715"/>
    <s v="Domestic"/>
    <s v="Health"/>
    <d v="2021-01-11T00:00:00"/>
    <x v="5"/>
    <x v="1"/>
  </r>
  <r>
    <x v="22"/>
    <n v="10000"/>
    <n v="68.027210884353735"/>
    <s v="Insurance"/>
    <s v="Life Insurance"/>
    <d v="2021-01-12T00:00:00"/>
    <x v="5"/>
    <x v="1"/>
  </r>
  <r>
    <x v="23"/>
    <n v="10000"/>
    <n v="68.027210884353735"/>
    <s v="Domestic"/>
    <s v="Food &amp; Beverages"/>
    <d v="2021-01-13T00:00:00"/>
    <x v="5"/>
    <x v="1"/>
  </r>
  <r>
    <x v="24"/>
    <n v="30000"/>
    <n v="204.08163265306123"/>
    <s v="Domestic"/>
    <s v="School"/>
    <d v="2021-01-14T00:00:00"/>
    <x v="5"/>
    <x v="1"/>
  </r>
  <r>
    <x v="25"/>
    <n v="1648.5"/>
    <n v="11.214285714285714"/>
    <s v="Domestic"/>
    <s v="Food &amp; Beverages"/>
    <d v="2021-01-15T00:00:00"/>
    <x v="5"/>
    <x v="1"/>
  </r>
  <r>
    <x v="26"/>
    <n v="6000"/>
    <n v="40.816326530612244"/>
    <s v="Domestic"/>
    <s v="Food &amp; Beverages"/>
    <d v="2021-01-16T00:00:00"/>
    <x v="5"/>
    <x v="1"/>
  </r>
  <r>
    <x v="16"/>
    <n v="7000"/>
    <n v="47.61904761904762"/>
    <s v="Domestic"/>
    <s v="Food &amp; Beverages"/>
    <d v="2021-01-17T00:00:00"/>
    <x v="5"/>
    <x v="1"/>
  </r>
  <r>
    <x v="27"/>
    <n v="30000"/>
    <n v="204.08163265306123"/>
    <s v="Religion"/>
    <s v="Church"/>
    <d v="2021-01-18T00:00:00"/>
    <x v="5"/>
    <x v="1"/>
  </r>
  <r>
    <x v="28"/>
    <n v="32000"/>
    <n v="217.68707482993196"/>
    <s v="Government"/>
    <s v="Finance &amp; Economy"/>
    <d v="2021-01-19T00:00:00"/>
    <x v="5"/>
    <x v="1"/>
  </r>
  <r>
    <x v="29"/>
    <n v="3500"/>
    <n v="23.80952380952381"/>
    <s v="Domestic"/>
    <s v="Home"/>
    <d v="2021-01-20T00:00:00"/>
    <x v="5"/>
    <x v="1"/>
  </r>
  <r>
    <x v="30"/>
    <n v="2850"/>
    <n v="19.387755102040817"/>
    <s v="Education"/>
    <s v="School"/>
    <d v="2021-01-21T00:00:00"/>
    <x v="5"/>
    <x v="1"/>
  </r>
  <r>
    <x v="31"/>
    <n v="8000"/>
    <n v="54.42176870748299"/>
    <s v="Domestic"/>
    <s v="Food &amp; Beverages"/>
    <d v="2021-02-01T00:00:00"/>
    <x v="6"/>
    <x v="1"/>
  </r>
  <r>
    <x v="19"/>
    <n v="8000"/>
    <n v="54.42176870748299"/>
    <s v="Heathcare"/>
    <s v="Health"/>
    <d v="2021-02-02T00:00:00"/>
    <x v="6"/>
    <x v="1"/>
  </r>
  <r>
    <x v="32"/>
    <n v="13731.000000000002"/>
    <n v="93.408163265306129"/>
    <s v="Domestic"/>
    <s v="Food &amp; Beverages"/>
    <d v="2021-02-03T00:00:00"/>
    <x v="6"/>
    <x v="1"/>
  </r>
  <r>
    <x v="33"/>
    <n v="1400"/>
    <n v="9.5238095238095237"/>
    <s v="Domestic"/>
    <s v="Food &amp; Beverages"/>
    <d v="2021-02-04T00:00:00"/>
    <x v="6"/>
    <x v="1"/>
  </r>
  <r>
    <x v="34"/>
    <n v="4000"/>
    <n v="27.210884353741495"/>
    <s v="Domestic"/>
    <s v="Date Night"/>
    <d v="2021-02-05T00:00:00"/>
    <x v="6"/>
    <x v="1"/>
  </r>
  <r>
    <x v="2"/>
    <n v="2250"/>
    <n v="15.306122448979592"/>
    <s v="Gaming"/>
    <s v="Entertainment"/>
    <d v="2021-02-06T00:00:00"/>
    <x v="6"/>
    <x v="1"/>
  </r>
  <r>
    <x v="33"/>
    <n v="700"/>
    <n v="4.7619047619047619"/>
    <s v="Domestic"/>
    <s v="Food &amp; Beverages"/>
    <d v="2021-03-02T00:00:00"/>
    <x v="7"/>
    <x v="1"/>
  </r>
  <r>
    <x v="35"/>
    <n v="600"/>
    <n v="4.0816326530612246"/>
    <s v="Domestic"/>
    <s v="Home"/>
    <d v="2021-03-03T00:00:00"/>
    <x v="7"/>
    <x v="1"/>
  </r>
  <r>
    <x v="36"/>
    <n v="46000"/>
    <n v="312.92517006802723"/>
    <s v="Domestic"/>
    <s v="Electronics"/>
    <d v="2021-03-04T00:00:00"/>
    <x v="7"/>
    <x v="1"/>
  </r>
  <r>
    <x v="2"/>
    <n v="2250"/>
    <n v="15.306122448979592"/>
    <s v="Gaming"/>
    <s v="Entertainment"/>
    <d v="2021-03-07T00:00:00"/>
    <x v="7"/>
    <x v="1"/>
  </r>
  <r>
    <x v="37"/>
    <n v="5920"/>
    <n v="40.272108843537417"/>
    <s v="Domestic"/>
    <s v="Electronics"/>
    <d v="2021-03-08T00:00:00"/>
    <x v="7"/>
    <x v="1"/>
  </r>
  <r>
    <x v="2"/>
    <n v="2250"/>
    <n v="15.306122448979592"/>
    <s v="Gaming"/>
    <s v="Entertainment"/>
    <d v="2021-04-07T00:00:00"/>
    <x v="8"/>
    <x v="1"/>
  </r>
  <r>
    <x v="38"/>
    <n v="1060"/>
    <n v="7.2108843537414966"/>
    <s v="Domestic"/>
    <s v="Food &amp; Beverages"/>
    <d v="2021-04-08T00:00:00"/>
    <x v="8"/>
    <x v="1"/>
  </r>
  <r>
    <x v="26"/>
    <n v="1000"/>
    <n v="6.8027210884353737"/>
    <s v="Domestic"/>
    <s v="Food &amp; Beverages"/>
    <d v="2021-04-09T00:00:00"/>
    <x v="8"/>
    <x v="1"/>
  </r>
  <r>
    <x v="28"/>
    <n v="15995.61"/>
    <n v="108.81367346938777"/>
    <s v="Government"/>
    <s v="Finance &amp; Economy"/>
    <d v="2021-04-13T00:00:00"/>
    <x v="8"/>
    <x v="1"/>
  </r>
  <r>
    <x v="39"/>
    <n v="6019.22"/>
    <n v="40.947074829931978"/>
    <s v="Education"/>
    <s v="School"/>
    <d v="2021-04-20T00:00:00"/>
    <x v="8"/>
    <x v="1"/>
  </r>
  <r>
    <x v="22"/>
    <n v="7884.08"/>
    <n v="53.633197278911567"/>
    <s v="Insurance"/>
    <s v="Life Insurance"/>
    <d v="2021-04-27T00:00:00"/>
    <x v="8"/>
    <x v="1"/>
  </r>
  <r>
    <x v="2"/>
    <n v="2250"/>
    <n v="15.306122448979592"/>
    <s v="Gaming"/>
    <s v="Entertainment"/>
    <d v="2021-05-07T00:00:00"/>
    <x v="0"/>
    <x v="1"/>
  </r>
  <r>
    <x v="39"/>
    <n v="6019.22"/>
    <n v="40.947074829931978"/>
    <s v="Education"/>
    <s v="School"/>
    <d v="2021-05-08T00:00:00"/>
    <x v="0"/>
    <x v="1"/>
  </r>
  <r>
    <x v="25"/>
    <n v="1648.5"/>
    <n v="11.214285714285714"/>
    <s v="Domestic"/>
    <s v="Food &amp; Beverages"/>
    <d v="2021-05-09T00:00:00"/>
    <x v="0"/>
    <x v="1"/>
  </r>
  <r>
    <x v="40"/>
    <n v="5500"/>
    <n v="37.414965986394556"/>
    <s v="Domestic"/>
    <s v="Food &amp; Beverages"/>
    <d v="2021-05-10T00:00:00"/>
    <x v="0"/>
    <x v="1"/>
  </r>
  <r>
    <x v="41"/>
    <n v="3300"/>
    <n v="22.448979591836736"/>
    <s v="Gaming"/>
    <s v="Entertainment"/>
    <d v="2021-05-11T00:00:00"/>
    <x v="0"/>
    <x v="1"/>
  </r>
  <r>
    <x v="42"/>
    <n v="2500"/>
    <n v="17.006802721088434"/>
    <s v="Domestic"/>
    <s v="Electronics"/>
    <d v="2021-05-12T00:00:00"/>
    <x v="0"/>
    <x v="1"/>
  </r>
  <r>
    <x v="43"/>
    <n v="36120"/>
    <n v="245.71428571428572"/>
    <s v="Domestic"/>
    <s v="Home"/>
    <d v="2021-05-13T00:00:00"/>
    <x v="0"/>
    <x v="1"/>
  </r>
  <r>
    <x v="19"/>
    <n v="14500"/>
    <n v="98.639455782312922"/>
    <s v="Heathcare"/>
    <s v="Health"/>
    <d v="2021-05-14T00:00:00"/>
    <x v="0"/>
    <x v="1"/>
  </r>
  <r>
    <x v="27"/>
    <n v="30000"/>
    <n v="204.08163265306123"/>
    <s v="Religion"/>
    <s v="Church"/>
    <d v="2021-05-15T00:00:00"/>
    <x v="0"/>
    <x v="1"/>
  </r>
  <r>
    <x v="26"/>
    <n v="500"/>
    <n v="3.4013605442176869"/>
    <s v="Domestic"/>
    <s v="Food &amp; Beverages"/>
    <d v="2021-05-16T00:00:00"/>
    <x v="0"/>
    <x v="1"/>
  </r>
  <r>
    <x v="22"/>
    <n v="7884.08"/>
    <n v="53.633197278911567"/>
    <s v="Insurance"/>
    <s v="Life Insurance"/>
    <d v="2021-05-28T00:00:00"/>
    <x v="0"/>
    <x v="1"/>
  </r>
  <r>
    <x v="2"/>
    <n v="2250"/>
    <n v="15.306122448979592"/>
    <s v="Gaming"/>
    <s v="Entertainment"/>
    <d v="2021-06-07T00:00:00"/>
    <x v="9"/>
    <x v="1"/>
  </r>
  <r>
    <x v="2"/>
    <n v="2251"/>
    <n v="15.312925170068027"/>
    <s v="Gaming"/>
    <s v="Entertainment"/>
    <d v="2021-07-08T00:00:00"/>
    <x v="10"/>
    <x v="1"/>
  </r>
  <r>
    <x v="44"/>
    <n v="25000"/>
    <n v="170.06802721088437"/>
    <s v="Domestic"/>
    <s v="Home"/>
    <d v="2021-07-09T00:00:00"/>
    <x v="10"/>
    <x v="1"/>
  </r>
  <r>
    <x v="28"/>
    <n v="15000"/>
    <n v="102.04081632653062"/>
    <s v="Government"/>
    <s v="Finance &amp; Economy"/>
    <d v="2021-07-10T00:00:00"/>
    <x v="10"/>
    <x v="1"/>
  </r>
  <r>
    <x v="22"/>
    <n v="7884.08"/>
    <n v="53.633197278911567"/>
    <s v="Insurance"/>
    <s v="Life Insurance"/>
    <d v="2021-07-11T00:00:00"/>
    <x v="10"/>
    <x v="1"/>
  </r>
  <r>
    <x v="45"/>
    <n v="40000"/>
    <n v="272.10884353741494"/>
    <s v="Domestic"/>
    <s v="Transportation"/>
    <d v="2021-07-12T00:00:00"/>
    <x v="10"/>
    <x v="1"/>
  </r>
  <r>
    <x v="46"/>
    <n v="10000"/>
    <n v="68.027210884353735"/>
    <s v="Domestic"/>
    <s v="Food &amp; Beverages"/>
    <d v="2021-07-13T00:00:00"/>
    <x v="10"/>
    <x v="1"/>
  </r>
  <r>
    <x v="47"/>
    <n v="2500"/>
    <n v="17.006802721088434"/>
    <s v="Domestic"/>
    <s v="Food &amp; Beverages"/>
    <d v="2021-07-14T00:00:00"/>
    <x v="10"/>
    <x v="1"/>
  </r>
  <r>
    <x v="48"/>
    <n v="3000"/>
    <n v="20.408163265306122"/>
    <s v="Government"/>
    <s v="Finance &amp; Economy"/>
    <d v="2021-07-15T00:00:00"/>
    <x v="10"/>
    <x v="1"/>
  </r>
  <r>
    <x v="49"/>
    <n v="25500"/>
    <n v="173.46938775510205"/>
    <s v="Government"/>
    <s v="Finance &amp; Economy"/>
    <d v="2021-08-03T00:00:00"/>
    <x v="11"/>
    <x v="1"/>
  </r>
  <r>
    <x v="2"/>
    <n v="2251"/>
    <n v="15.312925170068027"/>
    <s v="Gaming"/>
    <s v="Entertainment"/>
    <d v="2021-08-04T00:00:00"/>
    <x v="11"/>
    <x v="1"/>
  </r>
  <r>
    <x v="50"/>
    <n v="4000"/>
    <n v="27.210884353741495"/>
    <s v="Domestic"/>
    <s v="Electronics"/>
    <d v="2021-08-06T00:00:00"/>
    <x v="11"/>
    <x v="1"/>
  </r>
  <r>
    <x v="51"/>
    <n v="57000"/>
    <n v="387.75510204081633"/>
    <s v="Domestic"/>
    <s v="Electronics"/>
    <d v="2021-08-07T00:00:00"/>
    <x v="11"/>
    <x v="1"/>
  </r>
  <r>
    <x v="22"/>
    <n v="7884.08"/>
    <n v="53.633197278911567"/>
    <s v="Insurance"/>
    <s v="Life Insurance"/>
    <d v="2021-08-11T00:00:00"/>
    <x v="11"/>
    <x v="1"/>
  </r>
  <r>
    <x v="51"/>
    <n v="21000"/>
    <n v="142.85714285714286"/>
    <s v="Domestic"/>
    <s v="Electronics"/>
    <d v="2021-09-01T00:00:00"/>
    <x v="1"/>
    <x v="1"/>
  </r>
  <r>
    <x v="52"/>
    <n v="10000"/>
    <n v="68.027210884353735"/>
    <s v="Domestic"/>
    <s v="Electronics"/>
    <d v="2021-09-02T00:00:00"/>
    <x v="1"/>
    <x v="1"/>
  </r>
  <r>
    <x v="53"/>
    <n v="10000"/>
    <n v="68.027210884353735"/>
    <s v="Domestic"/>
    <s v="Home"/>
    <d v="2021-09-03T00:00:00"/>
    <x v="1"/>
    <x v="1"/>
  </r>
  <r>
    <x v="22"/>
    <n v="7884.08"/>
    <n v="53.633197278911567"/>
    <s v="Insurance"/>
    <s v="Life Insurance"/>
    <d v="2021-09-03T00:00:00"/>
    <x v="1"/>
    <x v="1"/>
  </r>
  <r>
    <x v="50"/>
    <n v="3000"/>
    <n v="20.408163265306122"/>
    <s v="Domestic"/>
    <s v="Electronics"/>
    <d v="2021-09-04T00:00:00"/>
    <x v="1"/>
    <x v="1"/>
  </r>
  <r>
    <x v="2"/>
    <n v="2251"/>
    <n v="15.312925170068027"/>
    <s v="Gaming"/>
    <s v="Entertainment"/>
    <d v="2021-09-04T00:00:00"/>
    <x v="1"/>
    <x v="1"/>
  </r>
  <r>
    <x v="54"/>
    <n v="28500"/>
    <n v="193.87755102040816"/>
    <s v="Domestic"/>
    <s v="Electronics"/>
    <d v="2021-09-05T00:00:00"/>
    <x v="1"/>
    <x v="1"/>
  </r>
  <r>
    <x v="28"/>
    <n v="15000"/>
    <n v="102.04081632653062"/>
    <s v="Government"/>
    <s v="Finance &amp; Economy"/>
    <d v="2021-09-05T00:00:00"/>
    <x v="1"/>
    <x v="1"/>
  </r>
  <r>
    <x v="55"/>
    <n v="5000"/>
    <n v="34.013605442176868"/>
    <s v="Domestic"/>
    <s v="Electronics"/>
    <d v="2021-09-05T00:00:00"/>
    <x v="1"/>
    <x v="1"/>
  </r>
  <r>
    <x v="56"/>
    <n v="5000"/>
    <n v="34.013605442176868"/>
    <s v="Domestic"/>
    <s v="Home"/>
    <d v="2021-10-01T00:00:00"/>
    <x v="2"/>
    <x v="1"/>
  </r>
  <r>
    <x v="57"/>
    <n v="5385.03"/>
    <n v="36.632857142857141"/>
    <s v="Domestic"/>
    <s v="Home"/>
    <d v="2021-10-02T00:00:00"/>
    <x v="2"/>
    <x v="1"/>
  </r>
  <r>
    <x v="53"/>
    <n v="5000"/>
    <n v="34.013605442176868"/>
    <s v="Domestic"/>
    <s v="Home"/>
    <d v="2021-10-03T00:00:00"/>
    <x v="2"/>
    <x v="1"/>
  </r>
  <r>
    <x v="19"/>
    <n v="10500"/>
    <n v="71.428571428571431"/>
    <s v="Heathcare"/>
    <s v="Health"/>
    <d v="2021-10-04T00:00:00"/>
    <x v="2"/>
    <x v="1"/>
  </r>
  <r>
    <x v="22"/>
    <n v="7884.08"/>
    <n v="53.633197278911567"/>
    <s v="Insurance"/>
    <s v="Life Insurance"/>
    <d v="2021-10-05T00:00:00"/>
    <x v="2"/>
    <x v="1"/>
  </r>
  <r>
    <x v="58"/>
    <n v="3300"/>
    <n v="22.448979591836736"/>
    <s v="Religion"/>
    <s v="Church"/>
    <d v="2021-10-06T00:00:00"/>
    <x v="2"/>
    <x v="1"/>
  </r>
  <r>
    <x v="59"/>
    <n v="1700"/>
    <n v="11.564625850340136"/>
    <s v="Heathcare"/>
    <s v="Health"/>
    <d v="2021-10-07T00:00:00"/>
    <x v="2"/>
    <x v="1"/>
  </r>
  <r>
    <x v="60"/>
    <n v="22000"/>
    <n v="149.65986394557822"/>
    <s v="Heathcare"/>
    <s v="Health"/>
    <d v="2021-10-08T00:00:00"/>
    <x v="2"/>
    <x v="1"/>
  </r>
  <r>
    <x v="28"/>
    <n v="15000"/>
    <n v="102.04081632653062"/>
    <s v="Government"/>
    <s v="Finance &amp; Economy"/>
    <d v="2021-10-10T00:00:00"/>
    <x v="2"/>
    <x v="1"/>
  </r>
  <r>
    <x v="19"/>
    <n v="5000"/>
    <n v="34.013605442176868"/>
    <s v="Heathcare"/>
    <s v="Health"/>
    <d v="2021-10-11T00:00:00"/>
    <x v="2"/>
    <x v="1"/>
  </r>
  <r>
    <x v="61"/>
    <n v="10000"/>
    <n v="68.027210884353735"/>
    <s v="Domestic"/>
    <s v="Food &amp; Beverages"/>
    <d v="2021-10-12T00:00:00"/>
    <x v="2"/>
    <x v="1"/>
  </r>
  <r>
    <x v="62"/>
    <n v="1100"/>
    <n v="7.4829931972789119"/>
    <s v="Domestic"/>
    <s v="Food &amp; Beverages"/>
    <d v="2021-10-12T00:00:00"/>
    <x v="2"/>
    <x v="1"/>
  </r>
  <r>
    <x v="49"/>
    <n v="14500"/>
    <n v="98.639455782312922"/>
    <s v="Government"/>
    <s v="Finance &amp; Economy"/>
    <d v="2021-11-03T00:00:00"/>
    <x v="3"/>
    <x v="1"/>
  </r>
  <r>
    <x v="63"/>
    <n v="550"/>
    <n v="3.7414965986394559"/>
    <s v="Domestic"/>
    <s v="Food &amp; Beverages"/>
    <d v="2021-11-03T00:00:00"/>
    <x v="3"/>
    <x v="1"/>
  </r>
  <r>
    <x v="22"/>
    <n v="7884.08"/>
    <n v="53.633197278911567"/>
    <s v="Insurance"/>
    <s v="Life Insurance"/>
    <d v="2021-11-04T00:00:00"/>
    <x v="3"/>
    <x v="1"/>
  </r>
  <r>
    <x v="28"/>
    <n v="15000"/>
    <n v="102.04081632653062"/>
    <s v="Government"/>
    <s v="Finance &amp; Economy"/>
    <d v="2021-11-10T00:00:00"/>
    <x v="3"/>
    <x v="1"/>
  </r>
  <r>
    <x v="61"/>
    <n v="10000"/>
    <n v="68.027210884353735"/>
    <s v="Domestic"/>
    <s v="Food &amp; Beverages"/>
    <d v="2021-11-12T00:00:00"/>
    <x v="3"/>
    <x v="1"/>
  </r>
  <r>
    <x v="2"/>
    <n v="2251"/>
    <n v="15.312925170068027"/>
    <s v="Gaming"/>
    <s v="Entertainment"/>
    <d v="2021-11-13T00:00:00"/>
    <x v="3"/>
    <x v="1"/>
  </r>
  <r>
    <x v="64"/>
    <n v="75000"/>
    <n v="510.20408163265307"/>
    <s v="Domestic"/>
    <s v="Electronics"/>
    <d v="2021-12-08T00:00:00"/>
    <x v="4"/>
    <x v="1"/>
  </r>
  <r>
    <x v="65"/>
    <n v="1500"/>
    <n v="10.204081632653061"/>
    <s v="Domestic"/>
    <s v="Electronics"/>
    <d v="2021-12-09T00:00:00"/>
    <x v="4"/>
    <x v="1"/>
  </r>
  <r>
    <x v="66"/>
    <n v="18500"/>
    <n v="125.85034013605443"/>
    <s v="Domestic"/>
    <s v="Home"/>
    <d v="2021-12-10T00:00:00"/>
    <x v="4"/>
    <x v="1"/>
  </r>
  <r>
    <x v="67"/>
    <n v="82841.509999999995"/>
    <n v="563.54768707482992"/>
    <s v="Domestic"/>
    <s v="Electronics"/>
    <d v="2021-12-11T00:00:00"/>
    <x v="4"/>
    <x v="1"/>
  </r>
  <r>
    <x v="59"/>
    <n v="680"/>
    <n v="4.6258503401360542"/>
    <s v="Heathcare"/>
    <s v="Health"/>
    <d v="2021-12-12T00:00:00"/>
    <x v="4"/>
    <x v="1"/>
  </r>
  <r>
    <x v="68"/>
    <n v="5537.47"/>
    <n v="37.669863945578236"/>
    <s v="Heathcare"/>
    <s v="Health"/>
    <d v="2021-12-14T00:00:00"/>
    <x v="4"/>
    <x v="1"/>
  </r>
  <r>
    <x v="69"/>
    <n v="6043.06"/>
    <n v="41.109251700680275"/>
    <s v="Gaming"/>
    <s v="Entertainment"/>
    <d v="2021-12-15T00:00:00"/>
    <x v="4"/>
    <x v="1"/>
  </r>
  <r>
    <x v="70"/>
    <n v="2000"/>
    <n v="13.605442176870747"/>
    <s v="Domestic"/>
    <s v="Food &amp; Beverages"/>
    <d v="2021-12-16T00:00:00"/>
    <x v="4"/>
    <x v="1"/>
  </r>
  <r>
    <x v="71"/>
    <n v="2950"/>
    <n v="20.068027210884352"/>
    <s v="Domestic"/>
    <s v="Food &amp; Beverages"/>
    <d v="2021-12-17T00:00:00"/>
    <x v="4"/>
    <x v="1"/>
  </r>
  <r>
    <x v="2"/>
    <n v="2251"/>
    <n v="15.312925170068027"/>
    <s v="Gaming"/>
    <s v="Entertainment"/>
    <d v="2021-12-18T00:00:00"/>
    <x v="4"/>
    <x v="1"/>
  </r>
  <r>
    <x v="72"/>
    <n v="2500"/>
    <n v="17.006802721088434"/>
    <s v="Domestic"/>
    <s v="Food &amp; Beverages"/>
    <d v="2021-12-19T00:00:00"/>
    <x v="4"/>
    <x v="1"/>
  </r>
  <r>
    <x v="73"/>
    <n v="5000"/>
    <n v="34.013605442176868"/>
    <s v="Government"/>
    <s v="Finance &amp; Economy"/>
    <d v="2021-12-20T00:00:00"/>
    <x v="4"/>
    <x v="1"/>
  </r>
  <r>
    <x v="74"/>
    <n v="6800"/>
    <n v="46.258503401360542"/>
    <s v="Domestic"/>
    <s v="Food &amp; Beverages"/>
    <d v="2021-12-21T00:00:00"/>
    <x v="4"/>
    <x v="1"/>
  </r>
  <r>
    <x v="28"/>
    <n v="15000"/>
    <n v="102.04081632653062"/>
    <s v="Government"/>
    <s v="Finance &amp; Economy"/>
    <d v="2021-12-22T00:00:00"/>
    <x v="4"/>
    <x v="1"/>
  </r>
  <r>
    <x v="75"/>
    <n v="2000"/>
    <n v="13.605442176870747"/>
    <s v="Domestic"/>
    <s v="Food &amp; Beverages"/>
    <d v="2021-12-22T00:00:00"/>
    <x v="4"/>
    <x v="1"/>
  </r>
  <r>
    <x v="61"/>
    <n v="10000"/>
    <n v="68.027210884353735"/>
    <s v="Domestic"/>
    <s v="Food &amp; Beverages"/>
    <d v="2021-12-23T00:00:00"/>
    <x v="4"/>
    <x v="1"/>
  </r>
  <r>
    <x v="22"/>
    <n v="7884.08"/>
    <n v="53.633197278911567"/>
    <s v="Insurance"/>
    <s v="Life Insurance"/>
    <d v="2021-12-24T00:00:00"/>
    <x v="4"/>
    <x v="1"/>
  </r>
  <r>
    <x v="76"/>
    <n v="7050.2"/>
    <n v="47.960544217687072"/>
    <s v="Domestic"/>
    <s v="Food &amp; Beverages"/>
    <d v="2022-01-08T00:00:00"/>
    <x v="5"/>
    <x v="2"/>
  </r>
  <r>
    <x v="77"/>
    <n v="4000"/>
    <n v="27.210884353741495"/>
    <s v="Government"/>
    <s v="Finance &amp; Economy"/>
    <d v="2022-01-10T00:00:00"/>
    <x v="5"/>
    <x v="2"/>
  </r>
  <r>
    <x v="78"/>
    <n v="15000"/>
    <n v="102.04081632653062"/>
    <s v="Domestic"/>
    <s v="Outing"/>
    <d v="2022-01-12T00:00:00"/>
    <x v="5"/>
    <x v="2"/>
  </r>
  <r>
    <x v="73"/>
    <n v="5000"/>
    <n v="34.013605442176868"/>
    <s v="Government"/>
    <s v="Finance &amp; Economy"/>
    <d v="2022-01-17T00:00:00"/>
    <x v="5"/>
    <x v="2"/>
  </r>
  <r>
    <x v="47"/>
    <n v="2200"/>
    <n v="14.965986394557824"/>
    <s v="Domestic"/>
    <s v="Food &amp; Beverages"/>
    <d v="2022-01-17T00:00:00"/>
    <x v="5"/>
    <x v="2"/>
  </r>
  <r>
    <x v="79"/>
    <n v="10922"/>
    <n v="74.299319727891159"/>
    <s v="Government"/>
    <s v="Finance &amp; Economy"/>
    <d v="2022-01-18T00:00:00"/>
    <x v="5"/>
    <x v="2"/>
  </r>
  <r>
    <x v="2"/>
    <n v="2251"/>
    <n v="15.312925170068027"/>
    <s v="Gaming"/>
    <s v="Entertainment"/>
    <d v="2022-01-24T00:00:00"/>
    <x v="5"/>
    <x v="2"/>
  </r>
  <r>
    <x v="57"/>
    <n v="2600"/>
    <n v="17.687074829931973"/>
    <s v="Domestic"/>
    <s v="Home"/>
    <d v="2022-01-25T00:00:00"/>
    <x v="5"/>
    <x v="2"/>
  </r>
  <r>
    <x v="28"/>
    <n v="15000"/>
    <n v="102.04081632653062"/>
    <s v="Government"/>
    <s v="Finance &amp; Economy"/>
    <d v="2022-01-26T00:00:00"/>
    <x v="5"/>
    <x v="2"/>
  </r>
  <r>
    <x v="22"/>
    <n v="7884.08"/>
    <n v="53.633197278911567"/>
    <s v="Insurance"/>
    <s v="Life Insurance"/>
    <d v="2022-01-27T00:00:00"/>
    <x v="5"/>
    <x v="2"/>
  </r>
  <r>
    <x v="61"/>
    <n v="10000"/>
    <n v="68.027210884353735"/>
    <s v="Domestic"/>
    <s v="Food &amp; Beverages"/>
    <d v="2022-01-27T00:00:00"/>
    <x v="5"/>
    <x v="2"/>
  </r>
  <r>
    <x v="57"/>
    <n v="2439.91"/>
    <n v="16.598027210884354"/>
    <s v="Domestic"/>
    <s v="Home"/>
    <d v="2022-02-14T00:00:00"/>
    <x v="6"/>
    <x v="2"/>
  </r>
  <r>
    <x v="47"/>
    <n v="2000"/>
    <n v="13.605442176870747"/>
    <s v="Domestic"/>
    <s v="Food &amp; Beverages"/>
    <d v="2022-02-15T00:00:00"/>
    <x v="6"/>
    <x v="2"/>
  </r>
  <r>
    <x v="74"/>
    <n v="8780"/>
    <n v="59.727891156462583"/>
    <s v="Domestic"/>
    <s v="Food &amp; Beverages"/>
    <d v="2022-02-28T00:00:00"/>
    <x v="6"/>
    <x v="2"/>
  </r>
  <r>
    <x v="80"/>
    <n v="7200"/>
    <n v="48.979591836734691"/>
    <s v="Government"/>
    <s v="Finance &amp; Economy"/>
    <d v="2022-02-28T00:00:00"/>
    <x v="6"/>
    <x v="2"/>
  </r>
  <r>
    <x v="62"/>
    <n v="1200"/>
    <n v="8.1632653061224492"/>
    <s v="Domestic"/>
    <s v="Food &amp; Beverages"/>
    <d v="2022-02-28T00:00:00"/>
    <x v="6"/>
    <x v="2"/>
  </r>
  <r>
    <x v="28"/>
    <n v="15000"/>
    <n v="102.04081632653062"/>
    <s v="Government"/>
    <s v="Finance &amp; Economy"/>
    <d v="2022-02-28T00:00:00"/>
    <x v="6"/>
    <x v="2"/>
  </r>
  <r>
    <x v="22"/>
    <n v="7884.08"/>
    <n v="53.633197278911567"/>
    <s v="Insurance"/>
    <s v="Life Insurance"/>
    <d v="2022-02-28T00:00:00"/>
    <x v="6"/>
    <x v="2"/>
  </r>
  <r>
    <x v="61"/>
    <n v="10000"/>
    <n v="68.027210884353735"/>
    <s v="Domestic"/>
    <s v="Food &amp; Beverages"/>
    <d v="2022-02-28T00:00:00"/>
    <x v="6"/>
    <x v="2"/>
  </r>
  <r>
    <x v="26"/>
    <n v="1000"/>
    <n v="6.8027210884353737"/>
    <s v="Domestic"/>
    <s v="Food &amp; Beverages"/>
    <d v="2022-03-02T00:00:00"/>
    <x v="7"/>
    <x v="2"/>
  </r>
  <r>
    <x v="61"/>
    <n v="10000"/>
    <n v="68.027210884353735"/>
    <s v="Domestic"/>
    <s v="Food &amp; Beverages"/>
    <d v="2022-03-03T00:00:00"/>
    <x v="7"/>
    <x v="2"/>
  </r>
  <r>
    <x v="2"/>
    <n v="2251"/>
    <n v="15.312925170068027"/>
    <s v="Gaming"/>
    <s v="Entertainment"/>
    <d v="2022-03-03T00:00:00"/>
    <x v="7"/>
    <x v="2"/>
  </r>
  <r>
    <x v="81"/>
    <n v="3900"/>
    <n v="26.530612244897959"/>
    <s v="Domestic"/>
    <s v="Outing"/>
    <d v="2022-03-05T00:00:00"/>
    <x v="7"/>
    <x v="2"/>
  </r>
  <r>
    <x v="82"/>
    <n v="3000"/>
    <n v="20.408163265306122"/>
    <s v="Domestic"/>
    <s v="Food &amp; Beverages"/>
    <d v="2022-03-06T00:00:00"/>
    <x v="7"/>
    <x v="2"/>
  </r>
  <r>
    <x v="62"/>
    <n v="1400"/>
    <n v="9.5238095238095237"/>
    <s v="Domestic"/>
    <s v="Food &amp; Beverages"/>
    <d v="2022-03-07T00:00:00"/>
    <x v="7"/>
    <x v="2"/>
  </r>
  <r>
    <x v="81"/>
    <n v="7000"/>
    <n v="47.61904761904762"/>
    <s v="Domestic"/>
    <s v="Outing"/>
    <d v="2022-03-20T00:00:00"/>
    <x v="7"/>
    <x v="2"/>
  </r>
  <r>
    <x v="83"/>
    <n v="1500"/>
    <n v="10.204081632653061"/>
    <s v="Heathcare"/>
    <s v="Home"/>
    <d v="2022-03-20T00:00:00"/>
    <x v="7"/>
    <x v="2"/>
  </r>
  <r>
    <x v="84"/>
    <n v="11250"/>
    <n v="76.530612244897952"/>
    <s v="Education"/>
    <s v="School"/>
    <d v="2022-03-21T00:00:00"/>
    <x v="7"/>
    <x v="2"/>
  </r>
  <r>
    <x v="28"/>
    <n v="15000"/>
    <n v="102.04081632653062"/>
    <s v="Government"/>
    <s v="Finance &amp; Economy"/>
    <d v="2022-03-22T00:00:00"/>
    <x v="7"/>
    <x v="2"/>
  </r>
  <r>
    <x v="22"/>
    <n v="7884.08"/>
    <n v="53.633197278911567"/>
    <s v="Insurance"/>
    <s v="Life Insurance"/>
    <d v="2022-03-22T00:00:00"/>
    <x v="7"/>
    <x v="2"/>
  </r>
  <r>
    <x v="57"/>
    <n v="2703"/>
    <n v="18.387755102040817"/>
    <s v="Domestic"/>
    <s v="Home"/>
    <d v="2022-03-30T00:00:00"/>
    <x v="7"/>
    <x v="2"/>
  </r>
  <r>
    <x v="62"/>
    <n v="1000"/>
    <n v="6.8027210884353737"/>
    <s v="Domestic"/>
    <s v="Food &amp; Beverages"/>
    <d v="2022-04-01T00:00:00"/>
    <x v="8"/>
    <x v="2"/>
  </r>
  <r>
    <x v="81"/>
    <n v="3000"/>
    <n v="20.408163265306122"/>
    <s v="Domestic"/>
    <s v="Outing"/>
    <d v="2022-04-02T00:00:00"/>
    <x v="8"/>
    <x v="2"/>
  </r>
  <r>
    <x v="85"/>
    <n v="2000"/>
    <n v="13.605442176870747"/>
    <s v="Domestic"/>
    <s v="Food &amp; Beverages"/>
    <d v="2022-04-03T00:00:00"/>
    <x v="8"/>
    <x v="2"/>
  </r>
  <r>
    <x v="86"/>
    <n v="2854.16"/>
    <n v="19.416054421768706"/>
    <s v="Domestic"/>
    <s v="School"/>
    <d v="2022-04-05T00:00:00"/>
    <x v="8"/>
    <x v="2"/>
  </r>
  <r>
    <x v="61"/>
    <n v="10000"/>
    <n v="68.027210884353735"/>
    <s v="Domestic"/>
    <s v="Food &amp; Beverages"/>
    <d v="2022-04-06T00:00:00"/>
    <x v="8"/>
    <x v="2"/>
  </r>
  <r>
    <x v="87"/>
    <n v="35000"/>
    <n v="238.0952380952381"/>
    <s v="Domestic"/>
    <s v="Transportation"/>
    <d v="2022-04-07T00:00:00"/>
    <x v="8"/>
    <x v="2"/>
  </r>
  <r>
    <x v="88"/>
    <n v="7500"/>
    <n v="51.020408163265309"/>
    <s v="Domestic"/>
    <s v="Transportation"/>
    <d v="2022-04-07T00:00:00"/>
    <x v="8"/>
    <x v="2"/>
  </r>
  <r>
    <x v="89"/>
    <n v="7500"/>
    <n v="51.020408163265309"/>
    <s v="Domestic"/>
    <s v="Home"/>
    <d v="2022-04-08T00:00:00"/>
    <x v="8"/>
    <x v="2"/>
  </r>
  <r>
    <x v="90"/>
    <n v="813"/>
    <n v="5.5306122448979593"/>
    <s v="Domestic"/>
    <s v="Electronics"/>
    <d v="2022-04-09T00:00:00"/>
    <x v="8"/>
    <x v="2"/>
  </r>
  <r>
    <x v="89"/>
    <n v="2084.17"/>
    <n v="14.178027210884354"/>
    <s v="Domestic"/>
    <s v="Home"/>
    <d v="2022-04-09T00:00:00"/>
    <x v="8"/>
    <x v="2"/>
  </r>
  <r>
    <x v="62"/>
    <n v="869.99"/>
    <n v="5.9182993197278915"/>
    <s v="Domestic"/>
    <s v="Food &amp; Beverages"/>
    <d v="2022-04-13T00:00:00"/>
    <x v="8"/>
    <x v="2"/>
  </r>
  <r>
    <x v="90"/>
    <n v="813"/>
    <n v="5.5306122448979593"/>
    <s v="Domestic"/>
    <s v="Electronics"/>
    <d v="2022-04-13T00:00:00"/>
    <x v="8"/>
    <x v="2"/>
  </r>
  <r>
    <x v="91"/>
    <n v="7000"/>
    <n v="47.61904761904762"/>
    <s v="Domestic"/>
    <s v="Outing"/>
    <d v="2022-04-14T00:00:00"/>
    <x v="8"/>
    <x v="2"/>
  </r>
  <r>
    <x v="92"/>
    <n v="11000"/>
    <n v="74.829931972789112"/>
    <s v="Domestic"/>
    <s v="Home"/>
    <d v="2022-04-20T00:00:00"/>
    <x v="8"/>
    <x v="2"/>
  </r>
  <r>
    <x v="93"/>
    <n v="5500"/>
    <n v="37.414965986394556"/>
    <s v="Domestic"/>
    <s v="Home"/>
    <d v="2022-04-20T00:00:00"/>
    <x v="8"/>
    <x v="2"/>
  </r>
  <r>
    <x v="59"/>
    <n v="1000"/>
    <n v="6.8027210884353737"/>
    <s v="Domestic"/>
    <s v="Health"/>
    <d v="2022-04-17T00:00:00"/>
    <x v="8"/>
    <x v="2"/>
  </r>
  <r>
    <x v="92"/>
    <n v="8700"/>
    <n v="59.183673469387756"/>
    <s v="Domestic"/>
    <s v="Home"/>
    <d v="2022-04-26T00:00:00"/>
    <x v="8"/>
    <x v="2"/>
  </r>
  <r>
    <x v="94"/>
    <n v="1400"/>
    <n v="9.5238095238095237"/>
    <s v="Domestic"/>
    <s v="Food &amp; Beverages"/>
    <d v="2022-04-26T00:00:00"/>
    <x v="8"/>
    <x v="2"/>
  </r>
  <r>
    <x v="22"/>
    <n v="7884"/>
    <n v="53.632653061224488"/>
    <s v="Insurance"/>
    <s v="Life Insurance"/>
    <d v="2022-04-28T00:00:00"/>
    <x v="8"/>
    <x v="2"/>
  </r>
  <r>
    <x v="28"/>
    <n v="15000"/>
    <n v="102.04081632653062"/>
    <s v="Government"/>
    <s v="Finance &amp; Economy"/>
    <d v="2022-04-29T00:00:00"/>
    <x v="8"/>
    <x v="2"/>
  </r>
  <r>
    <x v="95"/>
    <n v="1500"/>
    <n v="10.204081632653061"/>
    <s v="Domestic"/>
    <s v="Food &amp; Beverages"/>
    <d v="2022-04-29T00:00:00"/>
    <x v="8"/>
    <x v="2"/>
  </r>
  <r>
    <x v="62"/>
    <n v="1000"/>
    <n v="6.8027210884353737"/>
    <s v="Domestic"/>
    <s v="Food &amp; Beverages"/>
    <d v="2022-04-30T00:00:00"/>
    <x v="8"/>
    <x v="2"/>
  </r>
  <r>
    <x v="96"/>
    <n v="1000"/>
    <n v="6.8027210884353737"/>
    <s v="Domestic"/>
    <s v="Home"/>
    <d v="2022-04-30T00:00:00"/>
    <x v="8"/>
    <x v="2"/>
  </r>
  <r>
    <x v="2"/>
    <n v="2500"/>
    <n v="17.006802721088434"/>
    <s v="Gaming"/>
    <s v="Entertainment"/>
    <d v="2022-04-30T00:00:00"/>
    <x v="8"/>
    <x v="2"/>
  </r>
  <r>
    <x v="97"/>
    <n v="12500"/>
    <n v="85.034013605442183"/>
    <s v="Heathcare"/>
    <s v="Health"/>
    <d v="2022-05-03T00:00:00"/>
    <x v="0"/>
    <x v="2"/>
  </r>
  <r>
    <x v="98"/>
    <n v="27200"/>
    <n v="185.03401360544217"/>
    <s v="Education"/>
    <s v="School"/>
    <d v="2022-05-06T00:00:00"/>
    <x v="0"/>
    <x v="2"/>
  </r>
  <r>
    <x v="61"/>
    <n v="10000"/>
    <n v="68.027210884353735"/>
    <s v="Domestic"/>
    <s v="Food &amp; Beverages"/>
    <d v="2022-05-05T00:00:00"/>
    <x v="0"/>
    <x v="2"/>
  </r>
  <r>
    <x v="99"/>
    <n v="15000"/>
    <n v="102.04081632653062"/>
    <s v="Domestic"/>
    <s v="Electronics"/>
    <d v="2022-05-11T00:00:00"/>
    <x v="0"/>
    <x v="2"/>
  </r>
  <r>
    <x v="100"/>
    <n v="1000"/>
    <n v="6.8027210884353737"/>
    <s v="Domestic"/>
    <s v="Food &amp; Beverages"/>
    <d v="2022-05-15T00:00:00"/>
    <x v="0"/>
    <x v="2"/>
  </r>
  <r>
    <x v="101"/>
    <n v="6500"/>
    <n v="44.217687074829932"/>
    <s v="Domestic"/>
    <s v="Outing"/>
    <d v="2022-05-16T00:00:00"/>
    <x v="0"/>
    <x v="2"/>
  </r>
  <r>
    <x v="102"/>
    <n v="1200"/>
    <n v="8.1632653061224492"/>
    <s v="Domestic"/>
    <s v="Food &amp; Beverages"/>
    <d v="2022-05-17T00:00:00"/>
    <x v="0"/>
    <x v="2"/>
  </r>
  <r>
    <x v="103"/>
    <n v="75000"/>
    <n v="510.20408163265307"/>
    <s v="Government"/>
    <s v="Finance &amp; Economy"/>
    <d v="2022-05-18T00:00:00"/>
    <x v="0"/>
    <x v="2"/>
  </r>
  <r>
    <x v="47"/>
    <n v="1300"/>
    <n v="8.8435374149659864"/>
    <s v="Domestic"/>
    <s v="Food &amp; Beverages"/>
    <d v="2022-05-19T00:00:00"/>
    <x v="0"/>
    <x v="2"/>
  </r>
  <r>
    <x v="104"/>
    <n v="7000"/>
    <n v="47.61904761904762"/>
    <s v="Domestic"/>
    <s v="Electronics"/>
    <d v="2022-05-20T00:00:00"/>
    <x v="0"/>
    <x v="2"/>
  </r>
  <r>
    <x v="105"/>
    <n v="35550"/>
    <n v="241.83673469387756"/>
    <s v="Education"/>
    <s v="Electronics"/>
    <d v="2022-05-21T00:00:00"/>
    <x v="0"/>
    <x v="2"/>
  </r>
  <r>
    <x v="28"/>
    <n v="15000"/>
    <n v="102.04081632653062"/>
    <s v="Government"/>
    <s v="Finance &amp; Economy"/>
    <d v="2022-05-22T00:00:00"/>
    <x v="0"/>
    <x v="2"/>
  </r>
  <r>
    <x v="22"/>
    <n v="7884"/>
    <n v="53.632653061224488"/>
    <s v="Insurance"/>
    <s v="Life Insurance"/>
    <d v="2022-05-22T00:00:00"/>
    <x v="0"/>
    <x v="2"/>
  </r>
  <r>
    <x v="2"/>
    <n v="2400"/>
    <n v="16.326530612244898"/>
    <s v="Gaming"/>
    <s v="Entertainment"/>
    <d v="2022-05-23T00:00:00"/>
    <x v="0"/>
    <x v="2"/>
  </r>
  <r>
    <x v="74"/>
    <n v="11600"/>
    <n v="78.911564625850346"/>
    <s v="Domestic"/>
    <s v="Food &amp; Beverages"/>
    <d v="2022-05-22T00:00:00"/>
    <x v="0"/>
    <x v="2"/>
  </r>
  <r>
    <x v="106"/>
    <n v="6000"/>
    <n v="40.816326530612244"/>
    <s v="Government"/>
    <s v="Finance &amp; Economy"/>
    <d v="2022-06-01T00:00:00"/>
    <x v="9"/>
    <x v="2"/>
  </r>
  <r>
    <x v="107"/>
    <n v="6000"/>
    <n v="40.816326530612244"/>
    <s v="Heathcare"/>
    <s v="Health"/>
    <d v="2022-06-07T00:00:00"/>
    <x v="9"/>
    <x v="2"/>
  </r>
  <r>
    <x v="108"/>
    <n v="500"/>
    <n v="3.4013605442176869"/>
    <s v="Domestic"/>
    <s v="Outing"/>
    <d v="2022-06-08T00:00:00"/>
    <x v="9"/>
    <x v="2"/>
  </r>
  <r>
    <x v="109"/>
    <n v="4600"/>
    <n v="31.292517006802722"/>
    <s v="Domestic"/>
    <s v="Health"/>
    <d v="2022-06-09T00:00:00"/>
    <x v="9"/>
    <x v="2"/>
  </r>
  <r>
    <x v="74"/>
    <n v="6600"/>
    <n v="44.897959183673471"/>
    <s v="Domestic"/>
    <s v="Food &amp; Beverages"/>
    <d v="2022-06-10T00:00:00"/>
    <x v="9"/>
    <x v="2"/>
  </r>
  <r>
    <x v="110"/>
    <n v="187000"/>
    <n v="1272.1088435374149"/>
    <s v="Insurance"/>
    <s v="Car Insurance"/>
    <d v="2022-06-11T00:00:00"/>
    <x v="9"/>
    <x v="2"/>
  </r>
  <r>
    <x v="111"/>
    <n v="11000"/>
    <n v="74.829931972789112"/>
    <s v="Domestic"/>
    <s v="Food &amp; Beverages"/>
    <d v="2022-06-17T00:00:00"/>
    <x v="9"/>
    <x v="2"/>
  </r>
  <r>
    <x v="112"/>
    <n v="2000"/>
    <n v="13.605442176870747"/>
    <s v="Domestic"/>
    <s v="Home"/>
    <d v="2022-06-18T00:00:00"/>
    <x v="9"/>
    <x v="2"/>
  </r>
  <r>
    <x v="113"/>
    <n v="43000"/>
    <n v="292.51700680272108"/>
    <s v="Heathcare"/>
    <s v="Health"/>
    <d v="2022-06-19T00:00:00"/>
    <x v="9"/>
    <x v="2"/>
  </r>
  <r>
    <x v="61"/>
    <n v="10000"/>
    <n v="68.027210884353735"/>
    <s v="Domestic"/>
    <s v="Food &amp; Beverages"/>
    <d v="2022-06-20T00:00:00"/>
    <x v="9"/>
    <x v="2"/>
  </r>
  <r>
    <x v="114"/>
    <n v="2500"/>
    <n v="17.006802721088434"/>
    <s v="Domestic"/>
    <s v="Food &amp; Beverages"/>
    <d v="2022-06-20T00:00:00"/>
    <x v="9"/>
    <x v="2"/>
  </r>
  <r>
    <x v="115"/>
    <n v="4000"/>
    <n v="27.210884353741495"/>
    <s v="Domestic"/>
    <s v="Home"/>
    <d v="2022-06-21T00:00:00"/>
    <x v="9"/>
    <x v="2"/>
  </r>
  <r>
    <x v="88"/>
    <n v="4700"/>
    <n v="31.972789115646258"/>
    <s v="Domestic"/>
    <s v="Transportation"/>
    <d v="2022-06-22T00:00:00"/>
    <x v="9"/>
    <x v="2"/>
  </r>
  <r>
    <x v="28"/>
    <n v="15000"/>
    <n v="102.04081632653062"/>
    <s v="Government"/>
    <s v="Finance &amp; Economy"/>
    <d v="2022-06-23T00:00:00"/>
    <x v="9"/>
    <x v="2"/>
  </r>
  <r>
    <x v="111"/>
    <n v="56000"/>
    <n v="380.95238095238096"/>
    <s v="Domestic"/>
    <s v="Food &amp; Beverages"/>
    <d v="2022-06-24T00:00:00"/>
    <x v="9"/>
    <x v="2"/>
  </r>
  <r>
    <x v="111"/>
    <n v="4500"/>
    <n v="30.612244897959183"/>
    <s v="Domestic"/>
    <s v="Food &amp; Beverages"/>
    <d v="2022-06-25T00:00:00"/>
    <x v="9"/>
    <x v="2"/>
  </r>
  <r>
    <x v="116"/>
    <n v="4000"/>
    <n v="27.210884353741495"/>
    <s v="Domestic"/>
    <s v="Electronics"/>
    <d v="2022-06-26T00:00:00"/>
    <x v="9"/>
    <x v="2"/>
  </r>
  <r>
    <x v="117"/>
    <n v="4000"/>
    <n v="27.210884353741495"/>
    <s v="Domestic"/>
    <s v="Electronics"/>
    <d v="2022-06-27T00:00:00"/>
    <x v="9"/>
    <x v="2"/>
  </r>
  <r>
    <x v="118"/>
    <n v="19300"/>
    <n v="131.29251700680271"/>
    <s v="Domestic"/>
    <s v="Transportation"/>
    <d v="2022-06-28T00:00:00"/>
    <x v="9"/>
    <x v="2"/>
  </r>
  <r>
    <x v="62"/>
    <n v="2500"/>
    <n v="17.006802721088434"/>
    <s v="Domestic"/>
    <s v="Food &amp; Beverages"/>
    <d v="2022-06-29T00:00:00"/>
    <x v="9"/>
    <x v="2"/>
  </r>
  <r>
    <x v="22"/>
    <n v="7884"/>
    <n v="53.632653061224488"/>
    <s v="Insurance"/>
    <s v="Life Insurance"/>
    <d v="2022-06-30T00:00:00"/>
    <x v="9"/>
    <x v="2"/>
  </r>
  <r>
    <x v="8"/>
    <n v="1200"/>
    <n v="8.1632653061224492"/>
    <s v="Domestic"/>
    <s v="Electronics"/>
    <d v="2022-06-30T00:00:00"/>
    <x v="9"/>
    <x v="2"/>
  </r>
  <r>
    <x v="61"/>
    <n v="10000"/>
    <n v="68.027210884353735"/>
    <s v="Domestic"/>
    <s v="Food &amp; Beverages"/>
    <d v="2022-06-30T00:00:00"/>
    <x v="9"/>
    <x v="2"/>
  </r>
  <r>
    <x v="119"/>
    <n v="3100"/>
    <n v="21.088435374149661"/>
    <s v="Domestic"/>
    <s v="Date Night"/>
    <d v="2022-07-01T00:00:00"/>
    <x v="10"/>
    <x v="2"/>
  </r>
  <r>
    <x v="120"/>
    <n v="2600"/>
    <n v="17.687074829931973"/>
    <s v="Domestic"/>
    <s v="Electronics"/>
    <d v="2022-07-02T00:00:00"/>
    <x v="10"/>
    <x v="2"/>
  </r>
  <r>
    <x v="61"/>
    <n v="10000"/>
    <n v="68.027210884353735"/>
    <s v="Domestic"/>
    <s v="Food &amp; Beverages"/>
    <d v="2022-07-03T00:00:00"/>
    <x v="10"/>
    <x v="2"/>
  </r>
  <r>
    <x v="121"/>
    <n v="400"/>
    <n v="2.7210884353741496"/>
    <s v="Domestic"/>
    <s v="Food &amp; Beverages"/>
    <d v="2022-07-03T00:00:00"/>
    <x v="10"/>
    <x v="2"/>
  </r>
  <r>
    <x v="122"/>
    <n v="5000"/>
    <n v="34.013605442176868"/>
    <s v="Government"/>
    <s v="Finance &amp; Economy"/>
    <d v="2022-07-04T00:00:00"/>
    <x v="10"/>
    <x v="2"/>
  </r>
  <r>
    <x v="123"/>
    <n v="1100"/>
    <n v="7.4829931972789119"/>
    <s v="Domestic"/>
    <s v="Home"/>
    <d v="2022-07-05T00:00:00"/>
    <x v="10"/>
    <x v="2"/>
  </r>
  <r>
    <x v="27"/>
    <n v="3000"/>
    <n v="20.408163265306122"/>
    <s v="Religion"/>
    <s v="Church"/>
    <d v="2022-07-06T00:00:00"/>
    <x v="10"/>
    <x v="2"/>
  </r>
  <r>
    <x v="34"/>
    <n v="2500"/>
    <n v="17.006802721088434"/>
    <s v="Domestic"/>
    <s v="Date Night"/>
    <d v="2022-07-07T00:00:00"/>
    <x v="10"/>
    <x v="2"/>
  </r>
  <r>
    <x v="34"/>
    <n v="1600"/>
    <n v="10.884353741496598"/>
    <s v="Domestic"/>
    <s v="Date Night"/>
    <d v="2022-07-08T00:00:00"/>
    <x v="10"/>
    <x v="2"/>
  </r>
  <r>
    <x v="102"/>
    <n v="2000"/>
    <n v="13.605442176870747"/>
    <s v="Domestic"/>
    <s v="Food &amp; Beverages"/>
    <d v="2022-07-09T00:00:00"/>
    <x v="10"/>
    <x v="2"/>
  </r>
  <r>
    <x v="62"/>
    <n v="1100"/>
    <n v="7.4829931972789119"/>
    <s v="Domestic"/>
    <s v="Food &amp; Beverages"/>
    <d v="2022-07-10T00:00:00"/>
    <x v="10"/>
    <x v="2"/>
  </r>
  <r>
    <x v="88"/>
    <n v="5100"/>
    <n v="34.693877551020407"/>
    <s v="Domestic"/>
    <s v="Transportation"/>
    <d v="2022-07-11T00:00:00"/>
    <x v="10"/>
    <x v="2"/>
  </r>
  <r>
    <x v="19"/>
    <n v="2500"/>
    <n v="17.006802721088434"/>
    <s v="Heathcare"/>
    <s v="Health"/>
    <d v="2022-07-12T00:00:00"/>
    <x v="10"/>
    <x v="2"/>
  </r>
  <r>
    <x v="22"/>
    <n v="7884"/>
    <n v="53.632653061224488"/>
    <s v="Insurance"/>
    <s v="Life Insurance"/>
    <d v="2022-07-13T00:00:00"/>
    <x v="10"/>
    <x v="2"/>
  </r>
  <r>
    <x v="20"/>
    <n v="8000"/>
    <n v="54.42176870748299"/>
    <s v="Heathcare"/>
    <s v="Health"/>
    <d v="2022-07-13T00:00:00"/>
    <x v="10"/>
    <x v="2"/>
  </r>
  <r>
    <x v="28"/>
    <n v="15000"/>
    <n v="102.04081632653062"/>
    <s v="Government"/>
    <s v="Finance &amp; Economy"/>
    <d v="2022-07-14T00:00:00"/>
    <x v="10"/>
    <x v="2"/>
  </r>
  <r>
    <x v="124"/>
    <n v="20000"/>
    <n v="136.05442176870747"/>
    <s v="Domestic"/>
    <s v="Electronics"/>
    <d v="2022-07-14T00:00:00"/>
    <x v="10"/>
    <x v="2"/>
  </r>
  <r>
    <x v="34"/>
    <n v="7000"/>
    <n v="47.61904761904762"/>
    <s v="Domestic"/>
    <s v="Date Night"/>
    <d v="2022-08-08T00:00:00"/>
    <x v="11"/>
    <x v="2"/>
  </r>
  <r>
    <x v="125"/>
    <n v="26000"/>
    <n v="176.87074829931973"/>
    <s v="Government"/>
    <s v="Finance &amp; Economy"/>
    <d v="2022-08-09T00:00:00"/>
    <x v="11"/>
    <x v="2"/>
  </r>
  <r>
    <x v="57"/>
    <n v="1500"/>
    <n v="10.204081632653061"/>
    <s v="Domestic"/>
    <s v="Home"/>
    <d v="2022-08-09T00:00:00"/>
    <x v="11"/>
    <x v="2"/>
  </r>
  <r>
    <x v="118"/>
    <n v="3200"/>
    <n v="21.768707482993197"/>
    <s v="Domestic"/>
    <s v="Transportation"/>
    <d v="2022-08-10T00:00:00"/>
    <x v="11"/>
    <x v="2"/>
  </r>
  <r>
    <x v="126"/>
    <n v="7203"/>
    <n v="49"/>
    <s v="Education"/>
    <s v="School"/>
    <d v="2022-08-11T00:00:00"/>
    <x v="11"/>
    <x v="2"/>
  </r>
  <r>
    <x v="34"/>
    <n v="2000"/>
    <n v="13.605442176870747"/>
    <s v="Domestic"/>
    <s v="Date Night"/>
    <d v="2022-08-12T00:00:00"/>
    <x v="11"/>
    <x v="2"/>
  </r>
  <r>
    <x v="88"/>
    <n v="3500"/>
    <n v="23.80952380952381"/>
    <s v="Domestic"/>
    <s v="Transportation"/>
    <d v="2022-08-13T00:00:00"/>
    <x v="11"/>
    <x v="2"/>
  </r>
  <r>
    <x v="47"/>
    <n v="1300"/>
    <n v="8.8435374149659864"/>
    <s v="Domestic"/>
    <s v="Food &amp; Beverages"/>
    <d v="2022-08-14T00:00:00"/>
    <x v="11"/>
    <x v="2"/>
  </r>
  <r>
    <x v="59"/>
    <n v="550"/>
    <n v="3.7414965986394559"/>
    <s v="Heathcare"/>
    <s v="Health"/>
    <d v="2022-08-15T00:00:00"/>
    <x v="11"/>
    <x v="2"/>
  </r>
  <r>
    <x v="127"/>
    <n v="880.53000000000009"/>
    <n v="5.99"/>
    <s v="Domestic"/>
    <s v="Electronics"/>
    <d v="2022-08-16T00:00:00"/>
    <x v="11"/>
    <x v="2"/>
  </r>
  <r>
    <x v="88"/>
    <n v="6500"/>
    <n v="44.217687074829932"/>
    <s v="Domestic"/>
    <s v="Transportation"/>
    <d v="2022-08-19T00:00:00"/>
    <x v="11"/>
    <x v="2"/>
  </r>
  <r>
    <x v="62"/>
    <n v="1400"/>
    <n v="9.5238095238095237"/>
    <s v="Domestic"/>
    <s v="Food &amp; Beverages"/>
    <d v="2022-08-19T00:00:00"/>
    <x v="11"/>
    <x v="2"/>
  </r>
  <r>
    <x v="34"/>
    <n v="2200"/>
    <n v="14.965986394557824"/>
    <s v="Domestic"/>
    <s v="Date Night"/>
    <d v="2022-08-23T00:00:00"/>
    <x v="11"/>
    <x v="2"/>
  </r>
  <r>
    <x v="61"/>
    <n v="10000"/>
    <n v="68.027210884353735"/>
    <s v="Domestic"/>
    <s v="Food &amp; Beverages"/>
    <d v="2022-08-24T00:00:00"/>
    <x v="11"/>
    <x v="2"/>
  </r>
  <r>
    <x v="88"/>
    <n v="3000"/>
    <n v="20.408163265306122"/>
    <s v="Domestic"/>
    <s v="Transportation"/>
    <d v="2022-08-25T00:00:00"/>
    <x v="11"/>
    <x v="2"/>
  </r>
  <r>
    <x v="111"/>
    <n v="5678"/>
    <n v="38.625850340136054"/>
    <s v="Domestic"/>
    <s v="Food &amp; Beverages"/>
    <d v="2022-08-25T00:00:00"/>
    <x v="11"/>
    <x v="2"/>
  </r>
  <r>
    <x v="19"/>
    <n v="8500"/>
    <n v="57.823129251700678"/>
    <s v="Heathcare"/>
    <s v="Health"/>
    <d v="2022-08-26T00:00:00"/>
    <x v="11"/>
    <x v="2"/>
  </r>
  <r>
    <x v="34"/>
    <n v="1755"/>
    <n v="11.938775510204081"/>
    <s v="Domestic"/>
    <s v="Date Night"/>
    <d v="2022-08-27T00:00:00"/>
    <x v="11"/>
    <x v="2"/>
  </r>
  <r>
    <x v="62"/>
    <n v="1400"/>
    <n v="9.5238095238095237"/>
    <s v="Domestic"/>
    <s v="Food &amp; Beverages"/>
    <d v="2022-08-28T00:00:00"/>
    <x v="11"/>
    <x v="2"/>
  </r>
  <r>
    <x v="128"/>
    <n v="2917.55"/>
    <n v="19.847278911564626"/>
    <s v="Domestic"/>
    <s v="Home"/>
    <d v="2022-08-29T00:00:00"/>
    <x v="11"/>
    <x v="2"/>
  </r>
  <r>
    <x v="59"/>
    <n v="7970.71"/>
    <n v="54.222517006802718"/>
    <s v="Heathcare"/>
    <s v="Food &amp; Beverages"/>
    <d v="2022-08-29T00:00:00"/>
    <x v="11"/>
    <x v="2"/>
  </r>
  <r>
    <x v="22"/>
    <n v="7884"/>
    <n v="53.632653061224488"/>
    <s v="Insurance"/>
    <s v="Life Insurance"/>
    <d v="2022-08-29T00:00:00"/>
    <x v="11"/>
    <x v="2"/>
  </r>
  <r>
    <x v="28"/>
    <n v="15000"/>
    <n v="102.04081632653062"/>
    <s v="Government"/>
    <s v="Finance &amp; Economy"/>
    <d v="2022-08-29T00:00:00"/>
    <x v="11"/>
    <x v="2"/>
  </r>
  <r>
    <x v="129"/>
    <n v="9200"/>
    <n v="62.585034013605444"/>
    <s v="Heathcare"/>
    <s v="Health"/>
    <d v="2022-08-30T00:00:00"/>
    <x v="11"/>
    <x v="2"/>
  </r>
  <r>
    <x v="8"/>
    <n v="1111.32"/>
    <n v="7.56"/>
    <s v="Domestic"/>
    <s v="Food &amp; Beverages"/>
    <d v="2022-08-31T00:00:00"/>
    <x v="11"/>
    <x v="2"/>
  </r>
  <r>
    <x v="88"/>
    <n v="7000"/>
    <n v="47.61904761904762"/>
    <s v="Domestic"/>
    <s v="Transportation"/>
    <d v="2022-08-31T00:00:00"/>
    <x v="11"/>
    <x v="2"/>
  </r>
  <r>
    <x v="130"/>
    <n v="1000"/>
    <n v="6.8027210884353737"/>
    <s v="Heathcare"/>
    <s v="Home"/>
    <d v="2022-09-01T00:00:00"/>
    <x v="1"/>
    <x v="2"/>
  </r>
  <r>
    <x v="62"/>
    <n v="1000"/>
    <n v="6.8027210884353737"/>
    <s v="Domestic"/>
    <s v="Food &amp; Beverages"/>
    <d v="2022-09-02T00:00:00"/>
    <x v="1"/>
    <x v="2"/>
  </r>
  <r>
    <x v="131"/>
    <n v="1000"/>
    <n v="6.8027210884353737"/>
    <s v="Domestic"/>
    <s v="Transportation"/>
    <d v="2022-09-03T00:00:00"/>
    <x v="1"/>
    <x v="2"/>
  </r>
  <r>
    <x v="132"/>
    <n v="1500"/>
    <n v="10.204081632653061"/>
    <s v="Domestic"/>
    <s v="Food &amp; Beverages"/>
    <d v="2022-09-04T00:00:00"/>
    <x v="1"/>
    <x v="2"/>
  </r>
  <r>
    <x v="34"/>
    <n v="1000"/>
    <n v="6.8027210884353737"/>
    <s v="Domestic"/>
    <s v="Date Night"/>
    <d v="2022-09-07T00:00:00"/>
    <x v="1"/>
    <x v="2"/>
  </r>
  <r>
    <x v="34"/>
    <n v="2700"/>
    <n v="18.367346938775512"/>
    <s v="Domestic"/>
    <s v="Date Night"/>
    <d v="2022-09-08T00:00:00"/>
    <x v="1"/>
    <x v="2"/>
  </r>
  <r>
    <x v="111"/>
    <n v="2000"/>
    <n v="13.605442176870747"/>
    <s v="Domestic"/>
    <s v="Food &amp; Beverages"/>
    <d v="2022-09-08T00:00:00"/>
    <x v="1"/>
    <x v="2"/>
  </r>
  <r>
    <x v="34"/>
    <n v="800"/>
    <n v="5.4421768707482991"/>
    <s v="Domestic"/>
    <s v="Date Night"/>
    <d v="2022-09-11T00:00:00"/>
    <x v="1"/>
    <x v="2"/>
  </r>
  <r>
    <x v="133"/>
    <n v="9300"/>
    <n v="63.265306122448976"/>
    <s v="Gaming"/>
    <s v="Entertainment"/>
    <d v="2022-09-11T00:00:00"/>
    <x v="1"/>
    <x v="2"/>
  </r>
  <r>
    <x v="127"/>
    <n v="880.53000000000009"/>
    <n v="5.99"/>
    <s v="Domestic"/>
    <s v="Electronics"/>
    <d v="2022-09-13T00:00:00"/>
    <x v="1"/>
    <x v="2"/>
  </r>
  <r>
    <x v="19"/>
    <n v="2500"/>
    <n v="17.006802721088434"/>
    <s v="Heathcare"/>
    <s v="Health"/>
    <d v="2022-09-14T00:00:00"/>
    <x v="1"/>
    <x v="2"/>
  </r>
  <r>
    <x v="20"/>
    <n v="8150"/>
    <n v="55.442176870748298"/>
    <s v="Heathcare"/>
    <s v="Health"/>
    <d v="2022-09-14T00:00:00"/>
    <x v="1"/>
    <x v="2"/>
  </r>
  <r>
    <x v="72"/>
    <n v="1020"/>
    <n v="6.9387755102040813"/>
    <s v="Domestic"/>
    <s v="Food &amp; Beverages"/>
    <d v="2022-09-15T00:00:00"/>
    <x v="1"/>
    <x v="2"/>
  </r>
  <r>
    <x v="19"/>
    <n v="2500"/>
    <n v="17.006802721088434"/>
    <s v="Heathcare"/>
    <s v="Health"/>
    <d v="2022-09-16T00:00:00"/>
    <x v="1"/>
    <x v="2"/>
  </r>
  <r>
    <x v="20"/>
    <n v="5300"/>
    <n v="36.054421768707485"/>
    <s v="Heathcare"/>
    <s v="Health"/>
    <d v="2022-09-16T00:00:00"/>
    <x v="1"/>
    <x v="2"/>
  </r>
  <r>
    <x v="72"/>
    <n v="1020"/>
    <n v="6.9387755102040813"/>
    <s v="Domestic"/>
    <s v="Food &amp; Beverages"/>
    <d v="2022-09-21T00:00:00"/>
    <x v="1"/>
    <x v="2"/>
  </r>
  <r>
    <x v="88"/>
    <n v="4000"/>
    <n v="27.210884353741495"/>
    <s v="Domestic"/>
    <s v="Transportation"/>
    <d v="2022-09-22T00:00:00"/>
    <x v="1"/>
    <x v="2"/>
  </r>
  <r>
    <x v="111"/>
    <n v="6000"/>
    <n v="40.816326530612244"/>
    <s v="Domestic"/>
    <s v="Food &amp; Beverages"/>
    <d v="2022-09-23T00:00:00"/>
    <x v="1"/>
    <x v="2"/>
  </r>
  <r>
    <x v="111"/>
    <n v="2000"/>
    <n v="13.605442176870747"/>
    <s v="Domestic"/>
    <s v="Food &amp; Beverages"/>
    <d v="2022-09-24T00:00:00"/>
    <x v="1"/>
    <x v="2"/>
  </r>
  <r>
    <x v="22"/>
    <n v="7884"/>
    <n v="53.632653061224488"/>
    <s v="Insurance"/>
    <s v="Life Insurance"/>
    <d v="2022-09-25T00:00:00"/>
    <x v="1"/>
    <x v="2"/>
  </r>
  <r>
    <x v="28"/>
    <n v="15000"/>
    <n v="102.04081632653062"/>
    <s v="Government"/>
    <s v="Finance &amp; Economy"/>
    <d v="2022-09-26T00:00:00"/>
    <x v="1"/>
    <x v="2"/>
  </r>
  <r>
    <x v="61"/>
    <n v="10000"/>
    <n v="68.027210884353735"/>
    <s v="Domestic"/>
    <s v="Food &amp; Beverages"/>
    <d v="2022-09-27T00:00:00"/>
    <x v="1"/>
    <x v="2"/>
  </r>
  <r>
    <x v="134"/>
    <n v="5500"/>
    <n v="37.414965986394556"/>
    <s v="Domestic"/>
    <s v="Home"/>
    <d v="2022-09-29T00:00:00"/>
    <x v="1"/>
    <x v="2"/>
  </r>
  <r>
    <x v="8"/>
    <n v="1222.5"/>
    <n v="8.316326530612244"/>
    <s v="Domestic"/>
    <s v="Electronics"/>
    <d v="2022-09-30T00:00:00"/>
    <x v="1"/>
    <x v="2"/>
  </r>
  <r>
    <x v="47"/>
    <n v="500"/>
    <n v="3.4013605442176869"/>
    <s v="Domestic"/>
    <s v="Food &amp; Beverages"/>
    <d v="2022-10-04T00:00:00"/>
    <x v="2"/>
    <x v="2"/>
  </r>
  <r>
    <x v="88"/>
    <n v="4000"/>
    <n v="27.210884353741495"/>
    <s v="Domestic"/>
    <s v="Transportation"/>
    <d v="2022-10-05T00:00:00"/>
    <x v="2"/>
    <x v="2"/>
  </r>
  <r>
    <x v="134"/>
    <n v="7000"/>
    <n v="47.61904761904762"/>
    <s v="Domestic"/>
    <s v="Home"/>
    <d v="2022-10-07T00:00:00"/>
    <x v="2"/>
    <x v="2"/>
  </r>
  <r>
    <x v="88"/>
    <n v="4000"/>
    <n v="27.210884353741495"/>
    <s v="Domestic"/>
    <s v="Transportation"/>
    <d v="2022-10-08T00:00:00"/>
    <x v="2"/>
    <x v="2"/>
  </r>
  <r>
    <x v="63"/>
    <n v="550"/>
    <n v="3.7414965986394559"/>
    <s v="Domestic"/>
    <s v="Food &amp; Beverages"/>
    <d v="2022-10-12T00:00:00"/>
    <x v="2"/>
    <x v="2"/>
  </r>
  <r>
    <x v="127"/>
    <n v="880.53000000000009"/>
    <n v="5.99"/>
    <s v="Domestic"/>
    <s v="Electronics"/>
    <d v="2022-10-13T00:00:00"/>
    <x v="2"/>
    <x v="2"/>
  </r>
  <r>
    <x v="34"/>
    <n v="6500"/>
    <n v="44.217687074829932"/>
    <s v="Domestic"/>
    <s v="Date Night"/>
    <d v="2022-10-19T00:00:00"/>
    <x v="2"/>
    <x v="2"/>
  </r>
  <r>
    <x v="88"/>
    <n v="3000"/>
    <n v="20.408163265306122"/>
    <s v="Domestic"/>
    <s v="Transportation"/>
    <d v="2022-10-20T00:00:00"/>
    <x v="2"/>
    <x v="2"/>
  </r>
  <r>
    <x v="135"/>
    <n v="31990"/>
    <n v="217.61904761904762"/>
    <s v="Heathcare"/>
    <s v="Health"/>
    <d v="2022-10-26T00:00:00"/>
    <x v="2"/>
    <x v="2"/>
  </r>
  <r>
    <x v="136"/>
    <n v="800"/>
    <n v="5.4421768707482991"/>
    <s v="Domestic"/>
    <s v="Food &amp; Beverages"/>
    <d v="2022-10-26T00:00:00"/>
    <x v="2"/>
    <x v="2"/>
  </r>
  <r>
    <x v="34"/>
    <n v="1020"/>
    <n v="6.9387755102040813"/>
    <s v="Domestic"/>
    <s v="Date Night"/>
    <d v="2022-10-26T00:00:00"/>
    <x v="2"/>
    <x v="2"/>
  </r>
  <r>
    <x v="72"/>
    <n v="700"/>
    <n v="4.7619047619047619"/>
    <s v="Domestic"/>
    <s v="Food &amp; Beverages"/>
    <d v="2022-10-27T00:00:00"/>
    <x v="2"/>
    <x v="2"/>
  </r>
  <r>
    <x v="88"/>
    <n v="2000"/>
    <n v="13.605442176870747"/>
    <s v="Domestic"/>
    <s v="Transportation"/>
    <d v="2022-10-27T00:00:00"/>
    <x v="2"/>
    <x v="2"/>
  </r>
  <r>
    <x v="34"/>
    <n v="2700"/>
    <n v="18.367346938775512"/>
    <s v="Domestic"/>
    <s v="Date Night"/>
    <d v="2022-10-28T00:00:00"/>
    <x v="2"/>
    <x v="2"/>
  </r>
  <r>
    <x v="137"/>
    <n v="41784"/>
    <n v="284.24489795918367"/>
    <s v="Government"/>
    <s v="Finance &amp; Economy"/>
    <d v="2022-10-29T00:00:00"/>
    <x v="2"/>
    <x v="2"/>
  </r>
  <r>
    <x v="138"/>
    <n v="2148"/>
    <n v="14.612244897959183"/>
    <s v="Domestic"/>
    <s v="Electronics"/>
    <d v="2022-10-30T00:00:00"/>
    <x v="2"/>
    <x v="2"/>
  </r>
  <r>
    <x v="139"/>
    <n v="3202.5"/>
    <n v="21.785714285714285"/>
    <s v="Heathcare"/>
    <s v="Health"/>
    <d v="2022-10-30T00:00:00"/>
    <x v="2"/>
    <x v="2"/>
  </r>
  <r>
    <x v="22"/>
    <n v="7884"/>
    <n v="53.632653061224488"/>
    <s v="Insurance"/>
    <s v="Life Insurance"/>
    <d v="2022-10-30T00:00:00"/>
    <x v="2"/>
    <x v="2"/>
  </r>
  <r>
    <x v="28"/>
    <n v="15000"/>
    <n v="102.04081632653062"/>
    <s v="Government"/>
    <s v="Finance &amp; Economy"/>
    <d v="2022-10-30T00:00:00"/>
    <x v="2"/>
    <x v="2"/>
  </r>
  <r>
    <x v="61"/>
    <n v="10000"/>
    <n v="68.027210884353735"/>
    <s v="Domestic"/>
    <s v="Food &amp; Beverages"/>
    <d v="2022-10-30T00:00:00"/>
    <x v="2"/>
    <x v="2"/>
  </r>
  <r>
    <x v="8"/>
    <n v="1222.5"/>
    <n v="8.316326530612244"/>
    <s v="Domestic"/>
    <s v="Electronics"/>
    <d v="2022-10-31T00:00:00"/>
    <x v="2"/>
    <x v="2"/>
  </r>
  <r>
    <x v="140"/>
    <n v="75500"/>
    <n v="513.60544217687072"/>
    <s v="Government"/>
    <s v="Finance &amp; Economy"/>
    <d v="2022-10-31T00:00:00"/>
    <x v="2"/>
    <x v="2"/>
  </r>
  <r>
    <x v="34"/>
    <n v="1965"/>
    <n v="13.36734693877551"/>
    <s v="Domestic"/>
    <s v="Date Night"/>
    <d v="2022-10-31T00:00:00"/>
    <x v="2"/>
    <x v="2"/>
  </r>
  <r>
    <x v="136"/>
    <n v="640"/>
    <n v="4.3537414965986398"/>
    <s v="Domestic"/>
    <s v="Food &amp; Beverages"/>
    <d v="2022-11-01T00:00:00"/>
    <x v="3"/>
    <x v="2"/>
  </r>
  <r>
    <x v="72"/>
    <n v="1405"/>
    <n v="9.5578231292517"/>
    <s v="Domestic"/>
    <s v="Food &amp; Beverages"/>
    <d v="2022-11-01T00:00:00"/>
    <x v="3"/>
    <x v="2"/>
  </r>
  <r>
    <x v="102"/>
    <n v="500"/>
    <n v="3.4013605442176869"/>
    <s v="Domestic"/>
    <s v="Food &amp; Beverages"/>
    <d v="2022-11-02T00:00:00"/>
    <x v="3"/>
    <x v="2"/>
  </r>
  <r>
    <x v="111"/>
    <n v="10460"/>
    <n v="71.156462585034021"/>
    <s v="Domestic"/>
    <s v="Food &amp; Beverages"/>
    <d v="2022-11-02T00:00:00"/>
    <x v="3"/>
    <x v="2"/>
  </r>
  <r>
    <x v="88"/>
    <n v="6636"/>
    <n v="45.142857142857146"/>
    <s v="Domestic"/>
    <s v="Transportation"/>
    <d v="2022-11-03T00:00:00"/>
    <x v="3"/>
    <x v="2"/>
  </r>
  <r>
    <x v="102"/>
    <n v="500"/>
    <n v="3.4013605442176869"/>
    <s v="Domestic"/>
    <s v="Food &amp; Beverages"/>
    <d v="2022-11-03T00:00:00"/>
    <x v="3"/>
    <x v="2"/>
  </r>
  <r>
    <x v="71"/>
    <n v="1500"/>
    <n v="10.204081632653061"/>
    <s v="Domestic"/>
    <s v="Food &amp; Beverages"/>
    <d v="2022-11-03T00:00:00"/>
    <x v="3"/>
    <x v="2"/>
  </r>
  <r>
    <x v="116"/>
    <n v="7410"/>
    <n v="50.408163265306122"/>
    <s v="Domestic"/>
    <s v="Transportation"/>
    <d v="2022-11-10T00:00:00"/>
    <x v="3"/>
    <x v="2"/>
  </r>
  <r>
    <x v="136"/>
    <n v="1490"/>
    <n v="10.136054421768707"/>
    <s v="Domestic"/>
    <s v="Food &amp; Beverages"/>
    <d v="2022-11-10T00:00:00"/>
    <x v="3"/>
    <x v="2"/>
  </r>
  <r>
    <x v="141"/>
    <n v="700"/>
    <n v="4.7619047619047619"/>
    <s v="Domestic"/>
    <s v="Food &amp; Beverages"/>
    <d v="2022-11-09T00:00:00"/>
    <x v="3"/>
    <x v="2"/>
  </r>
  <r>
    <x v="6"/>
    <n v="10000"/>
    <n v="68.027210884353735"/>
    <s v="Domestic"/>
    <s v="Food &amp; Beverages"/>
    <d v="2022-11-10T00:00:00"/>
    <x v="3"/>
    <x v="2"/>
  </r>
  <r>
    <x v="88"/>
    <n v="5500"/>
    <n v="37.414965986394556"/>
    <s v="Domestic"/>
    <s v="Transportation"/>
    <d v="2022-11-12T00:00:00"/>
    <x v="3"/>
    <x v="2"/>
  </r>
  <r>
    <x v="34"/>
    <n v="9500"/>
    <n v="64.625850340136054"/>
    <s v="Domestic"/>
    <s v="Date Night"/>
    <d v="2022-11-12T00:00:00"/>
    <x v="3"/>
    <x v="2"/>
  </r>
  <r>
    <x v="102"/>
    <n v="520"/>
    <n v="3.5374149659863945"/>
    <s v="Domestic"/>
    <s v="Food &amp; Beverages"/>
    <d v="2022-11-13T00:00:00"/>
    <x v="3"/>
    <x v="2"/>
  </r>
  <r>
    <x v="127"/>
    <n v="880.53000000000009"/>
    <n v="5.99"/>
    <s v="Domestic"/>
    <s v="Electronics"/>
    <d v="2022-11-14T00:00:00"/>
    <x v="3"/>
    <x v="2"/>
  </r>
  <r>
    <x v="34"/>
    <n v="2000"/>
    <n v="13.605442176870747"/>
    <s v="Domestic"/>
    <s v="Date Night"/>
    <d v="2022-11-18T00:00:00"/>
    <x v="3"/>
    <x v="2"/>
  </r>
  <r>
    <x v="88"/>
    <n v="1000"/>
    <n v="6.8027210884353737"/>
    <s v="Domestic"/>
    <s v="Transportation"/>
    <d v="2022-11-19T00:00:00"/>
    <x v="3"/>
    <x v="2"/>
  </r>
  <r>
    <x v="20"/>
    <n v="3200"/>
    <n v="21.768707482993197"/>
    <s v="Heathcare"/>
    <s v="Health"/>
    <d v="2022-11-20T00:00:00"/>
    <x v="3"/>
    <x v="2"/>
  </r>
  <r>
    <x v="102"/>
    <n v="540"/>
    <n v="3.6734693877551021"/>
    <s v="Domestic"/>
    <s v="Food &amp; Beverages"/>
    <d v="2022-11-21T00:00:00"/>
    <x v="3"/>
    <x v="2"/>
  </r>
  <r>
    <x v="142"/>
    <n v="1287"/>
    <n v="8.7551020408163271"/>
    <s v="Domestic"/>
    <s v="Home"/>
    <d v="2022-11-22T00:00:00"/>
    <x v="3"/>
    <x v="2"/>
  </r>
  <r>
    <x v="90"/>
    <n v="250"/>
    <n v="1.7006802721088434"/>
    <s v="Domestic"/>
    <s v="Electronics"/>
    <d v="2022-11-23T00:00:00"/>
    <x v="3"/>
    <x v="2"/>
  </r>
  <r>
    <x v="143"/>
    <n v="8820"/>
    <n v="60"/>
    <s v="Gaming"/>
    <s v="Entertainment"/>
    <d v="2022-11-24T00:00:00"/>
    <x v="3"/>
    <x v="2"/>
  </r>
  <r>
    <x v="144"/>
    <n v="3969"/>
    <n v="27"/>
    <s v="Gaming"/>
    <s v="Entertainment"/>
    <d v="2022-11-24T00:00:00"/>
    <x v="3"/>
    <x v="2"/>
  </r>
  <r>
    <x v="96"/>
    <n v="1000"/>
    <n v="6.8027210884353737"/>
    <s v="Domestic"/>
    <s v="Home"/>
    <d v="2022-11-24T00:00:00"/>
    <x v="3"/>
    <x v="2"/>
  </r>
  <r>
    <x v="111"/>
    <n v="800"/>
    <n v="5.4421768707482991"/>
    <s v="Domestic"/>
    <s v="Food &amp; Beverages"/>
    <d v="2022-11-25T00:00:00"/>
    <x v="3"/>
    <x v="2"/>
  </r>
  <r>
    <x v="88"/>
    <n v="6000"/>
    <n v="40.816326530612244"/>
    <s v="Domestic"/>
    <s v="Transportation"/>
    <d v="2022-11-25T00:00:00"/>
    <x v="3"/>
    <x v="2"/>
  </r>
  <r>
    <x v="140"/>
    <n v="162000"/>
    <n v="1102.0408163265306"/>
    <s v="Government"/>
    <s v="Finance &amp; Economy"/>
    <d v="2022-11-28T00:00:00"/>
    <x v="3"/>
    <x v="2"/>
  </r>
  <r>
    <x v="145"/>
    <n v="5400"/>
    <n v="36.734693877551024"/>
    <s v="Domestic"/>
    <s v="Food &amp; Beverages"/>
    <d v="2022-11-28T00:00:00"/>
    <x v="3"/>
    <x v="2"/>
  </r>
  <r>
    <x v="142"/>
    <n v="2650"/>
    <n v="18.027210884353742"/>
    <s v="Domestic"/>
    <s v="Home"/>
    <d v="2022-11-28T00:00:00"/>
    <x v="3"/>
    <x v="2"/>
  </r>
  <r>
    <x v="61"/>
    <n v="10000"/>
    <n v="68.027210884353735"/>
    <s v="Domestic"/>
    <s v="Food &amp; Beverages"/>
    <d v="2022-11-28T00:00:00"/>
    <x v="3"/>
    <x v="2"/>
  </r>
  <r>
    <x v="28"/>
    <n v="15000"/>
    <n v="102.04081632653062"/>
    <s v="Government"/>
    <s v="Finance &amp; Economy"/>
    <d v="2022-11-28T00:00:00"/>
    <x v="3"/>
    <x v="2"/>
  </r>
  <r>
    <x v="102"/>
    <n v="600"/>
    <n v="4.0816326530612246"/>
    <s v="Domestic"/>
    <s v="Food &amp; Beverages"/>
    <d v="2022-11-28T00:00:00"/>
    <x v="3"/>
    <x v="2"/>
  </r>
  <r>
    <x v="111"/>
    <n v="7000"/>
    <n v="47.61904761904762"/>
    <s v="Domestic"/>
    <s v="Food &amp; Beverages"/>
    <d v="2022-11-28T00:00:00"/>
    <x v="3"/>
    <x v="2"/>
  </r>
  <r>
    <x v="111"/>
    <n v="3000"/>
    <n v="20.408163265306122"/>
    <s v="Domestic"/>
    <s v="Food &amp; Beverages"/>
    <d v="2022-11-28T00:00:00"/>
    <x v="3"/>
    <x v="2"/>
  </r>
  <r>
    <x v="146"/>
    <n v="15000"/>
    <n v="102.04081632653062"/>
    <s v="Government"/>
    <s v="Finance &amp; Economy"/>
    <d v="2022-11-28T00:00:00"/>
    <x v="3"/>
    <x v="2"/>
  </r>
  <r>
    <x v="147"/>
    <n v="3000"/>
    <n v="20.408163265306122"/>
    <s v="Heathcare"/>
    <s v="Health"/>
    <d v="2022-11-30T00:00:00"/>
    <x v="3"/>
    <x v="2"/>
  </r>
  <r>
    <x v="148"/>
    <n v="29106"/>
    <n v="198"/>
    <s v="Government"/>
    <s v="Finance &amp; Economy"/>
    <d v="2022-11-30T00:00:00"/>
    <x v="3"/>
    <x v="2"/>
  </r>
  <r>
    <x v="136"/>
    <n v="640"/>
    <n v="4.3537414965986398"/>
    <s v="Domestic"/>
    <s v="Food &amp; Beverages"/>
    <d v="2022-12-01T00:00:00"/>
    <x v="4"/>
    <x v="2"/>
  </r>
  <r>
    <x v="62"/>
    <n v="1840"/>
    <n v="12.517006802721088"/>
    <s v="Domestic"/>
    <s v="Food &amp; Beverages"/>
    <d v="2022-12-05T00:00:00"/>
    <x v="4"/>
    <x v="2"/>
  </r>
  <r>
    <x v="88"/>
    <n v="6000"/>
    <n v="40.816326530612244"/>
    <s v="Domestic"/>
    <s v="Transportation"/>
    <d v="2022-12-02T00:00:00"/>
    <x v="4"/>
    <x v="2"/>
  </r>
  <r>
    <x v="90"/>
    <n v="1000"/>
    <n v="6.8027210884353737"/>
    <s v="Domestic"/>
    <s v="Electronics"/>
    <d v="2022-12-09T00:00:00"/>
    <x v="4"/>
    <x v="2"/>
  </r>
  <r>
    <x v="95"/>
    <n v="1500"/>
    <n v="10.204081632653061"/>
    <s v="Domestic"/>
    <s v="Food &amp; Beverages"/>
    <d v="2022-12-10T00:00:00"/>
    <x v="4"/>
    <x v="2"/>
  </r>
  <r>
    <x v="111"/>
    <n v="2300"/>
    <n v="15.646258503401361"/>
    <s v="Domestic"/>
    <s v="Food &amp; Beverages"/>
    <d v="2022-12-13T00:00:00"/>
    <x v="4"/>
    <x v="2"/>
  </r>
  <r>
    <x v="34"/>
    <n v="7800"/>
    <n v="53.061224489795919"/>
    <s v="Domestic"/>
    <s v="Date Night"/>
    <d v="2022-12-14T00:00:00"/>
    <x v="4"/>
    <x v="2"/>
  </r>
  <r>
    <x v="127"/>
    <n v="880.53000000000009"/>
    <n v="5.99"/>
    <s v="Domestic"/>
    <s v="Electronics"/>
    <d v="2022-12-14T00:00:00"/>
    <x v="4"/>
    <x v="2"/>
  </r>
  <r>
    <x v="149"/>
    <n v="10000"/>
    <n v="68.027210884353735"/>
    <s v="Domestic"/>
    <s v="Home"/>
    <d v="2022-12-15T00:00:00"/>
    <x v="4"/>
    <x v="2"/>
  </r>
  <r>
    <x v="150"/>
    <n v="5500"/>
    <n v="37.414965986394556"/>
    <s v="Domestic"/>
    <s v="Home"/>
    <d v="2022-12-16T00:00:00"/>
    <x v="4"/>
    <x v="2"/>
  </r>
  <r>
    <x v="151"/>
    <n v="8340.15"/>
    <n v="56.73571428571428"/>
    <s v="Domestic"/>
    <s v="Home"/>
    <d v="2022-12-17T00:00:00"/>
    <x v="4"/>
    <x v="2"/>
  </r>
  <r>
    <x v="136"/>
    <n v="1235"/>
    <n v="8.4013605442176864"/>
    <s v="Domestic"/>
    <s v="Food &amp; Beverages"/>
    <d v="2022-12-18T00:00:00"/>
    <x v="4"/>
    <x v="2"/>
  </r>
  <r>
    <x v="72"/>
    <n v="850"/>
    <n v="5.7823129251700678"/>
    <s v="Domestic"/>
    <s v="Food &amp; Beverages"/>
    <d v="2022-12-19T00:00:00"/>
    <x v="4"/>
    <x v="2"/>
  </r>
  <r>
    <x v="63"/>
    <n v="880"/>
    <n v="5.9863945578231297"/>
    <s v="Domestic"/>
    <s v="Food &amp; Beverages"/>
    <d v="2022-12-20T00:00:00"/>
    <x v="4"/>
    <x v="2"/>
  </r>
  <r>
    <x v="152"/>
    <n v="55040"/>
    <n v="374.42176870748301"/>
    <s v="Bank"/>
    <s v="Banking"/>
    <d v="2022-06-10T00:00:00"/>
    <x v="9"/>
    <x v="2"/>
  </r>
  <r>
    <x v="152"/>
    <n v="55040"/>
    <n v="374.42176870748301"/>
    <s v="Bank"/>
    <s v="Banking"/>
    <d v="2022-07-10T00:00:00"/>
    <x v="10"/>
    <x v="2"/>
  </r>
  <r>
    <x v="152"/>
    <n v="55040"/>
    <n v="374.42176870748301"/>
    <s v="Bank"/>
    <s v="Banking"/>
    <d v="2022-08-10T00:00:00"/>
    <x v="11"/>
    <x v="2"/>
  </r>
  <r>
    <x v="152"/>
    <n v="55040"/>
    <n v="374.42176870748301"/>
    <s v="Bank"/>
    <s v="Banking"/>
    <d v="2022-09-10T00:00:00"/>
    <x v="1"/>
    <x v="2"/>
  </r>
  <r>
    <x v="152"/>
    <n v="55040"/>
    <n v="374.42176870748301"/>
    <s v="Bank"/>
    <s v="Banking"/>
    <d v="2022-10-10T00:00:00"/>
    <x v="2"/>
    <x v="2"/>
  </r>
  <r>
    <x v="152"/>
    <n v="55040"/>
    <n v="374.42176870748301"/>
    <s v="Bank"/>
    <s v="Banking"/>
    <d v="2022-11-10T00:00:00"/>
    <x v="3"/>
    <x v="2"/>
  </r>
  <r>
    <x v="152"/>
    <n v="55040"/>
    <n v="374.42176870748301"/>
    <s v="Bank"/>
    <s v="Banking"/>
    <d v="2022-12-10T00:00:00"/>
    <x v="4"/>
    <x v="2"/>
  </r>
  <r>
    <x v="88"/>
    <n v="4000"/>
    <n v="27.210884353741495"/>
    <s v="Domestic"/>
    <s v="Transportation"/>
    <d v="2022-12-20T00:00:00"/>
    <x v="4"/>
    <x v="2"/>
  </r>
  <r>
    <x v="153"/>
    <n v="1400"/>
    <n v="9.5238095238095237"/>
    <s v="Domestic"/>
    <s v="Food &amp; Beverages"/>
    <d v="2022-12-21T00:00:00"/>
    <x v="4"/>
    <x v="2"/>
  </r>
  <r>
    <x v="154"/>
    <n v="2000"/>
    <n v="13.605442176870747"/>
    <s v="Domestic"/>
    <s v="Food &amp; Beverages"/>
    <d v="2022-12-22T00:00:00"/>
    <x v="4"/>
    <x v="2"/>
  </r>
  <r>
    <x v="155"/>
    <n v="1000"/>
    <n v="6.8027210884353737"/>
    <s v="Domestic"/>
    <s v="Food &amp; Beverages"/>
    <d v="2022-12-23T00:00:00"/>
    <x v="4"/>
    <x v="2"/>
  </r>
  <r>
    <x v="156"/>
    <n v="3000"/>
    <n v="20.408163265306122"/>
    <s v="Domestic"/>
    <s v="Food &amp; Beverages"/>
    <d v="2022-12-24T00:00:00"/>
    <x v="4"/>
    <x v="2"/>
  </r>
  <r>
    <x v="45"/>
    <n v="1000"/>
    <n v="6.8027210884353737"/>
    <s v="Domestic"/>
    <s v="Transportation"/>
    <d v="2022-12-25T00:00:00"/>
    <x v="4"/>
    <x v="2"/>
  </r>
  <r>
    <x v="28"/>
    <n v="15000"/>
    <n v="102.04081632653062"/>
    <s v="Government"/>
    <s v="Finance &amp; Economy"/>
    <d v="2022-12-26T00:00:00"/>
    <x v="4"/>
    <x v="2"/>
  </r>
  <r>
    <x v="61"/>
    <n v="10000"/>
    <n v="68.027210884353735"/>
    <s v="Domestic"/>
    <s v="Food &amp; Beverages"/>
    <d v="2022-12-27T00:00:00"/>
    <x v="4"/>
    <x v="2"/>
  </r>
  <r>
    <x v="22"/>
    <n v="7884"/>
    <n v="53.632653061224488"/>
    <s v="Insurance"/>
    <s v="Life Insurance"/>
    <d v="2022-12-28T00:00:00"/>
    <x v="4"/>
    <x v="2"/>
  </r>
  <r>
    <x v="111"/>
    <n v="4300"/>
    <n v="29.251700680272108"/>
    <s v="Domestic"/>
    <s v="Food &amp; Beverages"/>
    <d v="2022-12-29T00:00:00"/>
    <x v="4"/>
    <x v="2"/>
  </r>
  <r>
    <x v="62"/>
    <n v="1200"/>
    <n v="8.1632653061224492"/>
    <s v="Domestic"/>
    <s v="Food &amp; Beverages"/>
    <d v="2022-12-29T00:00:00"/>
    <x v="4"/>
    <x v="2"/>
  </r>
  <r>
    <x v="4"/>
    <n v="300"/>
    <n v="2.0408163265306123"/>
    <s v="Domestic"/>
    <s v="Food &amp; Beverages"/>
    <d v="2022-12-29T00:00:00"/>
    <x v="4"/>
    <x v="2"/>
  </r>
  <r>
    <x v="42"/>
    <n v="4400"/>
    <n v="29.931972789115648"/>
    <s v="Domestic"/>
    <s v="Electronics"/>
    <d v="2022-12-30T00:00:00"/>
    <x v="4"/>
    <x v="2"/>
  </r>
  <r>
    <x v="157"/>
    <n v="5600"/>
    <n v="38.095238095238095"/>
    <s v="Domestic"/>
    <s v="Electronics"/>
    <d v="2022-12-30T00:00:00"/>
    <x v="4"/>
    <x v="2"/>
  </r>
  <r>
    <x v="27"/>
    <n v="12000"/>
    <n v="81.632653061224488"/>
    <s v="Religion"/>
    <s v="Church"/>
    <d v="2021-09-01T00:00:00"/>
    <x v="1"/>
    <x v="1"/>
  </r>
  <r>
    <x v="27"/>
    <n v="12000"/>
    <n v="81.632653061224488"/>
    <s v="Religion"/>
    <s v="Church"/>
    <d v="2021-10-01T00:00:00"/>
    <x v="2"/>
    <x v="1"/>
  </r>
  <r>
    <x v="27"/>
    <n v="12000"/>
    <n v="81.632653061224488"/>
    <s v="Religion"/>
    <s v="Church"/>
    <d v="2021-11-01T00:00:00"/>
    <x v="3"/>
    <x v="1"/>
  </r>
  <r>
    <x v="27"/>
    <n v="12000"/>
    <n v="81.632653061224488"/>
    <s v="Religion"/>
    <s v="Church"/>
    <d v="2021-12-01T00:00:00"/>
    <x v="4"/>
    <x v="1"/>
  </r>
  <r>
    <x v="27"/>
    <n v="12000"/>
    <n v="81.632653061224488"/>
    <s v="Religion"/>
    <s v="Church"/>
    <d v="2022-01-01T00:00:00"/>
    <x v="5"/>
    <x v="2"/>
  </r>
  <r>
    <x v="27"/>
    <n v="12000"/>
    <n v="81.632653061224488"/>
    <s v="Religion"/>
    <s v="Church"/>
    <d v="2022-02-01T00:00:00"/>
    <x v="6"/>
    <x v="2"/>
  </r>
  <r>
    <x v="27"/>
    <n v="12000"/>
    <n v="81.632653061224488"/>
    <s v="Religion"/>
    <s v="Church"/>
    <d v="2022-03-01T00:00:00"/>
    <x v="7"/>
    <x v="2"/>
  </r>
  <r>
    <x v="27"/>
    <n v="12000"/>
    <n v="81.632653061224488"/>
    <s v="Religion"/>
    <s v="Church"/>
    <d v="2022-04-01T00:00:00"/>
    <x v="8"/>
    <x v="2"/>
  </r>
  <r>
    <x v="27"/>
    <n v="12000"/>
    <n v="81.632653061224488"/>
    <s v="Religion"/>
    <s v="Church"/>
    <d v="2022-05-01T00:00:00"/>
    <x v="0"/>
    <x v="2"/>
  </r>
  <r>
    <x v="27"/>
    <n v="12000"/>
    <n v="81.632653061224488"/>
    <s v="Religion"/>
    <s v="Church"/>
    <d v="2022-06-01T00:00:00"/>
    <x v="9"/>
    <x v="2"/>
  </r>
  <r>
    <x v="27"/>
    <n v="12000"/>
    <n v="81.632653061224488"/>
    <s v="Religion"/>
    <s v="Church"/>
    <d v="2022-07-01T00:00:00"/>
    <x v="10"/>
    <x v="2"/>
  </r>
  <r>
    <x v="27"/>
    <n v="12000"/>
    <n v="81.632653061224488"/>
    <s v="Religion"/>
    <s v="Church"/>
    <d v="2022-08-01T00:00:00"/>
    <x v="11"/>
    <x v="2"/>
  </r>
  <r>
    <x v="27"/>
    <n v="12000"/>
    <n v="81.632653061224488"/>
    <s v="Religion"/>
    <s v="Church"/>
    <d v="2022-09-01T00:00:00"/>
    <x v="1"/>
    <x v="2"/>
  </r>
  <r>
    <x v="88"/>
    <n v="5473"/>
    <n v="37.2312925170068"/>
    <s v="Domestic"/>
    <s v="Transportation"/>
    <d v="2023-01-02T00:00:00"/>
    <x v="5"/>
    <x v="3"/>
  </r>
  <r>
    <x v="34"/>
    <n v="3000"/>
    <n v="20.408163265306122"/>
    <s v="Domestic"/>
    <s v="Date Night"/>
    <d v="2023-01-02T00:00:00"/>
    <x v="5"/>
    <x v="3"/>
  </r>
  <r>
    <x v="62"/>
    <n v="1380"/>
    <n v="9.387755102040817"/>
    <s v="Domestic"/>
    <s v="Food &amp; Beverages"/>
    <d v="2023-01-02T00:00:00"/>
    <x v="5"/>
    <x v="3"/>
  </r>
  <r>
    <x v="158"/>
    <n v="6000"/>
    <n v="40.816326530612244"/>
    <s v="Domestic"/>
    <s v="Electronics"/>
    <d v="2023-01-02T00:00:00"/>
    <x v="5"/>
    <x v="3"/>
  </r>
  <r>
    <x v="159"/>
    <n v="16200"/>
    <n v="110.20408163265306"/>
    <s v="Domestic"/>
    <s v=" Car Maintenance"/>
    <d v="2023-01-04T00:00:00"/>
    <x v="5"/>
    <x v="3"/>
  </r>
  <r>
    <x v="160"/>
    <n v="2400"/>
    <n v="16.326530612244898"/>
    <s v="Domestic"/>
    <s v="Food &amp; Beverages"/>
    <d v="2023-01-04T00:00:00"/>
    <x v="5"/>
    <x v="3"/>
  </r>
  <r>
    <x v="161"/>
    <n v="150"/>
    <n v="1.0204081632653061"/>
    <s v="Domestic"/>
    <s v="Food &amp; Beverages"/>
    <d v="2023-01-04T00:00:00"/>
    <x v="5"/>
    <x v="3"/>
  </r>
  <r>
    <x v="0"/>
    <n v="1000"/>
    <n v="6.8027210884353737"/>
    <s v="Domestic"/>
    <s v="Home"/>
    <d v="2023-01-06T00:00:00"/>
    <x v="5"/>
    <x v="3"/>
  </r>
  <r>
    <x v="35"/>
    <n v="1000"/>
    <n v="6.8027210884353737"/>
    <s v="Domestic"/>
    <s v="Home"/>
    <d v="2023-01-06T00:00:00"/>
    <x v="5"/>
    <x v="3"/>
  </r>
  <r>
    <x v="34"/>
    <n v="2300"/>
    <n v="15.646258503401361"/>
    <s v="Domestic"/>
    <s v="Date Night"/>
    <d v="2023-01-07T00:00:00"/>
    <x v="5"/>
    <x v="3"/>
  </r>
  <r>
    <x v="111"/>
    <n v="12000"/>
    <n v="81.632653061224488"/>
    <s v="Domestic"/>
    <s v="Food &amp; Beverages"/>
    <d v="2023-01-07T00:00:00"/>
    <x v="5"/>
    <x v="3"/>
  </r>
  <r>
    <x v="111"/>
    <n v="3000"/>
    <n v="20.408163265306122"/>
    <s v="Domestic"/>
    <s v="Food &amp; Beverages"/>
    <d v="2023-01-10T00:00:00"/>
    <x v="5"/>
    <x v="3"/>
  </r>
  <r>
    <x v="63"/>
    <n v="520"/>
    <n v="3.5374149659863945"/>
    <s v="Domestic"/>
    <s v="Food &amp; Beverages"/>
    <d v="2023-01-11T00:00:00"/>
    <x v="5"/>
    <x v="3"/>
  </r>
  <r>
    <x v="63"/>
    <n v="520"/>
    <n v="3.5374149659863945"/>
    <s v="Domestic"/>
    <s v="Food &amp; Beverages"/>
    <d v="2023-01-13T00:00:00"/>
    <x v="5"/>
    <x v="3"/>
  </r>
  <r>
    <x v="96"/>
    <n v="1000"/>
    <n v="6.8027210884353737"/>
    <s v="Domestic"/>
    <s v="Home"/>
    <d v="2023-01-13T00:00:00"/>
    <x v="5"/>
    <x v="3"/>
  </r>
  <r>
    <x v="162"/>
    <n v="1000"/>
    <n v="6.8027210884353737"/>
    <s v="Domestic"/>
    <s v="Food &amp; Beverages"/>
    <d v="2023-01-13T00:00:00"/>
    <x v="5"/>
    <x v="3"/>
  </r>
  <r>
    <x v="163"/>
    <n v="700"/>
    <n v="4.7619047619047619"/>
    <s v="Domestic"/>
    <s v="Food &amp; Beverages"/>
    <d v="2023-01-13T00:00:00"/>
    <x v="5"/>
    <x v="3"/>
  </r>
  <r>
    <x v="164"/>
    <n v="500"/>
    <n v="3.4013605442176869"/>
    <s v="Domestic"/>
    <s v="Food &amp; Beverages"/>
    <d v="2023-01-13T00:00:00"/>
    <x v="5"/>
    <x v="3"/>
  </r>
  <r>
    <x v="88"/>
    <n v="5500"/>
    <n v="37.414965986394556"/>
    <s v="Domestic"/>
    <s v="Transportation"/>
    <d v="2023-01-13T00:00:00"/>
    <x v="5"/>
    <x v="3"/>
  </r>
  <r>
    <x v="127"/>
    <n v="880.53000000000009"/>
    <n v="5.99"/>
    <s v="Domestic"/>
    <s v="Electronics"/>
    <d v="2023-01-15T00:00:00"/>
    <x v="5"/>
    <x v="3"/>
  </r>
  <r>
    <x v="91"/>
    <n v="1000"/>
    <n v="6.8027210884353737"/>
    <s v="Domestic"/>
    <s v="Banking"/>
    <d v="2023-01-20T00:00:00"/>
    <x v="5"/>
    <x v="3"/>
  </r>
  <r>
    <x v="62"/>
    <n v="430"/>
    <n v="2.925170068027211"/>
    <s v="Domestic"/>
    <s v="Food &amp; Beverages"/>
    <d v="2023-01-23T00:00:00"/>
    <x v="5"/>
    <x v="3"/>
  </r>
  <r>
    <x v="61"/>
    <n v="10000"/>
    <n v="68.027210884353735"/>
    <s v="Domestic"/>
    <s v="Food &amp; Beverages"/>
    <d v="2023-01-25T00:00:00"/>
    <x v="5"/>
    <x v="3"/>
  </r>
  <r>
    <x v="111"/>
    <n v="10000"/>
    <n v="68.027210884353735"/>
    <s v="Domestic"/>
    <s v="Food &amp; Beverages"/>
    <d v="2023-01-25T00:00:00"/>
    <x v="5"/>
    <x v="3"/>
  </r>
  <r>
    <x v="28"/>
    <n v="15000"/>
    <n v="102.04081632653062"/>
    <s v="Government"/>
    <s v="Finance &amp; Economy"/>
    <d v="2023-01-25T00:00:00"/>
    <x v="5"/>
    <x v="3"/>
  </r>
  <r>
    <x v="152"/>
    <n v="55040"/>
    <n v="374.42176870748301"/>
    <s v="Bank"/>
    <s v="Banking"/>
    <d v="2023-01-25T00:00:00"/>
    <x v="5"/>
    <x v="3"/>
  </r>
  <r>
    <x v="165"/>
    <n v="500"/>
    <n v="3.4013605442176869"/>
    <s v="Domestic"/>
    <s v="Food &amp; Beverages"/>
    <d v="2023-01-25T00:00:00"/>
    <x v="5"/>
    <x v="3"/>
  </r>
  <r>
    <x v="165"/>
    <n v="710"/>
    <n v="4.8299319727891152"/>
    <s v="Domestic"/>
    <s v="Food &amp; Beverages"/>
    <d v="2023-01-26T00:00:00"/>
    <x v="5"/>
    <x v="3"/>
  </r>
  <r>
    <x v="62"/>
    <n v="1500"/>
    <n v="10.204081632653061"/>
    <s v="Domestic"/>
    <s v="Food &amp; Beverages"/>
    <d v="2023-01-27T00:00:00"/>
    <x v="5"/>
    <x v="3"/>
  </r>
  <r>
    <x v="166"/>
    <n v="500"/>
    <n v="3.4013605442176869"/>
    <s v="Domestic"/>
    <s v="Food &amp; Beverages"/>
    <d v="2023-01-28T00:00:00"/>
    <x v="5"/>
    <x v="3"/>
  </r>
  <r>
    <x v="22"/>
    <n v="7884"/>
    <n v="53.632653061224488"/>
    <s v="Insurance"/>
    <s v="Life Insurance"/>
    <d v="2023-01-29T00:00:00"/>
    <x v="5"/>
    <x v="3"/>
  </r>
  <r>
    <x v="5"/>
    <n v="500"/>
    <n v="3.4013605442176869"/>
    <s v="Domestic"/>
    <s v="Food &amp; Beverages"/>
    <d v="2023-01-29T00:00:00"/>
    <x v="5"/>
    <x v="3"/>
  </r>
  <r>
    <x v="88"/>
    <n v="5300"/>
    <n v="36.054421768707485"/>
    <s v="Domestic"/>
    <s v="Transportation"/>
    <d v="2023-01-30T00:00:00"/>
    <x v="5"/>
    <x v="3"/>
  </r>
  <r>
    <x v="142"/>
    <n v="1500"/>
    <n v="10.204081632653061"/>
    <s v="Domestic"/>
    <s v="Home"/>
    <d v="2023-02-03T00:00:00"/>
    <x v="6"/>
    <x v="3"/>
  </r>
  <r>
    <x v="72"/>
    <n v="880"/>
    <n v="5.9863945578231297"/>
    <s v="Domestic"/>
    <s v="Food &amp; Beverages"/>
    <d v="2023-02-06T00:00:00"/>
    <x v="6"/>
    <x v="3"/>
  </r>
  <r>
    <x v="88"/>
    <n v="1500"/>
    <n v="10.204081632653061"/>
    <s v="Domestic"/>
    <s v="Transportation"/>
    <d v="2023-02-06T00:00:00"/>
    <x v="6"/>
    <x v="3"/>
  </r>
  <r>
    <x v="167"/>
    <n v="15000"/>
    <n v="102.04081632653062"/>
    <s v="Domestic"/>
    <s v="Home"/>
    <d v="2023-02-06T00:00:00"/>
    <x v="6"/>
    <x v="3"/>
  </r>
  <r>
    <x v="88"/>
    <n v="5000"/>
    <n v="34.013605442176868"/>
    <s v="Domestic"/>
    <s v="Transportation"/>
    <d v="2023-02-10T00:00:00"/>
    <x v="6"/>
    <x v="3"/>
  </r>
  <r>
    <x v="139"/>
    <n v="7203"/>
    <n v="49"/>
    <s v="Heathcare"/>
    <s v="Health"/>
    <d v="2023-02-11T00:00:00"/>
    <x v="6"/>
    <x v="3"/>
  </r>
  <r>
    <x v="62"/>
    <n v="1020"/>
    <n v="6.9387755102040813"/>
    <s v="Domestic"/>
    <s v="Food &amp; Beverages"/>
    <d v="2023-02-11T00:00:00"/>
    <x v="6"/>
    <x v="3"/>
  </r>
  <r>
    <x v="163"/>
    <n v="7000"/>
    <n v="47.61904761904762"/>
    <s v="Domestic"/>
    <s v="Food &amp; Beverages"/>
    <d v="2023-02-11T00:00:00"/>
    <x v="6"/>
    <x v="3"/>
  </r>
  <r>
    <x v="168"/>
    <n v="450"/>
    <n v="3.0612244897959182"/>
    <s v="Domestic"/>
    <s v="Food &amp; Beverages"/>
    <d v="2023-02-13T00:00:00"/>
    <x v="6"/>
    <x v="3"/>
  </r>
  <r>
    <x v="102"/>
    <n v="520"/>
    <n v="3.5374149659863945"/>
    <s v="Domestic"/>
    <s v="Food &amp; Beverages"/>
    <d v="2023-02-13T00:00:00"/>
    <x v="6"/>
    <x v="3"/>
  </r>
  <r>
    <x v="128"/>
    <n v="1300"/>
    <n v="8.8435374149659864"/>
    <s v="Domestic"/>
    <s v="Home"/>
    <d v="2023-02-10T00:00:00"/>
    <x v="6"/>
    <x v="3"/>
  </r>
  <r>
    <x v="19"/>
    <n v="3000"/>
    <n v="20.408163265306122"/>
    <s v="Heathcare"/>
    <s v="Health"/>
    <d v="2023-02-15T00:00:00"/>
    <x v="6"/>
    <x v="3"/>
  </r>
  <r>
    <x v="20"/>
    <n v="3000"/>
    <n v="20.408163265306122"/>
    <s v="Heathcare"/>
    <s v="Health"/>
    <d v="2023-02-15T00:00:00"/>
    <x v="6"/>
    <x v="3"/>
  </r>
  <r>
    <x v="169"/>
    <n v="740"/>
    <n v="5.0340136054421771"/>
    <s v="Domestic"/>
    <s v="Food &amp; Beverages"/>
    <d v="2023-02-14T00:00:00"/>
    <x v="6"/>
    <x v="3"/>
  </r>
  <r>
    <x v="170"/>
    <n v="700"/>
    <n v="4.7619047619047619"/>
    <s v="Domestic"/>
    <s v="Home"/>
    <d v="2023-02-14T00:00:00"/>
    <x v="6"/>
    <x v="3"/>
  </r>
  <r>
    <x v="161"/>
    <n v="500"/>
    <n v="3.4013605442176869"/>
    <s v="Domestic"/>
    <s v="Home"/>
    <d v="2023-02-14T00:00:00"/>
    <x v="6"/>
    <x v="3"/>
  </r>
  <r>
    <x v="169"/>
    <n v="840"/>
    <n v="5.7142857142857144"/>
    <s v="Domestic"/>
    <s v="Food &amp; Beverages"/>
    <d v="2023-02-16T00:00:00"/>
    <x v="6"/>
    <x v="3"/>
  </r>
  <r>
    <x v="169"/>
    <n v="740"/>
    <n v="5.0340136054421771"/>
    <s v="Domestic"/>
    <s v="Food &amp; Beverages"/>
    <d v="2023-02-17T00:00:00"/>
    <x v="6"/>
    <x v="3"/>
  </r>
  <r>
    <x v="163"/>
    <n v="1000"/>
    <n v="6.8027210884353737"/>
    <s v="Domestic"/>
    <s v="Food &amp; Beverages"/>
    <d v="2023-02-18T00:00:00"/>
    <x v="6"/>
    <x v="3"/>
  </r>
  <r>
    <x v="62"/>
    <n v="1000"/>
    <n v="6.8027210884353737"/>
    <s v="Domestic"/>
    <s v="Food &amp; Beverages"/>
    <d v="2023-02-20T00:00:00"/>
    <x v="6"/>
    <x v="3"/>
  </r>
  <r>
    <x v="163"/>
    <n v="800"/>
    <n v="5.4421768707482991"/>
    <s v="Domestic"/>
    <s v="Food &amp; Beverages"/>
    <d v="2023-02-20T00:00:00"/>
    <x v="6"/>
    <x v="3"/>
  </r>
  <r>
    <x v="34"/>
    <n v="1000"/>
    <n v="6.8027210884353737"/>
    <s v="Domestic"/>
    <s v="Food &amp; Beverages"/>
    <d v="2023-02-21T00:00:00"/>
    <x v="6"/>
    <x v="3"/>
  </r>
  <r>
    <x v="169"/>
    <n v="1000"/>
    <n v="6.8027210884353737"/>
    <s v="Domestic"/>
    <s v="Food &amp; Beverages"/>
    <d v="2023-02-21T00:00:00"/>
    <x v="6"/>
    <x v="3"/>
  </r>
  <r>
    <x v="171"/>
    <n v="500"/>
    <n v="3.4013605442176869"/>
    <s v="Domestic"/>
    <s v="Food &amp; Beverages"/>
    <d v="2023-02-23T00:00:00"/>
    <x v="6"/>
    <x v="3"/>
  </r>
  <r>
    <x v="88"/>
    <n v="4000"/>
    <n v="27.210884353741495"/>
    <s v="Domestic"/>
    <s v="Transportation"/>
    <d v="2023-02-24T00:00:00"/>
    <x v="6"/>
    <x v="3"/>
  </r>
  <r>
    <x v="172"/>
    <n v="900"/>
    <n v="6.1224489795918364"/>
    <s v="Domestic"/>
    <s v="Food &amp; Beverages"/>
    <d v="2023-02-24T00:00:00"/>
    <x v="6"/>
    <x v="3"/>
  </r>
  <r>
    <x v="28"/>
    <n v="15000"/>
    <n v="102.04081632653062"/>
    <s v="Government"/>
    <s v="Finance &amp; Economy"/>
    <d v="2023-02-24T00:00:00"/>
    <x v="6"/>
    <x v="3"/>
  </r>
  <r>
    <x v="152"/>
    <n v="57040"/>
    <n v="388.02721088435374"/>
    <s v="Bank"/>
    <s v="Banking"/>
    <d v="2023-02-24T00:00:00"/>
    <x v="6"/>
    <x v="3"/>
  </r>
  <r>
    <x v="111"/>
    <n v="10000"/>
    <n v="68.027210884353735"/>
    <s v="Domestic"/>
    <s v="Food &amp; Beverages"/>
    <d v="2023-02-25T00:00:00"/>
    <x v="6"/>
    <x v="3"/>
  </r>
  <r>
    <x v="34"/>
    <n v="9000"/>
    <n v="61.224489795918366"/>
    <s v="Domestic"/>
    <s v="Food &amp; Beverages"/>
    <d v="2023-02-25T00:00:00"/>
    <x v="6"/>
    <x v="3"/>
  </r>
  <r>
    <x v="47"/>
    <n v="1000"/>
    <n v="6.8027210884353737"/>
    <s v="Domestic"/>
    <s v="Food &amp; Beverages"/>
    <d v="2023-02-25T00:00:00"/>
    <x v="6"/>
    <x v="3"/>
  </r>
  <r>
    <x v="62"/>
    <n v="1000"/>
    <n v="6.8027210884353737"/>
    <s v="Domestic"/>
    <s v="Food &amp; Beverages"/>
    <d v="2023-02-26T00:00:00"/>
    <x v="6"/>
    <x v="3"/>
  </r>
  <r>
    <x v="173"/>
    <n v="4000"/>
    <n v="27.210884353741495"/>
    <s v="Domestic"/>
    <s v="Food &amp; Beverages"/>
    <d v="2023-02-27T00:00:00"/>
    <x v="6"/>
    <x v="3"/>
  </r>
  <r>
    <x v="174"/>
    <n v="1200"/>
    <n v="8.1632653061224492"/>
    <s v="Domestic"/>
    <s v="Food &amp; Beverages"/>
    <d v="2023-03-01T00:00:00"/>
    <x v="7"/>
    <x v="3"/>
  </r>
  <r>
    <x v="111"/>
    <n v="15000"/>
    <n v="102.04081632653062"/>
    <s v="Domestic"/>
    <s v="Food &amp; Beverages"/>
    <d v="2023-03-01T00:00:00"/>
    <x v="7"/>
    <x v="3"/>
  </r>
  <r>
    <x v="175"/>
    <n v="4000"/>
    <n v="27.210884353741495"/>
    <s v="Domestic"/>
    <s v="Home"/>
    <d v="2023-03-02T00:00:00"/>
    <x v="7"/>
    <x v="3"/>
  </r>
  <r>
    <x v="176"/>
    <n v="1200"/>
    <n v="8.1632653061224492"/>
    <s v="Domestic"/>
    <s v="Food &amp; Beverages"/>
    <d v="2023-03-02T00:00:00"/>
    <x v="7"/>
    <x v="3"/>
  </r>
  <r>
    <x v="177"/>
    <n v="2000"/>
    <n v="13.605442176870747"/>
    <s v="Domestic"/>
    <s v="Food &amp; Beverages"/>
    <d v="2023-03-02T00:00:00"/>
    <x v="7"/>
    <x v="3"/>
  </r>
  <r>
    <x v="127"/>
    <n v="880.53000000000009"/>
    <n v="5.99"/>
    <s v="Domestic"/>
    <s v="Electronics"/>
    <d v="2023-02-01T00:00:00"/>
    <x v="6"/>
    <x v="3"/>
  </r>
  <r>
    <x v="178"/>
    <n v="62310"/>
    <n v="402"/>
    <s v="Domestic"/>
    <s v="Transportation"/>
    <d v="2023-03-04T00:00:00"/>
    <x v="7"/>
    <x v="3"/>
  </r>
  <r>
    <x v="62"/>
    <n v="1000"/>
    <n v="6.8027210884353737"/>
    <s v="Domestic"/>
    <s v="Food &amp; Beverages"/>
    <d v="2023-03-06T00:00:00"/>
    <x v="7"/>
    <x v="3"/>
  </r>
  <r>
    <x v="165"/>
    <n v="520"/>
    <n v="3.5374149659863945"/>
    <s v="Domestic"/>
    <s v="Food &amp; Beverages"/>
    <d v="2023-03-06T00:00:00"/>
    <x v="7"/>
    <x v="3"/>
  </r>
  <r>
    <x v="42"/>
    <n v="8200"/>
    <n v="55.782312925170068"/>
    <s v="Education"/>
    <s v="Electronics"/>
    <d v="2023-03-06T00:00:00"/>
    <x v="7"/>
    <x v="3"/>
  </r>
  <r>
    <x v="72"/>
    <n v="4790"/>
    <n v="32.585034013605444"/>
    <s v="Domestic"/>
    <s v="Food &amp; Beverages"/>
    <d v="2023-03-05T00:00:00"/>
    <x v="7"/>
    <x v="3"/>
  </r>
  <r>
    <x v="88"/>
    <n v="3000"/>
    <n v="20.408163265306122"/>
    <s v="Domestic"/>
    <s v="Transportation"/>
    <d v="2023-03-10T00:00:00"/>
    <x v="7"/>
    <x v="3"/>
  </r>
  <r>
    <x v="169"/>
    <n v="1000"/>
    <n v="6.8027210884353737"/>
    <s v="Domestic"/>
    <s v="Food &amp; Beverages"/>
    <d v="2023-03-10T00:00:00"/>
    <x v="7"/>
    <x v="3"/>
  </r>
  <r>
    <x v="169"/>
    <n v="1000"/>
    <n v="6.8027210884353737"/>
    <s v="Domestic"/>
    <s v="Food &amp; Beverages"/>
    <d v="2023-03-11T00:00:00"/>
    <x v="7"/>
    <x v="3"/>
  </r>
  <r>
    <x v="153"/>
    <n v="700"/>
    <n v="4.7619047619047619"/>
    <s v="Domestic"/>
    <s v="Food &amp; Beverages"/>
    <d v="2023-03-10T00:00:00"/>
    <x v="7"/>
    <x v="3"/>
  </r>
  <r>
    <x v="179"/>
    <n v="4000"/>
    <n v="27.210884353741495"/>
    <s v="Domestic"/>
    <s v="Food &amp; Beverages"/>
    <d v="2023-03-10T00:00:00"/>
    <x v="7"/>
    <x v="3"/>
  </r>
  <r>
    <x v="88"/>
    <n v="3000"/>
    <n v="20.408163265306122"/>
    <s v="Domestic"/>
    <s v="Transportation"/>
    <d v="2023-03-14T00:00:00"/>
    <x v="7"/>
    <x v="3"/>
  </r>
  <r>
    <x v="63"/>
    <n v="4000"/>
    <n v="27.210884353741495"/>
    <s v="Domestic"/>
    <s v="Food &amp; Beverages"/>
    <d v="2023-03-13T00:00:00"/>
    <x v="7"/>
    <x v="3"/>
  </r>
  <r>
    <x v="136"/>
    <n v="1000"/>
    <n v="6.8027210884353737"/>
    <s v="Domestic"/>
    <s v="Food &amp; Beverages"/>
    <d v="2023-03-16T00:00:00"/>
    <x v="7"/>
    <x v="3"/>
  </r>
  <r>
    <x v="127"/>
    <n v="880.53000000000009"/>
    <n v="5.99"/>
    <s v="Domestic"/>
    <s v="Electronics"/>
    <d v="2023-03-15T00:00:00"/>
    <x v="7"/>
    <x v="3"/>
  </r>
  <r>
    <x v="180"/>
    <n v="2940"/>
    <n v="20"/>
    <s v="Education"/>
    <s v="School"/>
    <d v="2023-03-16T00:00:00"/>
    <x v="7"/>
    <x v="3"/>
  </r>
  <r>
    <x v="181"/>
    <n v="50000"/>
    <n v="340"/>
    <s v="Domestic"/>
    <s v="Home"/>
    <d v="2023-03-20T00:00:00"/>
    <x v="7"/>
    <x v="3"/>
  </r>
  <r>
    <x v="88"/>
    <n v="1500"/>
    <n v="10.204081632653061"/>
    <s v="Domestic"/>
    <s v="Transportation"/>
    <d v="2023-03-19T00:00:00"/>
    <x v="7"/>
    <x v="3"/>
  </r>
  <r>
    <x v="62"/>
    <n v="1200"/>
    <n v="8.1632653061224492"/>
    <s v="Domestic"/>
    <s v="Food &amp; Beverages"/>
    <d v="2023-03-17T00:00:00"/>
    <x v="7"/>
    <x v="3"/>
  </r>
  <r>
    <x v="39"/>
    <n v="7507"/>
    <n v="49"/>
    <s v="Education"/>
    <s v="School"/>
    <d v="2023-03-23T00:00:00"/>
    <x v="7"/>
    <x v="3"/>
  </r>
  <r>
    <x v="122"/>
    <n v="6000"/>
    <n v="40.816326530612244"/>
    <s v="Government"/>
    <s v="Finance &amp; Economy"/>
    <d v="2023-03-23T00:00:00"/>
    <x v="7"/>
    <x v="3"/>
  </r>
  <r>
    <x v="122"/>
    <n v="3000"/>
    <n v="20.408163265306122"/>
    <s v="Government"/>
    <s v="Finance &amp; Economy"/>
    <d v="2022-10-14T00:00:00"/>
    <x v="2"/>
    <x v="2"/>
  </r>
  <r>
    <x v="88"/>
    <n v="2000"/>
    <n v="13.605442176870747"/>
    <s v="Domestic"/>
    <s v="Transportation"/>
    <d v="2023-03-23T00:00:00"/>
    <x v="7"/>
    <x v="3"/>
  </r>
  <r>
    <x v="20"/>
    <n v="3500"/>
    <n v="23.80952380952381"/>
    <s v="Heathcare"/>
    <s v="Health"/>
    <d v="2023-03-25T00:00:00"/>
    <x v="7"/>
    <x v="3"/>
  </r>
  <r>
    <x v="88"/>
    <n v="3000"/>
    <n v="20.408163265306122"/>
    <s v="Domestic"/>
    <s v="Transportation"/>
    <d v="2023-03-26T00:00:00"/>
    <x v="7"/>
    <x v="3"/>
  </r>
  <r>
    <x v="19"/>
    <n v="3000"/>
    <n v="20.408163265306122"/>
    <s v="Heathcare"/>
    <s v="Health"/>
    <d v="2023-03-27T00:00:00"/>
    <x v="7"/>
    <x v="3"/>
  </r>
  <r>
    <x v="20"/>
    <n v="900"/>
    <n v="6.1224489795918364"/>
    <s v="Heathcare"/>
    <s v="Health"/>
    <d v="2023-03-27T00:00:00"/>
    <x v="7"/>
    <x v="3"/>
  </r>
  <r>
    <x v="62"/>
    <n v="1000"/>
    <n v="6.8027210884353737"/>
    <s v="Domestic"/>
    <s v="Food &amp; Beverages"/>
    <d v="2023-03-27T00:00:00"/>
    <x v="7"/>
    <x v="3"/>
  </r>
  <r>
    <x v="22"/>
    <n v="7884"/>
    <n v="53.632653061224488"/>
    <s v="Insurance"/>
    <s v="Life Insurance"/>
    <d v="2023-03-28T00:00:00"/>
    <x v="7"/>
    <x v="3"/>
  </r>
  <r>
    <x v="28"/>
    <n v="15000"/>
    <n v="102.04081632653062"/>
    <s v="Government"/>
    <s v="Finance &amp; Economy"/>
    <d v="2023-03-25T00:00:00"/>
    <x v="7"/>
    <x v="3"/>
  </r>
  <r>
    <x v="152"/>
    <n v="57040"/>
    <n v="388.02721088435374"/>
    <s v="Bank"/>
    <s v="Banking"/>
    <d v="2023-03-25T00:00:00"/>
    <x v="7"/>
    <x v="3"/>
  </r>
  <r>
    <x v="182"/>
    <n v="4800"/>
    <n v="30"/>
    <s v="Domestic"/>
    <s v="Transportation"/>
    <d v="2023-03-29T00:00:00"/>
    <x v="7"/>
    <x v="3"/>
  </r>
  <r>
    <x v="183"/>
    <n v="1920"/>
    <n v="12"/>
    <s v="Domestic"/>
    <s v="Food &amp; Beverages"/>
    <d v="2023-03-29T00:00:00"/>
    <x v="7"/>
    <x v="3"/>
  </r>
  <r>
    <x v="136"/>
    <n v="1920"/>
    <n v="12"/>
    <s v="Domestic"/>
    <s v="Food &amp; Beverages"/>
    <d v="2023-03-29T00:00:00"/>
    <x v="7"/>
    <x v="3"/>
  </r>
  <r>
    <x v="184"/>
    <n v="1280"/>
    <n v="8"/>
    <s v="Heathcare"/>
    <s v="Health"/>
    <d v="2023-03-29T00:00:00"/>
    <x v="7"/>
    <x v="3"/>
  </r>
  <r>
    <x v="185"/>
    <n v="6200"/>
    <n v="40"/>
    <s v="Domestic"/>
    <s v="Transportation"/>
    <d v="2023-04-07T00:00:00"/>
    <x v="8"/>
    <x v="3"/>
  </r>
  <r>
    <x v="186"/>
    <n v="15500"/>
    <n v="100"/>
    <s v="Domestic"/>
    <s v="Home"/>
    <d v="2023-04-04T00:00:00"/>
    <x v="8"/>
    <x v="3"/>
  </r>
  <r>
    <x v="187"/>
    <n v="1240"/>
    <n v="8"/>
    <s v="Domestic"/>
    <s v="Home"/>
    <d v="2023-04-04T00:00:00"/>
    <x v="8"/>
    <x v="3"/>
  </r>
  <r>
    <x v="185"/>
    <n v="3720"/>
    <n v="24"/>
    <s v="Domestic"/>
    <s v="Transportation"/>
    <d v="2023-04-04T00:00:00"/>
    <x v="8"/>
    <x v="3"/>
  </r>
  <r>
    <x v="188"/>
    <n v="10850"/>
    <n v="70"/>
    <s v="Domestic"/>
    <s v="Electronics"/>
    <d v="2023-03-06T00:00:00"/>
    <x v="7"/>
    <x v="3"/>
  </r>
  <r>
    <x v="189"/>
    <n v="28365"/>
    <n v="183"/>
    <s v="Domestic"/>
    <s v="Home"/>
    <d v="2023-04-07T00:00:00"/>
    <x v="8"/>
    <x v="3"/>
  </r>
  <r>
    <x v="190"/>
    <n v="7440"/>
    <n v="48"/>
    <s v="Domestic"/>
    <s v="Home"/>
    <d v="2023-04-07T00:00:00"/>
    <x v="8"/>
    <x v="3"/>
  </r>
  <r>
    <x v="191"/>
    <n v="12400"/>
    <n v="80"/>
    <s v="Domestic"/>
    <s v="Home"/>
    <d v="2023-04-07T00:00:00"/>
    <x v="8"/>
    <x v="3"/>
  </r>
  <r>
    <x v="192"/>
    <n v="8060"/>
    <n v="52"/>
    <s v="Domestic"/>
    <s v="Home"/>
    <d v="2023-04-07T00:00:00"/>
    <x v="8"/>
    <x v="3"/>
  </r>
  <r>
    <x v="47"/>
    <n v="1860"/>
    <n v="12"/>
    <s v="Domestic"/>
    <s v="Food &amp; Beverages"/>
    <d v="2023-04-07T00:00:00"/>
    <x v="8"/>
    <x v="3"/>
  </r>
  <r>
    <x v="193"/>
    <n v="4908.8500000000004"/>
    <n v="31.67"/>
    <s v="Domestic"/>
    <s v="Food &amp; Beverages"/>
    <d v="2023-04-07T00:00:00"/>
    <x v="8"/>
    <x v="3"/>
  </r>
  <r>
    <x v="194"/>
    <n v="2233.5500000000002"/>
    <n v="14.41"/>
    <s v="Domestic"/>
    <s v="Food &amp; Beverages"/>
    <d v="2023-04-08T00:00:00"/>
    <x v="8"/>
    <x v="3"/>
  </r>
  <r>
    <x v="189"/>
    <n v="12400"/>
    <n v="80"/>
    <s v="Domestic"/>
    <s v="Home"/>
    <d v="2023-04-10T00:00:00"/>
    <x v="8"/>
    <x v="3"/>
  </r>
  <r>
    <x v="190"/>
    <n v="5735"/>
    <n v="37"/>
    <s v="Domestic"/>
    <s v="Home"/>
    <d v="2023-04-10T00:00:00"/>
    <x v="8"/>
    <x v="3"/>
  </r>
  <r>
    <x v="185"/>
    <n v="7905"/>
    <n v="51"/>
    <s v="Domestic"/>
    <s v="Transportation"/>
    <d v="2023-04-10T00:00:00"/>
    <x v="8"/>
    <x v="3"/>
  </r>
  <r>
    <x v="127"/>
    <n v="928.45"/>
    <n v="5.99"/>
    <s v="Domestic"/>
    <s v="Electronics"/>
    <d v="2023-04-15T00:00:00"/>
    <x v="8"/>
    <x v="3"/>
  </r>
  <r>
    <x v="195"/>
    <n v="2325"/>
    <n v="15"/>
    <s v="Domestic"/>
    <s v="Food &amp; Beverages"/>
    <d v="2023-04-17T00:00:00"/>
    <x v="8"/>
    <x v="3"/>
  </r>
  <r>
    <x v="185"/>
    <n v="4650"/>
    <n v="30"/>
    <s v="Domestic"/>
    <s v="Transportation"/>
    <d v="2023-04-18T00:00:00"/>
    <x v="8"/>
    <x v="3"/>
  </r>
  <r>
    <x v="196"/>
    <n v="4650"/>
    <n v="30"/>
    <s v="Domestic"/>
    <s v="Transportation"/>
    <d v="2023-04-19T00:00:00"/>
    <x v="8"/>
    <x v="3"/>
  </r>
  <r>
    <x v="197"/>
    <n v="3565"/>
    <n v="23"/>
    <s v="Domestic"/>
    <s v="Food &amp; Beverages"/>
    <d v="2023-04-19T00:00:00"/>
    <x v="8"/>
    <x v="3"/>
  </r>
  <r>
    <x v="88"/>
    <n v="3000"/>
    <n v="20.408163265306122"/>
    <s v="Domestic"/>
    <s v="Transportation"/>
    <d v="2023-04-21T00:00:00"/>
    <x v="8"/>
    <x v="3"/>
  </r>
  <r>
    <x v="62"/>
    <n v="2000"/>
    <n v="13.605442176870747"/>
    <s v="Domestic"/>
    <s v="Food &amp; Beverages"/>
    <d v="2023-04-22T00:00:00"/>
    <x v="8"/>
    <x v="3"/>
  </r>
  <r>
    <x v="88"/>
    <n v="3000"/>
    <n v="20.408163265306122"/>
    <s v="Domestic"/>
    <s v="Transportation"/>
    <d v="2023-04-29T00:00:00"/>
    <x v="8"/>
    <x v="3"/>
  </r>
  <r>
    <x v="72"/>
    <n v="1000"/>
    <n v="6.8027210884353737"/>
    <s v="Domestic"/>
    <s v="Food &amp; Beverages"/>
    <d v="2023-04-26T00:00:00"/>
    <x v="8"/>
    <x v="3"/>
  </r>
  <r>
    <x v="72"/>
    <n v="2000"/>
    <n v="13.605442176870747"/>
    <s v="Domestic"/>
    <s v="Food &amp; Beverages"/>
    <d v="2023-04-29T00:00:00"/>
    <x v="8"/>
    <x v="3"/>
  </r>
  <r>
    <x v="198"/>
    <n v="1000"/>
    <n v="6.8027210884353737"/>
    <s v="Domestic"/>
    <s v="Date Night"/>
    <d v="2023-04-29T00:00:00"/>
    <x v="8"/>
    <x v="3"/>
  </r>
  <r>
    <x v="91"/>
    <n v="2000"/>
    <n v="13.605442176870747"/>
    <s v="Domestic"/>
    <s v="Transportation"/>
    <d v="2023-04-29T00:00:00"/>
    <x v="8"/>
    <x v="3"/>
  </r>
  <r>
    <x v="47"/>
    <n v="1000"/>
    <n v="6.8027210884353737"/>
    <s v="Domestic"/>
    <s v="Food &amp; Beverages"/>
    <d v="2023-04-27T00:00:00"/>
    <x v="8"/>
    <x v="3"/>
  </r>
  <r>
    <x v="47"/>
    <n v="1300"/>
    <n v="8.8435374149659864"/>
    <s v="Domestic"/>
    <s v="Food &amp; Beverages"/>
    <d v="2023-04-28T00:00:00"/>
    <x v="8"/>
    <x v="3"/>
  </r>
  <r>
    <x v="63"/>
    <n v="1000"/>
    <n v="6.8027210884353737"/>
    <s v="Domestic"/>
    <s v="Food &amp; Beverages"/>
    <d v="2023-04-28T00:00:00"/>
    <x v="8"/>
    <x v="3"/>
  </r>
  <r>
    <x v="152"/>
    <n v="57040"/>
    <n v="388.02721088435374"/>
    <s v="Bank"/>
    <s v="Banking"/>
    <d v="2023-04-28T00:00:00"/>
    <x v="8"/>
    <x v="3"/>
  </r>
  <r>
    <x v="22"/>
    <n v="7884"/>
    <n v="53.632653061224488"/>
    <s v="Insurance"/>
    <s v="Life Insurance"/>
    <d v="2023-04-28T00:00:00"/>
    <x v="8"/>
    <x v="3"/>
  </r>
  <r>
    <x v="88"/>
    <n v="3000"/>
    <n v="20.408163265306122"/>
    <s v="Domestic"/>
    <s v="Transportation"/>
    <d v="2023-05-06T00:00:00"/>
    <x v="0"/>
    <x v="3"/>
  </r>
  <r>
    <x v="47"/>
    <n v="2000"/>
    <n v="13.605442176870747"/>
    <s v="Domestic"/>
    <s v="Food &amp; Beverages"/>
    <d v="2023-05-05T00:00:00"/>
    <x v="0"/>
    <x v="3"/>
  </r>
  <r>
    <x v="63"/>
    <n v="560"/>
    <n v="3.8095238095238093"/>
    <s v="Domestic"/>
    <s v="Food &amp; Beverages"/>
    <d v="2023-05-08T00:00:00"/>
    <x v="0"/>
    <x v="3"/>
  </r>
  <r>
    <x v="63"/>
    <n v="600"/>
    <n v="4.0816326530612246"/>
    <s v="Domestic"/>
    <s v="Food &amp; Beverages"/>
    <d v="2023-05-10T00:00:00"/>
    <x v="0"/>
    <x v="3"/>
  </r>
  <r>
    <x v="163"/>
    <n v="700"/>
    <n v="4.7619047619047619"/>
    <s v="Domestic"/>
    <s v="Food &amp; Beverages"/>
    <d v="2023-05-06T00:00:00"/>
    <x v="0"/>
    <x v="3"/>
  </r>
  <r>
    <x v="88"/>
    <n v="4000"/>
    <n v="27.210884353741495"/>
    <s v="Domestic"/>
    <s v="Transportation"/>
    <d v="2023-05-13T00:00:00"/>
    <x v="0"/>
    <x v="3"/>
  </r>
  <r>
    <x v="111"/>
    <n v="4000"/>
    <n v="27.210884353741495"/>
    <s v="Domestic"/>
    <s v="Food &amp; Beverages"/>
    <d v="2023-05-13T00:00:00"/>
    <x v="0"/>
    <x v="3"/>
  </r>
  <r>
    <x v="199"/>
    <n v="10000"/>
    <n v="68.027210884353735"/>
    <s v="Government"/>
    <s v="Finance &amp; Economy"/>
    <d v="2023-05-14T00:00:00"/>
    <x v="0"/>
    <x v="3"/>
  </r>
  <r>
    <x v="178"/>
    <n v="46011"/>
    <n v="313"/>
    <s v="Domestic"/>
    <s v="Transportation"/>
    <d v="2023-05-10T00:00:00"/>
    <x v="0"/>
    <x v="3"/>
  </r>
  <r>
    <x v="127"/>
    <n v="880.53000000000009"/>
    <n v="5.99"/>
    <s v="Domestic"/>
    <s v="Electronics"/>
    <d v="2023-05-15T00:00:00"/>
    <x v="0"/>
    <x v="3"/>
  </r>
  <r>
    <x v="163"/>
    <n v="700"/>
    <n v="4.7619047619047619"/>
    <s v="Domestic"/>
    <s v="Food &amp; Beverages"/>
    <d v="2023-05-19T00:00:00"/>
    <x v="0"/>
    <x v="3"/>
  </r>
  <r>
    <x v="174"/>
    <n v="1000"/>
    <n v="6.8027210884353737"/>
    <s v="Domestic"/>
    <s v="Food &amp; Beverages"/>
    <d v="2023-05-15T00:00:00"/>
    <x v="0"/>
    <x v="3"/>
  </r>
  <r>
    <x v="62"/>
    <n v="2000"/>
    <n v="13.605442176870747"/>
    <s v="Domestic"/>
    <s v="Food &amp; Beverages"/>
    <d v="2023-05-22T00:00:00"/>
    <x v="0"/>
    <x v="3"/>
  </r>
  <r>
    <x v="88"/>
    <n v="2000"/>
    <n v="13.605442176870747"/>
    <s v="Domestic"/>
    <s v="Transportation"/>
    <d v="2023-05-23T00:00:00"/>
    <x v="0"/>
    <x v="3"/>
  </r>
  <r>
    <x v="88"/>
    <n v="3000"/>
    <n v="20.408163265306122"/>
    <s v="Domestic"/>
    <s v="Transportation"/>
    <d v="2023-05-27T00:00:00"/>
    <x v="0"/>
    <x v="3"/>
  </r>
  <r>
    <x v="47"/>
    <n v="1000"/>
    <n v="6.8027210884353737"/>
    <s v="Domestic"/>
    <s v="Food &amp; Beverages"/>
    <d v="2023-05-29T00:00:00"/>
    <x v="0"/>
    <x v="3"/>
  </r>
  <r>
    <x v="47"/>
    <n v="1000"/>
    <n v="6.8027210884353737"/>
    <s v="Domestic"/>
    <s v="Food &amp; Beverages"/>
    <d v="2023-05-26T00:00:00"/>
    <x v="0"/>
    <x v="3"/>
  </r>
  <r>
    <x v="96"/>
    <n v="1000"/>
    <n v="6.8027210884353737"/>
    <s v="Domestic"/>
    <s v="Home"/>
    <d v="2023-05-28T00:00:00"/>
    <x v="0"/>
    <x v="3"/>
  </r>
  <r>
    <x v="47"/>
    <n v="1000"/>
    <n v="6.8027210884353737"/>
    <s v="Domestic"/>
    <s v="Food &amp; Beverages"/>
    <d v="2023-05-27T00:00:00"/>
    <x v="0"/>
    <x v="3"/>
  </r>
  <r>
    <x v="152"/>
    <n v="57040"/>
    <n v="388.02721088435374"/>
    <s v="Bank"/>
    <s v="Banking"/>
    <d v="2023-05-25T00:00:00"/>
    <x v="0"/>
    <x v="3"/>
  </r>
  <r>
    <x v="22"/>
    <n v="7884"/>
    <n v="53.632653061224488"/>
    <s v="Insurance"/>
    <s v="Life Insurance"/>
    <d v="2023-05-28T00:00:00"/>
    <x v="0"/>
    <x v="3"/>
  </r>
  <r>
    <x v="200"/>
    <n v="15500"/>
    <n v="105.4421768707483"/>
    <s v="Domestic"/>
    <s v="Transportation"/>
    <d v="2023-05-31T00:00:00"/>
    <x v="0"/>
    <x v="3"/>
  </r>
  <r>
    <x v="28"/>
    <n v="20000"/>
    <n v="136.05442176870747"/>
    <s v="Government"/>
    <s v="Finance &amp; Economy"/>
    <d v="2023-05-31T00:00:00"/>
    <x v="0"/>
    <x v="3"/>
  </r>
  <r>
    <x v="201"/>
    <n v="8500"/>
    <n v="57.823129251700678"/>
    <s v="Heathcare"/>
    <s v="Health"/>
    <d v="2023-06-01T00:00:00"/>
    <x v="9"/>
    <x v="3"/>
  </r>
  <r>
    <x v="20"/>
    <n v="400"/>
    <n v="2.7210884353741496"/>
    <s v="Heathcare"/>
    <s v="Health"/>
    <d v="2023-06-01T00:00:00"/>
    <x v="9"/>
    <x v="3"/>
  </r>
  <r>
    <x v="47"/>
    <n v="850"/>
    <n v="5.7823129251700678"/>
    <s v="Domestic"/>
    <s v="Food &amp; Beverages"/>
    <d v="2023-06-01T00:00:00"/>
    <x v="9"/>
    <x v="3"/>
  </r>
  <r>
    <x v="88"/>
    <n v="2500"/>
    <n v="17.006802721088434"/>
    <s v="Domestic"/>
    <s v="Transportation"/>
    <d v="2023-06-01T00:00:00"/>
    <x v="9"/>
    <x v="3"/>
  </r>
  <r>
    <x v="159"/>
    <n v="15500"/>
    <n v="105.4421768707483"/>
    <s v="Domestic"/>
    <s v=" Car Maintenance"/>
    <d v="2023-06-04T00:00:00"/>
    <x v="9"/>
    <x v="3"/>
  </r>
  <r>
    <x v="88"/>
    <n v="3000"/>
    <n v="20.408163265306122"/>
    <s v="Domestic"/>
    <s v="Transportation"/>
    <d v="2023-06-04T00:00:00"/>
    <x v="9"/>
    <x v="3"/>
  </r>
  <r>
    <x v="72"/>
    <n v="1150"/>
    <n v="7.8231292517006805"/>
    <s v="Domestic"/>
    <s v="Food &amp; Beverages"/>
    <d v="2023-06-04T00:00:00"/>
    <x v="9"/>
    <x v="3"/>
  </r>
  <r>
    <x v="63"/>
    <n v="520"/>
    <n v="3.5374149659863945"/>
    <s v="Domestic"/>
    <s v="Food &amp; Beverages"/>
    <d v="2023-06-05T00:00:00"/>
    <x v="9"/>
    <x v="3"/>
  </r>
  <r>
    <x v="42"/>
    <n v="5500"/>
    <n v="37.414965986394556"/>
    <s v="Domestic"/>
    <s v="Electronics"/>
    <d v="2023-06-05T00:00:00"/>
    <x v="9"/>
    <x v="3"/>
  </r>
  <r>
    <x v="202"/>
    <n v="2700"/>
    <n v="18.367346938775512"/>
    <s v="Domestic"/>
    <s v="Electronics"/>
    <d v="2023-06-05T00:00:00"/>
    <x v="9"/>
    <x v="3"/>
  </r>
  <r>
    <x v="203"/>
    <n v="2100"/>
    <n v="14.285714285714286"/>
    <s v="Domestic"/>
    <s v="Home"/>
    <d v="2023-06-05T00:00:00"/>
    <x v="9"/>
    <x v="3"/>
  </r>
  <r>
    <x v="105"/>
    <n v="36436.89"/>
    <n v="247.87"/>
    <s v="Education"/>
    <s v="Electronics"/>
    <d v="2023-06-06T00:00:00"/>
    <x v="9"/>
    <x v="3"/>
  </r>
  <r>
    <x v="107"/>
    <n v="6000"/>
    <n v="40.816326530612244"/>
    <s v="Heathcare"/>
    <s v="Health"/>
    <d v="2023-06-05T00:00:00"/>
    <x v="9"/>
    <x v="3"/>
  </r>
  <r>
    <x v="88"/>
    <n v="3000"/>
    <n v="20.408163265306122"/>
    <s v="Domestic"/>
    <s v="Transportation"/>
    <d v="2023-06-08T00:00:00"/>
    <x v="9"/>
    <x v="3"/>
  </r>
  <r>
    <x v="204"/>
    <n v="4200"/>
    <n v="28.571428571428573"/>
    <s v="Domestic"/>
    <s v="Food &amp; Beverages"/>
    <d v="2023-06-11T00:00:00"/>
    <x v="9"/>
    <x v="3"/>
  </r>
  <r>
    <x v="47"/>
    <n v="100"/>
    <n v="0.68027210884353739"/>
    <s v="Domestic"/>
    <s v="Food &amp; Beverages"/>
    <d v="2023-06-08T00:00:00"/>
    <x v="9"/>
    <x v="3"/>
  </r>
  <r>
    <x v="72"/>
    <n v="1100"/>
    <n v="7.4829931972789119"/>
    <s v="Domestic"/>
    <s v="Food &amp; Beverages"/>
    <d v="2023-06-12T00:00:00"/>
    <x v="9"/>
    <x v="3"/>
  </r>
  <r>
    <x v="62"/>
    <n v="980"/>
    <n v="6.666666666666667"/>
    <s v="Domestic"/>
    <s v="Food &amp; Beverages"/>
    <d v="2023-06-13T00:00:00"/>
    <x v="9"/>
    <x v="3"/>
  </r>
  <r>
    <x v="205"/>
    <n v="900"/>
    <n v="6.1224489795918364"/>
    <s v="Domestic"/>
    <s v="Food &amp; Beverages"/>
    <d v="2023-06-12T00:00:00"/>
    <x v="9"/>
    <x v="3"/>
  </r>
  <r>
    <x v="136"/>
    <n v="980"/>
    <n v="6.666666666666667"/>
    <s v="Domestic"/>
    <s v="Food &amp; Beverages"/>
    <d v="2023-06-13T00:00:00"/>
    <x v="9"/>
    <x v="3"/>
  </r>
  <r>
    <x v="180"/>
    <n v="5733"/>
    <n v="39"/>
    <s v="Education"/>
    <s v="School"/>
    <d v="2023-05-13T00:00:00"/>
    <x v="0"/>
    <x v="3"/>
  </r>
  <r>
    <x v="180"/>
    <n v="2940"/>
    <n v="20"/>
    <s v="Education"/>
    <s v="School"/>
    <d v="2023-04-13T00:00:00"/>
    <x v="8"/>
    <x v="3"/>
  </r>
  <r>
    <x v="110"/>
    <n v="50000"/>
    <n v="340.13605442176873"/>
    <s v="Insurance"/>
    <s v="Car Insurance"/>
    <d v="2023-06-08T00:00:00"/>
    <x v="9"/>
    <x v="3"/>
  </r>
  <r>
    <x v="206"/>
    <n v="24500"/>
    <n v="166.66666666666666"/>
    <s v="Government"/>
    <s v="Finance &amp; Economy"/>
    <d v="2023-04-13T00:00:00"/>
    <x v="8"/>
    <x v="3"/>
  </r>
  <r>
    <x v="207"/>
    <n v="800"/>
    <n v="5.4421768707482991"/>
    <s v="Domestic"/>
    <s v="Food &amp; Beverages"/>
    <d v="2023-06-16T00:00:00"/>
    <x v="9"/>
    <x v="3"/>
  </r>
  <r>
    <x v="169"/>
    <n v="820"/>
    <n v="5.5782312925170068"/>
    <s v="Domestic"/>
    <s v="Food &amp; Beverages"/>
    <d v="2023-06-16T00:00:00"/>
    <x v="9"/>
    <x v="3"/>
  </r>
  <r>
    <x v="141"/>
    <n v="700"/>
    <n v="4.7619047619047619"/>
    <s v="Domestic"/>
    <s v="Food &amp; Beverages"/>
    <d v="2023-06-16T00:00:00"/>
    <x v="9"/>
    <x v="3"/>
  </r>
  <r>
    <x v="88"/>
    <n v="4000"/>
    <n v="27.210884353741495"/>
    <s v="Domestic"/>
    <s v="Transportation"/>
    <d v="2023-06-18T00:00:00"/>
    <x v="9"/>
    <x v="3"/>
  </r>
  <r>
    <x v="127"/>
    <n v="880.53000000000009"/>
    <n v="5.99"/>
    <s v="Domestic"/>
    <s v="Electronics"/>
    <d v="2023-06-18T00:00:00"/>
    <x v="9"/>
    <x v="3"/>
  </r>
  <r>
    <x v="110"/>
    <n v="25500"/>
    <n v="173.46938775510205"/>
    <s v="Insurance"/>
    <s v="Car Insurance"/>
    <d v="2023-06-20T00:00:00"/>
    <x v="9"/>
    <x v="3"/>
  </r>
  <r>
    <x v="201"/>
    <n v="18500"/>
    <n v="125.85034013605443"/>
    <s v="Heathcare"/>
    <s v="Health"/>
    <d v="2023-06-15T00:00:00"/>
    <x v="9"/>
    <x v="3"/>
  </r>
  <r>
    <x v="165"/>
    <n v="880"/>
    <n v="5.9863945578231297"/>
    <s v="Domestic"/>
    <s v="Food &amp; Beverages"/>
    <d v="2023-06-20T00:00:00"/>
    <x v="9"/>
    <x v="3"/>
  </r>
  <r>
    <x v="0"/>
    <n v="1451"/>
    <n v="9.8707482993197271"/>
    <s v="Domestic"/>
    <s v="Home"/>
    <d v="2023-06-20T00:00:00"/>
    <x v="9"/>
    <x v="3"/>
  </r>
  <r>
    <x v="62"/>
    <n v="1000"/>
    <n v="6.8027210884353737"/>
    <s v="Domestic"/>
    <s v="Food &amp; Beverages"/>
    <d v="2023-06-24T00:00:00"/>
    <x v="9"/>
    <x v="3"/>
  </r>
  <r>
    <x v="111"/>
    <n v="1000"/>
    <n v="6.8027210884353737"/>
    <s v="Domestic"/>
    <s v="Food &amp; Beverages"/>
    <d v="2023-06-23T00:00:00"/>
    <x v="9"/>
    <x v="3"/>
  </r>
  <r>
    <x v="88"/>
    <n v="2000"/>
    <n v="13.605442176870747"/>
    <s v="Domestic"/>
    <s v="Transportation"/>
    <d v="2023-06-24T00:00:00"/>
    <x v="9"/>
    <x v="3"/>
  </r>
  <r>
    <x v="96"/>
    <n v="1000"/>
    <n v="6.8027210884353737"/>
    <s v="Domestic"/>
    <s v="Home"/>
    <d v="2023-06-26T00:00:00"/>
    <x v="9"/>
    <x v="3"/>
  </r>
  <r>
    <x v="128"/>
    <n v="1300"/>
    <n v="8.8435374149659864"/>
    <s v="Domestic"/>
    <s v="Home"/>
    <d v="2023-06-26T00:00:00"/>
    <x v="9"/>
    <x v="3"/>
  </r>
  <r>
    <x v="88"/>
    <n v="4500"/>
    <n v="30.612244897959183"/>
    <s v="Domestic"/>
    <s v="Transportation"/>
    <d v="2023-06-26T00:00:00"/>
    <x v="9"/>
    <x v="3"/>
  </r>
  <r>
    <x v="62"/>
    <n v="2200"/>
    <n v="14.965986394557824"/>
    <s v="Domestic"/>
    <s v="Food &amp; Beverages"/>
    <d v="2023-06-26T00:00:00"/>
    <x v="9"/>
    <x v="3"/>
  </r>
  <r>
    <x v="182"/>
    <n v="4424.7"/>
    <n v="30.1"/>
    <s v="Domestic"/>
    <s v="Transportation"/>
    <d v="2023-06-27T00:00:00"/>
    <x v="9"/>
    <x v="3"/>
  </r>
  <r>
    <x v="181"/>
    <n v="50000"/>
    <n v="340.13605442176873"/>
    <s v="Domestic"/>
    <s v="Home"/>
    <d v="2023-06-27T00:00:00"/>
    <x v="9"/>
    <x v="3"/>
  </r>
  <r>
    <x v="208"/>
    <n v="50000"/>
    <n v="340.13605442176873"/>
    <s v="Domestic"/>
    <s v="Home"/>
    <d v="2023-06-27T00:00:00"/>
    <x v="9"/>
    <x v="3"/>
  </r>
  <r>
    <x v="28"/>
    <n v="15000"/>
    <n v="102.04081632653062"/>
    <s v="Government"/>
    <s v="Finance &amp; Economy"/>
    <d v="2023-06-27T00:00:00"/>
    <x v="9"/>
    <x v="3"/>
  </r>
  <r>
    <x v="61"/>
    <n v="10000"/>
    <n v="68.027210884353735"/>
    <s v="Domestic"/>
    <s v="Food &amp; Beverages"/>
    <d v="2023-06-27T00:00:00"/>
    <x v="9"/>
    <x v="3"/>
  </r>
  <r>
    <x v="61"/>
    <n v="10000"/>
    <n v="68.027210884353735"/>
    <s v="Domestic"/>
    <s v="Food &amp; Beverages"/>
    <d v="2023-02-25T00:00:00"/>
    <x v="6"/>
    <x v="3"/>
  </r>
  <r>
    <x v="61"/>
    <n v="10000"/>
    <n v="68.027210884353735"/>
    <s v="Domestic"/>
    <s v="Food &amp; Beverages"/>
    <d v="2023-03-25T00:00:00"/>
    <x v="7"/>
    <x v="3"/>
  </r>
  <r>
    <x v="61"/>
    <n v="10000"/>
    <n v="68.027210884353735"/>
    <s v="Domestic"/>
    <s v="Food &amp; Beverages"/>
    <d v="2023-04-25T00:00:00"/>
    <x v="8"/>
    <x v="3"/>
  </r>
  <r>
    <x v="61"/>
    <n v="10000"/>
    <n v="68.027210884353735"/>
    <s v="Domestic"/>
    <s v="Food &amp; Beverages"/>
    <d v="2023-05-25T00:00:00"/>
    <x v="0"/>
    <x v="3"/>
  </r>
  <r>
    <x v="207"/>
    <n v="1358.28"/>
    <n v="9.24"/>
    <s v="Domestic"/>
    <s v="Food &amp; Beverages"/>
    <d v="2023-07-12T00:00:00"/>
    <x v="10"/>
    <x v="3"/>
  </r>
  <r>
    <x v="209"/>
    <n v="2790.06"/>
    <n v="18.98"/>
    <s v="Domestic"/>
    <s v="Food &amp; Beverages"/>
    <d v="2023-07-12T00:00:00"/>
    <x v="10"/>
    <x v="3"/>
  </r>
  <r>
    <x v="210"/>
    <n v="1176"/>
    <n v="8"/>
    <s v="Domestic"/>
    <s v="Food &amp; Beverages"/>
    <d v="2023-07-12T00:00:00"/>
    <x v="10"/>
    <x v="3"/>
  </r>
  <r>
    <x v="211"/>
    <n v="1553.79"/>
    <n v="10.57"/>
    <s v="Domestic"/>
    <s v="Food &amp; Beverages"/>
    <d v="2023-07-12T00:00:00"/>
    <x v="10"/>
    <x v="3"/>
  </r>
  <r>
    <x v="207"/>
    <n v="1697.8500000000001"/>
    <n v="11.55"/>
    <s v="Domestic"/>
    <s v="Food &amp; Beverages"/>
    <d v="2023-07-17T00:00:00"/>
    <x v="10"/>
    <x v="3"/>
  </r>
  <r>
    <x v="212"/>
    <n v="333.69"/>
    <n v="2.27"/>
    <s v="Domestic"/>
    <s v="Food &amp; Beverages"/>
    <d v="2023-07-17T00:00:00"/>
    <x v="10"/>
    <x v="3"/>
  </r>
  <r>
    <x v="213"/>
    <n v="583.59"/>
    <n v="3.97"/>
    <s v="Domestic"/>
    <s v="Food &amp; Beverages"/>
    <d v="2023-07-17T00:00:00"/>
    <x v="10"/>
    <x v="3"/>
  </r>
  <r>
    <x v="214"/>
    <n v="2616.6"/>
    <n v="17.8"/>
    <s v="Domestic"/>
    <s v="Food &amp; Beverages"/>
    <d v="2023-07-21T00:00:00"/>
    <x v="10"/>
    <x v="3"/>
  </r>
  <r>
    <x v="214"/>
    <n v="1653.75"/>
    <n v="11.25"/>
    <s v="Domestic"/>
    <s v="Food &amp; Beverages"/>
    <d v="2023-07-23T00:00:00"/>
    <x v="10"/>
    <x v="3"/>
  </r>
  <r>
    <x v="215"/>
    <n v="735"/>
    <n v="5"/>
    <s v="Education"/>
    <s v="Home"/>
    <d v="2023-07-23T00:00:00"/>
    <x v="10"/>
    <x v="3"/>
  </r>
  <r>
    <x v="19"/>
    <n v="7247.0999999999995"/>
    <n v="49.3"/>
    <s v="Heathcare"/>
    <s v="Health"/>
    <d v="2023-07-26T00:00:00"/>
    <x v="10"/>
    <x v="3"/>
  </r>
  <r>
    <x v="20"/>
    <n v="2787.1200000000003"/>
    <n v="18.96"/>
    <s v="Heathcare"/>
    <s v="Health"/>
    <d v="2023-07-26T00:00:00"/>
    <x v="10"/>
    <x v="3"/>
  </r>
  <r>
    <x v="5"/>
    <n v="780.56999999999994"/>
    <n v="5.31"/>
    <s v="Domestic"/>
    <s v="Food &amp; Beverages"/>
    <d v="2023-07-26T00:00:00"/>
    <x v="10"/>
    <x v="3"/>
  </r>
  <r>
    <x v="216"/>
    <n v="223.44"/>
    <n v="1.52"/>
    <s v="Domestic"/>
    <s v="Food &amp; Beverages"/>
    <d v="2023-07-26T00:00:00"/>
    <x v="10"/>
    <x v="3"/>
  </r>
  <r>
    <x v="109"/>
    <n v="886.41000000000008"/>
    <n v="6.03"/>
    <s v="Heathcare"/>
    <s v="Health"/>
    <d v="2023-07-21T00:00:00"/>
    <x v="10"/>
    <x v="3"/>
  </r>
  <r>
    <x v="217"/>
    <n v="1558.2"/>
    <n v="10.6"/>
    <s v="Heathcare"/>
    <s v="Health"/>
    <d v="2023-07-21T00:00:00"/>
    <x v="10"/>
    <x v="3"/>
  </r>
  <r>
    <x v="218"/>
    <n v="1303.8899999999999"/>
    <n v="8.8699999999999992"/>
    <s v="Heathcare"/>
    <s v="Health"/>
    <d v="2023-07-21T00:00:00"/>
    <x v="10"/>
    <x v="3"/>
  </r>
  <r>
    <x v="219"/>
    <n v="1761.0600000000002"/>
    <n v="11.98"/>
    <s v="Heathcare"/>
    <s v="Health"/>
    <d v="2023-07-31T00:00:00"/>
    <x v="10"/>
    <x v="3"/>
  </r>
  <r>
    <x v="220"/>
    <n v="2205"/>
    <n v="15"/>
    <s v="Heathcare"/>
    <s v="Health"/>
    <d v="2023-07-30T00:00:00"/>
    <x v="10"/>
    <x v="3"/>
  </r>
  <r>
    <x v="221"/>
    <n v="1470"/>
    <n v="10"/>
    <s v="Heathcare"/>
    <s v="Health"/>
    <d v="2023-07-30T00:00:00"/>
    <x v="10"/>
    <x v="3"/>
  </r>
  <r>
    <x v="193"/>
    <n v="1029"/>
    <n v="7"/>
    <s v="Domestic"/>
    <s v="Food &amp; Beverages"/>
    <d v="2023-08-06T00:00:00"/>
    <x v="11"/>
    <x v="3"/>
  </r>
  <r>
    <x v="96"/>
    <n v="3087"/>
    <n v="21"/>
    <s v="Domestic"/>
    <s v="Home"/>
    <d v="2023-08-06T00:00:00"/>
    <x v="11"/>
    <x v="3"/>
  </r>
  <r>
    <x v="222"/>
    <n v="10878"/>
    <n v="74"/>
    <s v="Heathcare"/>
    <s v="Health"/>
    <d v="2023-08-14T00:00:00"/>
    <x v="11"/>
    <x v="3"/>
  </r>
  <r>
    <x v="223"/>
    <n v="16170"/>
    <n v="110"/>
    <s v="Heathcare"/>
    <s v="Health"/>
    <d v="2023-08-14T00:00:00"/>
    <x v="11"/>
    <x v="3"/>
  </r>
  <r>
    <x v="19"/>
    <n v="7056"/>
    <n v="48"/>
    <s v="Heathcare"/>
    <s v="Health"/>
    <d v="2023-08-15T00:00:00"/>
    <x v="11"/>
    <x v="3"/>
  </r>
  <r>
    <x v="20"/>
    <n v="4116"/>
    <n v="28"/>
    <s v="Heathcare"/>
    <s v="Health"/>
    <d v="2023-08-15T00:00:00"/>
    <x v="11"/>
    <x v="3"/>
  </r>
  <r>
    <x v="47"/>
    <n v="4116"/>
    <n v="28"/>
    <s v="Domestic"/>
    <s v="Food &amp; Beverages"/>
    <d v="2023-08-15T00:00:00"/>
    <x v="11"/>
    <x v="3"/>
  </r>
  <r>
    <x v="178"/>
    <n v="56742"/>
    <n v="386"/>
    <s v="Domestic"/>
    <s v="Transportation"/>
    <d v="2023-08-16T00:00:00"/>
    <x v="11"/>
    <x v="3"/>
  </r>
  <r>
    <x v="152"/>
    <n v="57040"/>
    <n v="388.02721088435374"/>
    <s v="Bank"/>
    <s v="Banking"/>
    <d v="2023-06-25T00:00:00"/>
    <x v="9"/>
    <x v="3"/>
  </r>
  <r>
    <x v="152"/>
    <n v="57040"/>
    <n v="388.02721088435374"/>
    <s v="Bank"/>
    <s v="Banking"/>
    <d v="2023-07-25T00:00:00"/>
    <x v="10"/>
    <x v="3"/>
  </r>
  <r>
    <x v="152"/>
    <n v="57040"/>
    <n v="388.02721088435374"/>
    <s v="Bank"/>
    <s v="Banking"/>
    <d v="2023-08-23T00:00:00"/>
    <x v="11"/>
    <x v="3"/>
  </r>
  <r>
    <x v="127"/>
    <n v="880.53000000000009"/>
    <n v="5.99"/>
    <s v="Domestic"/>
    <s v="Electronics"/>
    <d v="2023-07-18T00:00:00"/>
    <x v="10"/>
    <x v="3"/>
  </r>
  <r>
    <x v="127"/>
    <n v="880.53000000000009"/>
    <n v="5.99"/>
    <s v="Domestic"/>
    <s v="Electronics"/>
    <d v="2023-08-18T00:00:00"/>
    <x v="11"/>
    <x v="3"/>
  </r>
  <r>
    <x v="224"/>
    <n v="6000"/>
    <n v="40.816326530612244"/>
    <s v="Domestic"/>
    <s v="Electronics"/>
    <d v="2023-08-25T00:00:00"/>
    <x v="11"/>
    <x v="3"/>
  </r>
  <r>
    <x v="154"/>
    <n v="1292.1299999999999"/>
    <n v="8.7899999999999991"/>
    <s v="Domestic"/>
    <s v="Food &amp; Beverages"/>
    <d v="2023-09-02T00:00:00"/>
    <x v="1"/>
    <x v="3"/>
  </r>
  <r>
    <x v="225"/>
    <n v="538.02"/>
    <n v="3.66"/>
    <s v="Domestic"/>
    <s v="Food &amp; Beverages"/>
    <d v="2023-09-02T00:00:00"/>
    <x v="1"/>
    <x v="3"/>
  </r>
  <r>
    <x v="41"/>
    <n v="4305.63"/>
    <n v="29.29"/>
    <s v="Domestic"/>
    <s v="Electronics"/>
    <d v="2023-08-29T00:00:00"/>
    <x v="11"/>
    <x v="3"/>
  </r>
  <r>
    <x v="136"/>
    <n v="2152.08"/>
    <n v="14.64"/>
    <s v="Domestic"/>
    <s v="Food &amp; Beverages"/>
    <d v="2023-08-28T00:00:00"/>
    <x v="11"/>
    <x v="3"/>
  </r>
  <r>
    <x v="136"/>
    <n v="1292.1299999999999"/>
    <n v="8.7899999999999991"/>
    <s v="Domestic"/>
    <s v="Food &amp; Beverages"/>
    <d v="2023-08-29T00:00:00"/>
    <x v="11"/>
    <x v="3"/>
  </r>
  <r>
    <x v="226"/>
    <n v="1430.3100000000002"/>
    <n v="9.73"/>
    <s v="Domestic"/>
    <s v="Home"/>
    <d v="2023-08-29T00:00:00"/>
    <x v="11"/>
    <x v="3"/>
  </r>
  <r>
    <x v="207"/>
    <n v="1076.04"/>
    <n v="7.32"/>
    <s v="Domestic"/>
    <s v="Food &amp; Beverages"/>
    <d v="2023-08-29T00:00:00"/>
    <x v="11"/>
    <x v="3"/>
  </r>
  <r>
    <x v="227"/>
    <n v="535.08000000000004"/>
    <n v="3.64"/>
    <s v="Domestic"/>
    <s v="Food &amp; Beverages"/>
    <d v="2023-08-29T00:00:00"/>
    <x v="11"/>
    <x v="3"/>
  </r>
  <r>
    <x v="228"/>
    <n v="682.07999999999993"/>
    <n v="4.6399999999999997"/>
    <s v="Domestic"/>
    <s v="Food &amp; Beverages"/>
    <d v="2023-08-29T00:00:00"/>
    <x v="11"/>
    <x v="3"/>
  </r>
  <r>
    <x v="22"/>
    <n v="7884"/>
    <n v="53.632653061224488"/>
    <s v="Insurance"/>
    <s v="Life Insurance"/>
    <d v="2023-06-28T00:00:00"/>
    <x v="9"/>
    <x v="3"/>
  </r>
  <r>
    <x v="22"/>
    <n v="7884"/>
    <n v="53.632653061224488"/>
    <s v="Insurance"/>
    <s v="Life Insurance"/>
    <d v="2023-07-28T00:00:00"/>
    <x v="10"/>
    <x v="3"/>
  </r>
  <r>
    <x v="22"/>
    <n v="7884"/>
    <n v="53.632653061224488"/>
    <s v="Insurance"/>
    <s v="Life Insurance"/>
    <d v="2023-08-28T00:00:00"/>
    <x v="11"/>
    <x v="3"/>
  </r>
  <r>
    <x v="229"/>
    <n v="1634.6399999999999"/>
    <n v="11.12"/>
    <s v="Domestic"/>
    <s v="Food &amp; Beverages"/>
    <d v="2023-09-18T00:00:00"/>
    <x v="1"/>
    <x v="3"/>
  </r>
  <r>
    <x v="136"/>
    <n v="1323"/>
    <n v="9"/>
    <s v="Domestic"/>
    <s v="Food &amp; Beverages"/>
    <d v="2023-09-18T00:00:00"/>
    <x v="1"/>
    <x v="3"/>
  </r>
  <r>
    <x v="136"/>
    <n v="1323"/>
    <n v="9"/>
    <s v="Domestic"/>
    <s v="Food &amp; Beverages"/>
    <d v="2023-09-15T00:00:00"/>
    <x v="1"/>
    <x v="3"/>
  </r>
  <r>
    <x v="230"/>
    <n v="1090.74"/>
    <n v="7.42"/>
    <s v="Domestic"/>
    <s v="Food &amp; Beverages"/>
    <d v="2023-09-14T00:00:00"/>
    <x v="1"/>
    <x v="3"/>
  </r>
  <r>
    <x v="231"/>
    <n v="980.49"/>
    <n v="6.67"/>
    <s v="Heathcare"/>
    <s v="Health"/>
    <d v="2023-09-14T00:00:00"/>
    <x v="1"/>
    <x v="3"/>
  </r>
  <r>
    <x v="232"/>
    <n v="4851"/>
    <n v="33"/>
    <s v="Heathcare"/>
    <s v="Health"/>
    <d v="2023-09-15T00:00:00"/>
    <x v="1"/>
    <x v="3"/>
  </r>
  <r>
    <x v="233"/>
    <n v="3748.5"/>
    <n v="25.5"/>
    <s v="Heathcare"/>
    <s v="Health"/>
    <d v="2023-09-14T00:00:00"/>
    <x v="1"/>
    <x v="3"/>
  </r>
  <r>
    <x v="234"/>
    <n v="654.15"/>
    <n v="4.45"/>
    <s v="Heathcare"/>
    <s v="Health"/>
    <d v="2023-09-15T00:00:00"/>
    <x v="1"/>
    <x v="3"/>
  </r>
  <r>
    <x v="207"/>
    <n v="1470"/>
    <n v="10"/>
    <s v="Domestic"/>
    <s v="Food &amp; Beverages"/>
    <d v="2023-09-15T00:00:00"/>
    <x v="1"/>
    <x v="3"/>
  </r>
  <r>
    <x v="22"/>
    <n v="7884"/>
    <n v="53.632653061224488"/>
    <s v="Insurance"/>
    <s v="Life Insurance"/>
    <d v="2023-09-28T00:00:00"/>
    <x v="1"/>
    <x v="3"/>
  </r>
  <r>
    <x v="152"/>
    <n v="57040"/>
    <n v="388.02721088435374"/>
    <s v="Bank"/>
    <s v="Banking"/>
    <d v="2023-09-25T00:00:00"/>
    <x v="1"/>
    <x v="3"/>
  </r>
  <r>
    <x v="96"/>
    <n v="4704"/>
    <n v="32"/>
    <s v="Domestic"/>
    <s v="Home"/>
    <d v="2023-09-25T00:00:00"/>
    <x v="1"/>
    <x v="3"/>
  </r>
  <r>
    <x v="127"/>
    <n v="880.53000000000009"/>
    <n v="5.99"/>
    <s v="Domestic"/>
    <s v="Electronics"/>
    <d v="2023-09-18T00:00:00"/>
    <x v="1"/>
    <x v="3"/>
  </r>
  <r>
    <x v="127"/>
    <n v="880.53000000000009"/>
    <n v="5.99"/>
    <s v="Domestic"/>
    <s v="Electronics"/>
    <d v="2023-10-15T00:00:00"/>
    <x v="2"/>
    <x v="3"/>
  </r>
  <r>
    <x v="229"/>
    <n v="6615"/>
    <n v="45"/>
    <s v="Domestic"/>
    <s v="Food &amp; Beverages"/>
    <d v="2023-10-06T00:00:00"/>
    <x v="2"/>
    <x v="3"/>
  </r>
  <r>
    <x v="193"/>
    <n v="2646"/>
    <n v="18"/>
    <s v="Domestic"/>
    <s v="Food &amp; Beverages"/>
    <d v="2023-10-10T00:00:00"/>
    <x v="2"/>
    <x v="3"/>
  </r>
  <r>
    <x v="62"/>
    <n v="1911"/>
    <n v="13"/>
    <s v="Domestic"/>
    <s v="Food &amp; Beverages"/>
    <d v="2023-10-16T00:00:00"/>
    <x v="2"/>
    <x v="3"/>
  </r>
  <r>
    <x v="235"/>
    <n v="1176"/>
    <n v="8"/>
    <s v="Domestic"/>
    <s v="Home"/>
    <d v="2023-10-09T00:00:00"/>
    <x v="2"/>
    <x v="3"/>
  </r>
  <r>
    <x v="229"/>
    <n v="15582"/>
    <n v="106"/>
    <s v="Domestic"/>
    <s v="Food &amp; Beverages"/>
    <d v="2023-10-21T00:00:00"/>
    <x v="2"/>
    <x v="3"/>
  </r>
  <r>
    <x v="236"/>
    <n v="11613"/>
    <n v="79"/>
    <s v="Domestic"/>
    <s v="Home"/>
    <d v="2023-10-23T00:00:00"/>
    <x v="2"/>
    <x v="3"/>
  </r>
  <r>
    <x v="237"/>
    <n v="1468.53"/>
    <n v="9.99"/>
    <s v="Domestic"/>
    <s v="Home"/>
    <d v="2023-10-23T00:00:00"/>
    <x v="2"/>
    <x v="3"/>
  </r>
  <r>
    <x v="238"/>
    <n v="439.53000000000003"/>
    <n v="2.99"/>
    <s v="Domestic"/>
    <s v="Home"/>
    <d v="2023-10-23T00:00:00"/>
    <x v="2"/>
    <x v="3"/>
  </r>
  <r>
    <x v="239"/>
    <n v="366.03000000000003"/>
    <n v="2.4900000000000002"/>
    <s v="Domestic"/>
    <s v="Home"/>
    <d v="2023-10-23T00:00:00"/>
    <x v="2"/>
    <x v="3"/>
  </r>
  <r>
    <x v="240"/>
    <n v="395.43"/>
    <n v="2.69"/>
    <s v="Domestic"/>
    <s v="Food &amp; Beverages"/>
    <d v="2023-10-30T00:00:00"/>
    <x v="2"/>
    <x v="3"/>
  </r>
  <r>
    <x v="166"/>
    <n v="410.13"/>
    <n v="2.79"/>
    <s v="Domestic"/>
    <s v="Food &amp; Beverages"/>
    <d v="2023-10-30T00:00:00"/>
    <x v="2"/>
    <x v="3"/>
  </r>
  <r>
    <x v="241"/>
    <n v="514.5"/>
    <n v="3.5"/>
    <s v="Domestic"/>
    <s v="Food &amp; Beverages"/>
    <d v="2023-10-30T00:00:00"/>
    <x v="2"/>
    <x v="3"/>
  </r>
  <r>
    <x v="241"/>
    <n v="514.5"/>
    <n v="3.5"/>
    <s v="Domestic"/>
    <s v="Food &amp; Beverages"/>
    <d v="2023-10-30T00:00:00"/>
    <x v="2"/>
    <x v="3"/>
  </r>
  <r>
    <x v="242"/>
    <n v="1248.03"/>
    <n v="8.49"/>
    <s v="Domestic"/>
    <s v="Food &amp; Beverages"/>
    <d v="2023-10-30T00:00:00"/>
    <x v="2"/>
    <x v="3"/>
  </r>
  <r>
    <x v="243"/>
    <n v="1027.53"/>
    <n v="6.99"/>
    <s v="Domestic"/>
    <s v="Food &amp; Beverages"/>
    <d v="2023-10-30T00:00:00"/>
    <x v="2"/>
    <x v="3"/>
  </r>
  <r>
    <x v="244"/>
    <n v="441"/>
    <n v="3"/>
    <s v="Domestic"/>
    <s v="Home"/>
    <d v="2023-10-26T00:00:00"/>
    <x v="2"/>
    <x v="3"/>
  </r>
  <r>
    <x v="245"/>
    <n v="527.73"/>
    <n v="3.59"/>
    <s v="Heathcare"/>
    <s v="Health"/>
    <d v="2023-11-03T00:00:00"/>
    <x v="3"/>
    <x v="3"/>
  </r>
  <r>
    <x v="246"/>
    <n v="219.03"/>
    <n v="1.49"/>
    <s v="Heathcare"/>
    <s v="Health"/>
    <d v="2023-11-03T00:00:00"/>
    <x v="3"/>
    <x v="3"/>
  </r>
  <r>
    <x v="247"/>
    <n v="507.15000000000003"/>
    <n v="3.45"/>
    <s v="Heathcare"/>
    <s v="Health"/>
    <d v="2023-11-02T00:00:00"/>
    <x v="3"/>
    <x v="3"/>
  </r>
  <r>
    <x v="248"/>
    <n v="727.65"/>
    <n v="4.95"/>
    <s v="Heathcare"/>
    <s v="Health"/>
    <d v="2023-11-02T00:00:00"/>
    <x v="3"/>
    <x v="3"/>
  </r>
  <r>
    <x v="249"/>
    <n v="4851"/>
    <n v="33"/>
    <s v="Domestic"/>
    <s v="Food &amp; Beverages"/>
    <d v="2023-11-18T00:00:00"/>
    <x v="3"/>
    <x v="3"/>
  </r>
  <r>
    <x v="250"/>
    <n v="529.20000000000005"/>
    <n v="3.6"/>
    <s v="Heathcare"/>
    <s v="Health"/>
    <d v="2023-11-21T00:00:00"/>
    <x v="3"/>
    <x v="3"/>
  </r>
  <r>
    <x v="251"/>
    <n v="367.5"/>
    <n v="2.5"/>
    <s v="Domestic"/>
    <s v="Food &amp; Beverages"/>
    <d v="2023-11-17T00:00:00"/>
    <x v="3"/>
    <x v="3"/>
  </r>
  <r>
    <x v="251"/>
    <n v="367.5"/>
    <n v="2.5"/>
    <s v="Domestic"/>
    <s v="Food &amp; Beverages"/>
    <d v="2023-11-17T00:00:00"/>
    <x v="3"/>
    <x v="3"/>
  </r>
  <r>
    <x v="251"/>
    <n v="367.5"/>
    <n v="2.5"/>
    <s v="Domestic"/>
    <s v="Food &amp; Beverages"/>
    <d v="2023-11-17T00:00:00"/>
    <x v="3"/>
    <x v="3"/>
  </r>
  <r>
    <x v="251"/>
    <n v="367.5"/>
    <n v="2.5"/>
    <s v="Domestic"/>
    <s v="Food &amp; Beverages"/>
    <d v="2023-11-17T00:00:00"/>
    <x v="3"/>
    <x v="3"/>
  </r>
  <r>
    <x v="252"/>
    <n v="948.15"/>
    <n v="6.45"/>
    <s v="Domestic"/>
    <s v="Food &amp; Beverages"/>
    <d v="2023-11-17T00:00:00"/>
    <x v="3"/>
    <x v="3"/>
  </r>
  <r>
    <x v="253"/>
    <n v="1174.53"/>
    <n v="7.99"/>
    <s v="Domestic"/>
    <s v="Food &amp; Beverages"/>
    <d v="2023-11-17T00:00:00"/>
    <x v="3"/>
    <x v="3"/>
  </r>
  <r>
    <x v="254"/>
    <n v="1581.72"/>
    <n v="10.76"/>
    <s v="Domestic"/>
    <s v="Food &amp; Beverages"/>
    <d v="2023-11-17T00:00:00"/>
    <x v="3"/>
    <x v="3"/>
  </r>
  <r>
    <x v="255"/>
    <n v="2263.8000000000002"/>
    <n v="15.4"/>
    <s v="Domestic"/>
    <s v="Food &amp; Beverages"/>
    <d v="2023-11-29T00:00:00"/>
    <x v="3"/>
    <x v="3"/>
  </r>
  <r>
    <x v="146"/>
    <n v="12000"/>
    <n v="102.04081632653062"/>
    <s v="Government"/>
    <s v="Finance &amp; Economy"/>
    <d v="2023-11-30T00:00:00"/>
    <x v="3"/>
    <x v="3"/>
  </r>
  <r>
    <x v="256"/>
    <n v="147"/>
    <n v="1"/>
    <s v="Domestic"/>
    <s v="Food &amp; Beverages"/>
    <d v="2023-11-29T00:00:00"/>
    <x v="3"/>
    <x v="3"/>
  </r>
  <r>
    <x v="257"/>
    <n v="1323"/>
    <n v="9"/>
    <s v="Domestic"/>
    <s v="Food &amp; Beverages"/>
    <d v="2023-12-06T00:00:00"/>
    <x v="4"/>
    <x v="3"/>
  </r>
  <r>
    <x v="258"/>
    <n v="1248.03"/>
    <n v="8.49"/>
    <s v="Domestic"/>
    <s v="Food &amp; Beverages"/>
    <d v="2023-12-06T00:00:00"/>
    <x v="4"/>
    <x v="3"/>
  </r>
  <r>
    <x v="259"/>
    <n v="586.53000000000009"/>
    <n v="3.99"/>
    <s v="Domestic"/>
    <s v="Food &amp; Beverages"/>
    <d v="2023-12-06T00:00:00"/>
    <x v="4"/>
    <x v="3"/>
  </r>
  <r>
    <x v="259"/>
    <n v="586.53000000000009"/>
    <n v="3.99"/>
    <s v="Domestic"/>
    <s v="Food &amp; Beverages"/>
    <d v="2023-12-06T00:00:00"/>
    <x v="4"/>
    <x v="3"/>
  </r>
  <r>
    <x v="259"/>
    <n v="586.53000000000009"/>
    <n v="3.99"/>
    <s v="Domestic"/>
    <s v="Food &amp; Beverages"/>
    <d v="2023-12-06T00:00:00"/>
    <x v="4"/>
    <x v="3"/>
  </r>
  <r>
    <x v="259"/>
    <n v="586.53000000000009"/>
    <n v="3.99"/>
    <s v="Domestic"/>
    <s v="Food &amp; Beverages"/>
    <d v="2023-12-06T00:00:00"/>
    <x v="4"/>
    <x v="3"/>
  </r>
  <r>
    <x v="251"/>
    <n v="367.5"/>
    <n v="2.5"/>
    <s v="Domestic"/>
    <s v="Food &amp; Beverages"/>
    <d v="2023-12-06T00:00:00"/>
    <x v="4"/>
    <x v="3"/>
  </r>
  <r>
    <x v="251"/>
    <n v="367.5"/>
    <n v="2.5"/>
    <s v="Domestic"/>
    <s v="Food &amp; Beverages"/>
    <d v="2023-12-06T00:00:00"/>
    <x v="4"/>
    <x v="3"/>
  </r>
  <r>
    <x v="251"/>
    <n v="367.5"/>
    <n v="2.5"/>
    <s v="Domestic"/>
    <s v="Food &amp; Beverages"/>
    <d v="2023-12-06T00:00:00"/>
    <x v="4"/>
    <x v="3"/>
  </r>
  <r>
    <x v="251"/>
    <n v="367.5"/>
    <n v="2.5"/>
    <s v="Domestic"/>
    <s v="Food &amp; Beverages"/>
    <d v="2023-12-06T00:00:00"/>
    <x v="4"/>
    <x v="3"/>
  </r>
  <r>
    <x v="254"/>
    <n v="790.86"/>
    <n v="5.38"/>
    <s v="Domestic"/>
    <s v="Food &amp; Beverages"/>
    <d v="2023-12-06T00:00:00"/>
    <x v="4"/>
    <x v="3"/>
  </r>
  <r>
    <x v="260"/>
    <n v="5292"/>
    <n v="36"/>
    <s v="Gaming"/>
    <s v="Electronics"/>
    <d v="2023-12-05T00:00:00"/>
    <x v="4"/>
    <x v="3"/>
  </r>
  <r>
    <x v="144"/>
    <n v="4004.2799999999997"/>
    <n v="27.24"/>
    <s v="Gaming"/>
    <s v="Entertainment"/>
    <d v="2023-12-05T00:00:00"/>
    <x v="4"/>
    <x v="3"/>
  </r>
  <r>
    <x v="127"/>
    <n v="880.53000000000009"/>
    <n v="5.99"/>
    <s v="Domestic"/>
    <s v="Electronics"/>
    <d v="2023-11-15T00:00:00"/>
    <x v="3"/>
    <x v="3"/>
  </r>
  <r>
    <x v="22"/>
    <n v="7884"/>
    <n v="53.632653061224488"/>
    <s v="Insurance"/>
    <s v="Life Insurance"/>
    <d v="2023-11-28T00:00:00"/>
    <x v="3"/>
    <x v="3"/>
  </r>
  <r>
    <x v="152"/>
    <n v="57040"/>
    <n v="388.02721088435374"/>
    <s v="Bank"/>
    <s v="Banking"/>
    <d v="2023-11-25T00:00:00"/>
    <x v="3"/>
    <x v="3"/>
  </r>
  <r>
    <x v="22"/>
    <n v="7884"/>
    <n v="53.632653061224488"/>
    <s v="Insurance"/>
    <s v="Life Insurance"/>
    <d v="2023-02-28T00:00:00"/>
    <x v="6"/>
    <x v="3"/>
  </r>
  <r>
    <x v="22"/>
    <n v="7884"/>
    <n v="53.632653061224488"/>
    <s v="Insurance"/>
    <s v="Life Insurance"/>
    <d v="2023-10-28T00:00:00"/>
    <x v="2"/>
    <x v="3"/>
  </r>
  <r>
    <x v="152"/>
    <n v="57040"/>
    <n v="388.02721088435374"/>
    <s v="Bank"/>
    <s v="Banking"/>
    <d v="2023-10-25T00:00:00"/>
    <x v="2"/>
    <x v="3"/>
  </r>
  <r>
    <x v="247"/>
    <n v="507.15000000000003"/>
    <n v="3.45"/>
    <s v="Heathcare"/>
    <s v="Health"/>
    <d v="2023-12-10T00:00:00"/>
    <x v="4"/>
    <x v="3"/>
  </r>
  <r>
    <x v="139"/>
    <n v="1014.3000000000001"/>
    <n v="6.9"/>
    <s v="Heathcare"/>
    <s v="Health"/>
    <d v="2023-12-10T00:00:00"/>
    <x v="4"/>
    <x v="3"/>
  </r>
  <r>
    <x v="261"/>
    <n v="352.8"/>
    <n v="2.4"/>
    <s v="Domestic"/>
    <s v="Food &amp; Beverages"/>
    <d v="2023-12-07T00:00:00"/>
    <x v="4"/>
    <x v="3"/>
  </r>
  <r>
    <x v="262"/>
    <n v="485.09999999999997"/>
    <n v="3.3"/>
    <s v="Domestic"/>
    <s v="Food &amp; Beverages"/>
    <d v="2023-12-07T00:00:00"/>
    <x v="4"/>
    <x v="3"/>
  </r>
  <r>
    <x v="263"/>
    <n v="757.05000000000007"/>
    <n v="5.15"/>
    <s v="Domestic"/>
    <s v="Food &amp; Beverages"/>
    <d v="2023-12-07T00:00:00"/>
    <x v="4"/>
    <x v="3"/>
  </r>
  <r>
    <x v="263"/>
    <n v="757.05000000000007"/>
    <n v="5.15"/>
    <s v="Domestic"/>
    <s v="Food &amp; Beverages"/>
    <d v="2023-12-07T00:00:00"/>
    <x v="4"/>
    <x v="3"/>
  </r>
  <r>
    <x v="264"/>
    <n v="441"/>
    <n v="3"/>
    <s v="Domestic"/>
    <s v="Food &amp; Beverages"/>
    <d v="2023-12-07T00:00:00"/>
    <x v="4"/>
    <x v="3"/>
  </r>
  <r>
    <x v="265"/>
    <n v="455.7"/>
    <n v="3.1"/>
    <s v="Domestic"/>
    <s v="Food &amp; Beverages"/>
    <d v="2023-12-07T00:00:00"/>
    <x v="4"/>
    <x v="3"/>
  </r>
  <r>
    <x v="266"/>
    <n v="727.65"/>
    <n v="4.95"/>
    <s v="Domestic"/>
    <s v="Food &amp; Beverages"/>
    <d v="2023-12-07T00:00:00"/>
    <x v="4"/>
    <x v="3"/>
  </r>
  <r>
    <x v="267"/>
    <n v="220.5"/>
    <n v="1.5"/>
    <s v="Domestic"/>
    <s v="Food &amp; Beverages"/>
    <d v="2023-12-07T00:00:00"/>
    <x v="4"/>
    <x v="3"/>
  </r>
  <r>
    <x v="268"/>
    <n v="764.4"/>
    <n v="5.2"/>
    <s v="Domestic"/>
    <s v="Food &amp; Beverages"/>
    <d v="2023-12-07T00:00:00"/>
    <x v="4"/>
    <x v="3"/>
  </r>
  <r>
    <x v="230"/>
    <n v="808.5"/>
    <n v="5.5"/>
    <s v="Domestic"/>
    <s v="Food &amp; Beverages"/>
    <d v="2023-12-07T00:00:00"/>
    <x v="4"/>
    <x v="3"/>
  </r>
  <r>
    <x v="269"/>
    <n v="513.03000000000009"/>
    <n v="3.49"/>
    <s v="Domestic"/>
    <s v="Food &amp; Beverages"/>
    <d v="2023-12-13T00:00:00"/>
    <x v="4"/>
    <x v="3"/>
  </r>
  <r>
    <x v="269"/>
    <n v="513.03000000000009"/>
    <n v="3.49"/>
    <s v="Domestic"/>
    <s v="Food &amp; Beverages"/>
    <d v="2023-12-13T00:00:00"/>
    <x v="4"/>
    <x v="3"/>
  </r>
  <r>
    <x v="251"/>
    <n v="294"/>
    <n v="2"/>
    <s v="Domestic"/>
    <s v="Food &amp; Beverages"/>
    <d v="2023-12-13T00:00:00"/>
    <x v="4"/>
    <x v="3"/>
  </r>
  <r>
    <x v="251"/>
    <n v="294"/>
    <n v="2"/>
    <s v="Domestic"/>
    <s v="Food &amp; Beverages"/>
    <d v="2023-12-13T00:00:00"/>
    <x v="4"/>
    <x v="3"/>
  </r>
  <r>
    <x v="251"/>
    <n v="294"/>
    <n v="2"/>
    <s v="Domestic"/>
    <s v="Food &amp; Beverages"/>
    <d v="2023-12-13T00:00:00"/>
    <x v="4"/>
    <x v="3"/>
  </r>
  <r>
    <x v="251"/>
    <n v="294"/>
    <n v="2"/>
    <s v="Domestic"/>
    <s v="Food &amp; Beverages"/>
    <d v="2023-12-13T00:00:00"/>
    <x v="4"/>
    <x v="3"/>
  </r>
  <r>
    <x v="259"/>
    <n v="661.5"/>
    <n v="4.5"/>
    <s v="Domestic"/>
    <s v="Food &amp; Beverages"/>
    <d v="2023-12-13T00:00:00"/>
    <x v="4"/>
    <x v="3"/>
  </r>
  <r>
    <x v="259"/>
    <n v="661.5"/>
    <n v="4.5"/>
    <s v="Domestic"/>
    <s v="Food &amp; Beverages"/>
    <d v="2023-12-13T00:00:00"/>
    <x v="4"/>
    <x v="3"/>
  </r>
  <r>
    <x v="152"/>
    <n v="57040"/>
    <n v="388.02721088435374"/>
    <s v="Bank"/>
    <s v="Banking"/>
    <d v="2023-12-25T00:00:00"/>
    <x v="4"/>
    <x v="3"/>
  </r>
  <r>
    <x v="22"/>
    <n v="7884"/>
    <n v="53.632653061224488"/>
    <s v="Insurance"/>
    <s v="Life Insurance"/>
    <d v="2023-12-28T00:00:00"/>
    <x v="4"/>
    <x v="3"/>
  </r>
  <r>
    <x v="127"/>
    <n v="880.53000000000009"/>
    <n v="5.99"/>
    <s v="Domestic"/>
    <s v="Electronics"/>
    <d v="2023-12-15T00:00:00"/>
    <x v="4"/>
    <x v="3"/>
  </r>
  <r>
    <x v="270"/>
    <n v="160.23000000000002"/>
    <n v="1.0900000000000001"/>
    <s v="Home"/>
    <s v="Home"/>
    <d v="2023-12-31T00:00:00"/>
    <x v="4"/>
    <x v="3"/>
  </r>
  <r>
    <x v="271"/>
    <n v="998.13"/>
    <n v="6.79"/>
    <s v="Home"/>
    <s v="Home"/>
    <d v="2023-12-31T00:00:00"/>
    <x v="4"/>
    <x v="3"/>
  </r>
  <r>
    <x v="272"/>
    <n v="233.73000000000002"/>
    <n v="1.59"/>
    <s v="Domestic"/>
    <s v="Food &amp; Beverages"/>
    <d v="2023-12-31T00:00:00"/>
    <x v="4"/>
    <x v="3"/>
  </r>
  <r>
    <x v="272"/>
    <n v="233.73000000000002"/>
    <n v="1.59"/>
    <s v="Domestic"/>
    <s v="Food &amp; Beverages"/>
    <d v="2023-12-31T00:00:00"/>
    <x v="4"/>
    <x v="3"/>
  </r>
  <r>
    <x v="273"/>
    <n v="1027.53"/>
    <n v="6.99"/>
    <s v="Home"/>
    <s v="Home"/>
    <d v="2023-12-31T00:00:00"/>
    <x v="4"/>
    <x v="3"/>
  </r>
  <r>
    <x v="274"/>
    <n v="615.93000000000006"/>
    <n v="4.1900000000000004"/>
    <s v="Home"/>
    <s v="Home"/>
    <d v="2023-12-31T00:00:00"/>
    <x v="4"/>
    <x v="3"/>
  </r>
  <r>
    <x v="275"/>
    <n v="771.75"/>
    <n v="5.25"/>
    <s v="Heathcare"/>
    <s v="Health"/>
    <d v="2024-01-01T00:00:00"/>
    <x v="5"/>
    <x v="4"/>
  </r>
  <r>
    <x v="276"/>
    <n v="352.8"/>
    <n v="2.4"/>
    <s v="Heathcare"/>
    <s v="Health"/>
    <d v="2024-01-01T00:00:00"/>
    <x v="5"/>
    <x v="4"/>
  </r>
  <r>
    <x v="277"/>
    <n v="352.8"/>
    <n v="2.4"/>
    <s v="Heathcare"/>
    <s v="Health"/>
    <d v="2024-01-01T00:00:00"/>
    <x v="5"/>
    <x v="4"/>
  </r>
  <r>
    <x v="262"/>
    <n v="485.09999999999997"/>
    <n v="3.3"/>
    <s v="Domestic"/>
    <s v="Food &amp; Beverages"/>
    <d v="2023-12-19T00:00:00"/>
    <x v="4"/>
    <x v="3"/>
  </r>
  <r>
    <x v="262"/>
    <n v="485.09999999999997"/>
    <n v="3.3"/>
    <s v="Domestic"/>
    <s v="Food &amp; Beverages"/>
    <d v="2023-12-19T00:00:00"/>
    <x v="4"/>
    <x v="3"/>
  </r>
  <r>
    <x v="265"/>
    <n v="227.85"/>
    <n v="1.55"/>
    <s v="Domestic"/>
    <s v="Food &amp; Beverages"/>
    <d v="2023-12-19T00:00:00"/>
    <x v="4"/>
    <x v="3"/>
  </r>
  <r>
    <x v="278"/>
    <n v="338.09999999999997"/>
    <n v="2.2999999999999998"/>
    <s v="Domestic"/>
    <s v="Food &amp; Beverages"/>
    <d v="2023-12-19T00:00:00"/>
    <x v="4"/>
    <x v="3"/>
  </r>
  <r>
    <x v="279"/>
    <n v="2056.5300000000002"/>
    <n v="13.99"/>
    <s v="Domestic"/>
    <s v="Food &amp; Beverages"/>
    <d v="2023-12-28T00:00:00"/>
    <x v="4"/>
    <x v="3"/>
  </r>
  <r>
    <x v="280"/>
    <n v="439.53000000000003"/>
    <n v="2.99"/>
    <s v="Domestic"/>
    <s v="Food &amp; Beverages"/>
    <d v="2023-12-28T00:00:00"/>
    <x v="4"/>
    <x v="3"/>
  </r>
  <r>
    <x v="262"/>
    <n v="513.03000000000009"/>
    <n v="3.49"/>
    <s v="Domestic"/>
    <s v="Food &amp; Beverages"/>
    <d v="2023-12-28T00:00:00"/>
    <x v="4"/>
    <x v="3"/>
  </r>
  <r>
    <x v="281"/>
    <n v="1248.03"/>
    <n v="8.49"/>
    <s v="Domestic"/>
    <s v="Food &amp; Beverages"/>
    <d v="2023-12-28T00:00:00"/>
    <x v="4"/>
    <x v="3"/>
  </r>
  <r>
    <x v="251"/>
    <n v="367.5"/>
    <n v="2.5"/>
    <s v="Domestic"/>
    <s v="Food &amp; Beverages"/>
    <d v="2023-12-28T00:00:00"/>
    <x v="4"/>
    <x v="3"/>
  </r>
  <r>
    <x v="251"/>
    <n v="367.5"/>
    <n v="2.5"/>
    <s v="Domestic"/>
    <s v="Food &amp; Beverages"/>
    <d v="2023-12-28T00:00:00"/>
    <x v="4"/>
    <x v="3"/>
  </r>
  <r>
    <x v="251"/>
    <n v="367.5"/>
    <n v="2.5"/>
    <s v="Domestic"/>
    <s v="Food &amp; Beverages"/>
    <d v="2023-12-28T00:00:00"/>
    <x v="4"/>
    <x v="3"/>
  </r>
  <r>
    <x v="251"/>
    <n v="367.5"/>
    <n v="2.5"/>
    <s v="Domestic"/>
    <s v="Food &amp; Beverages"/>
    <d v="2023-12-28T00:00:00"/>
    <x v="4"/>
    <x v="3"/>
  </r>
  <r>
    <x v="272"/>
    <n v="233.73000000000002"/>
    <n v="1.59"/>
    <s v="Domestic"/>
    <s v="Food &amp; Beverages"/>
    <d v="2023-12-28T00:00:00"/>
    <x v="4"/>
    <x v="3"/>
  </r>
  <r>
    <x v="182"/>
    <n v="5145"/>
    <n v="35"/>
    <s v="Domestic"/>
    <s v="Transportation"/>
    <d v="2024-01-04T00:00:00"/>
    <x v="5"/>
    <x v="4"/>
  </r>
  <r>
    <x v="249"/>
    <n v="2352"/>
    <n v="16"/>
    <s v="Domestic"/>
    <s v="Food &amp; Beverages"/>
    <d v="2024-01-05T00:00:00"/>
    <x v="5"/>
    <x v="4"/>
  </r>
  <r>
    <x v="237"/>
    <n v="2793"/>
    <n v="19"/>
    <s v="Education"/>
    <s v="School"/>
    <d v="2024-01-05T00:00:00"/>
    <x v="5"/>
    <x v="4"/>
  </r>
  <r>
    <x v="282"/>
    <n v="2205"/>
    <n v="15"/>
    <s v="Heathcare"/>
    <s v="Health"/>
    <d v="2024-01-05T00:00:00"/>
    <x v="5"/>
    <x v="4"/>
  </r>
  <r>
    <x v="62"/>
    <n v="1040"/>
    <n v="7.074829931972789"/>
    <s v="Domestic"/>
    <s v="Food &amp; Beverages"/>
    <d v="2024-01-06T00:00:00"/>
    <x v="5"/>
    <x v="4"/>
  </r>
  <r>
    <x v="257"/>
    <n v="588"/>
    <n v="4"/>
    <s v="Domestic"/>
    <s v="Food &amp; Beverages"/>
    <d v="2024-01-05T00:00:00"/>
    <x v="5"/>
    <x v="4"/>
  </r>
  <r>
    <x v="7"/>
    <n v="363"/>
    <n v="2.4693877551020407"/>
    <s v="Domestic"/>
    <s v="Home"/>
    <d v="2024-01-07T00:00:00"/>
    <x v="5"/>
    <x v="4"/>
  </r>
  <r>
    <x v="7"/>
    <n v="363"/>
    <n v="2.4693877551020407"/>
    <s v="Domestic"/>
    <s v="Home"/>
    <d v="2024-01-07T00:00:00"/>
    <x v="5"/>
    <x v="4"/>
  </r>
  <r>
    <x v="283"/>
    <n v="835"/>
    <n v="5.6802721088435373"/>
    <s v="Domestic"/>
    <s v="Home"/>
    <d v="2024-01-07T00:00:00"/>
    <x v="5"/>
    <x v="4"/>
  </r>
  <r>
    <x v="283"/>
    <n v="835"/>
    <n v="5.6802721088435373"/>
    <s v="Domestic"/>
    <s v="Home"/>
    <d v="2024-01-07T00:00:00"/>
    <x v="5"/>
    <x v="4"/>
  </r>
  <r>
    <x v="284"/>
    <n v="1000"/>
    <n v="6.8027210884353737"/>
    <s v="Domestic"/>
    <s v="Electronics"/>
    <d v="2024-01-09T00:00:00"/>
    <x v="5"/>
    <x v="4"/>
  </r>
  <r>
    <x v="159"/>
    <n v="38203"/>
    <n v="259.88435374149662"/>
    <s v="Domestic"/>
    <s v=" Car Maintenance"/>
    <d v="2024-01-10T00:00:00"/>
    <x v="5"/>
    <x v="4"/>
  </r>
  <r>
    <x v="285"/>
    <n v="100"/>
    <n v="0.68027210884353739"/>
    <s v="Education"/>
    <s v="School"/>
    <d v="2024-01-13T00:00:00"/>
    <x v="5"/>
    <x v="4"/>
  </r>
  <r>
    <x v="169"/>
    <n v="950"/>
    <n v="6.4625850340136051"/>
    <s v="Domestic"/>
    <s v="Food &amp; Beverages"/>
    <d v="2024-01-13T00:00:00"/>
    <x v="5"/>
    <x v="4"/>
  </r>
  <r>
    <x v="286"/>
    <n v="1300"/>
    <n v="8.8435374149659864"/>
    <s v="Domestic"/>
    <s v="Food &amp; Beverages"/>
    <d v="2024-01-13T00:00:00"/>
    <x v="5"/>
    <x v="4"/>
  </r>
  <r>
    <x v="88"/>
    <n v="1000"/>
    <n v="6.8027210884353737"/>
    <s v="Domestic"/>
    <s v="Transportation"/>
    <d v="2024-01-11T00:00:00"/>
    <x v="5"/>
    <x v="4"/>
  </r>
  <r>
    <x v="287"/>
    <n v="43000"/>
    <n v="292.51700680272108"/>
    <s v="Education"/>
    <s v="School"/>
    <d v="2024-01-11T00:00:00"/>
    <x v="5"/>
    <x v="4"/>
  </r>
  <r>
    <x v="72"/>
    <n v="1700"/>
    <n v="11.564625850340136"/>
    <s v="Domestic"/>
    <s v="Food &amp; Beverages"/>
    <d v="2024-01-12T00:00:00"/>
    <x v="5"/>
    <x v="4"/>
  </r>
  <r>
    <x v="288"/>
    <n v="43"/>
    <n v="0.29251700680272108"/>
    <s v="Domestic"/>
    <s v="Food &amp; Beverages"/>
    <d v="2024-01-15T00:00:00"/>
    <x v="5"/>
    <x v="4"/>
  </r>
  <r>
    <x v="288"/>
    <n v="43"/>
    <n v="0.29251700680272108"/>
    <s v="Domestic"/>
    <s v="Food &amp; Beverages"/>
    <d v="2024-01-15T00:00:00"/>
    <x v="5"/>
    <x v="4"/>
  </r>
  <r>
    <x v="289"/>
    <n v="460"/>
    <n v="3.129251700680272"/>
    <s v="Domestic"/>
    <s v="Food &amp; Beverages"/>
    <d v="2024-01-15T00:00:00"/>
    <x v="5"/>
    <x v="4"/>
  </r>
  <r>
    <x v="290"/>
    <n v="130"/>
    <n v="0.88435374149659862"/>
    <s v="Domestic"/>
    <s v="Food &amp; Beverages"/>
    <d v="2024-01-15T00:00:00"/>
    <x v="5"/>
    <x v="4"/>
  </r>
  <r>
    <x v="291"/>
    <n v="670"/>
    <n v="4.5578231292517009"/>
    <s v="Domestic"/>
    <s v="Food &amp; Beverages"/>
    <d v="2024-01-15T00:00:00"/>
    <x v="5"/>
    <x v="4"/>
  </r>
  <r>
    <x v="292"/>
    <n v="970"/>
    <n v="6.5986394557823127"/>
    <s v="Domestic"/>
    <s v="Food &amp; Beverages"/>
    <d v="2024-01-15T00:00:00"/>
    <x v="5"/>
    <x v="4"/>
  </r>
  <r>
    <x v="293"/>
    <n v="330"/>
    <n v="2.2448979591836733"/>
    <s v="Heathcare"/>
    <s v="Health"/>
    <d v="2024-01-15T00:00:00"/>
    <x v="5"/>
    <x v="4"/>
  </r>
  <r>
    <x v="294"/>
    <n v="330"/>
    <n v="2.2448979591836733"/>
    <s v="Domestic"/>
    <s v="Food &amp; Beverages"/>
    <d v="2024-01-15T00:00:00"/>
    <x v="5"/>
    <x v="4"/>
  </r>
  <r>
    <x v="88"/>
    <n v="3000"/>
    <n v="20.408163265306122"/>
    <s v="Domestic"/>
    <s v="Transportation"/>
    <d v="2024-01-20T00:00:00"/>
    <x v="5"/>
    <x v="4"/>
  </r>
  <r>
    <x v="136"/>
    <n v="1700"/>
    <n v="11.564625850340136"/>
    <s v="Domestic"/>
    <s v="Food &amp; Beverages"/>
    <d v="2024-01-17T00:00:00"/>
    <x v="5"/>
    <x v="4"/>
  </r>
  <r>
    <x v="136"/>
    <n v="1700"/>
    <n v="11.564625850340136"/>
    <s v="Domestic"/>
    <s v="Food &amp; Beverages"/>
    <d v="2024-01-19T00:00:00"/>
    <x v="5"/>
    <x v="4"/>
  </r>
  <r>
    <x v="295"/>
    <n v="5000"/>
    <n v="34.013605442176868"/>
    <s v="Domestic"/>
    <s v="Home"/>
    <d v="2024-01-20T00:00:00"/>
    <x v="5"/>
    <x v="4"/>
  </r>
  <r>
    <x v="296"/>
    <n v="12000"/>
    <n v="81.632653061224488"/>
    <s v="Domestic"/>
    <s v="Home"/>
    <d v="2024-01-20T00:00:00"/>
    <x v="5"/>
    <x v="4"/>
  </r>
  <r>
    <x v="297"/>
    <n v="16300"/>
    <n v="110.8843537414966"/>
    <s v="Domestic"/>
    <s v="Transportation"/>
    <d v="2024-01-20T00:00:00"/>
    <x v="5"/>
    <x v="4"/>
  </r>
  <r>
    <x v="298"/>
    <n v="600"/>
    <n v="4.0816326530612246"/>
    <s v="Domestic"/>
    <s v="Home"/>
    <d v="2024-01-20T00:00:00"/>
    <x v="5"/>
    <x v="4"/>
  </r>
  <r>
    <x v="299"/>
    <n v="800"/>
    <n v="5.4421768707482991"/>
    <s v="Domestic"/>
    <s v="Home"/>
    <d v="2024-01-20T00:00:00"/>
    <x v="5"/>
    <x v="4"/>
  </r>
  <r>
    <x v="300"/>
    <n v="1300"/>
    <n v="8.8435374149659864"/>
    <s v="Domestic"/>
    <s v="Food &amp; Beverages"/>
    <d v="2024-01-20T00:00:00"/>
    <x v="5"/>
    <x v="4"/>
  </r>
  <r>
    <x v="283"/>
    <n v="800"/>
    <n v="5.4421768707482991"/>
    <s v="Domestic"/>
    <s v="Home"/>
    <d v="2024-01-20T00:00:00"/>
    <x v="5"/>
    <x v="4"/>
  </r>
  <r>
    <x v="301"/>
    <n v="800"/>
    <n v="5.4421768707482991"/>
    <s v="Domestic"/>
    <s v="Home"/>
    <d v="2024-01-20T00:00:00"/>
    <x v="5"/>
    <x v="4"/>
  </r>
  <r>
    <x v="301"/>
    <n v="800"/>
    <n v="5.4421768707482991"/>
    <s v="Domestic"/>
    <s v="Home"/>
    <d v="2024-01-20T00:00:00"/>
    <x v="5"/>
    <x v="4"/>
  </r>
  <r>
    <x v="281"/>
    <n v="1000"/>
    <n v="6.8027210884353737"/>
    <s v="Domestic"/>
    <s v="Food &amp; Beverages"/>
    <d v="2024-01-20T00:00:00"/>
    <x v="5"/>
    <x v="4"/>
  </r>
  <r>
    <x v="302"/>
    <n v="400"/>
    <n v="2.7210884353741496"/>
    <s v="Domestic"/>
    <s v="Food &amp; Beverages"/>
    <d v="2024-01-20T00:00:00"/>
    <x v="5"/>
    <x v="4"/>
  </r>
  <r>
    <x v="303"/>
    <n v="3000"/>
    <n v="20.408163265306122"/>
    <s v="Domestic"/>
    <s v="Food &amp; Beverages"/>
    <d v="2024-01-20T00:00:00"/>
    <x v="5"/>
    <x v="4"/>
  </r>
  <r>
    <x v="304"/>
    <n v="500"/>
    <n v="3.4013605442176869"/>
    <s v="Domestic"/>
    <s v="Food &amp; Beverages"/>
    <d v="2024-01-17T00:00:00"/>
    <x v="5"/>
    <x v="4"/>
  </r>
  <r>
    <x v="305"/>
    <n v="33348.85"/>
    <n v="226.86292517006802"/>
    <s v="Domestic"/>
    <s v="Home"/>
    <d v="2024-01-20T00:00:00"/>
    <x v="5"/>
    <x v="4"/>
  </r>
  <r>
    <x v="306"/>
    <n v="27598.85"/>
    <n v="187.74727891156462"/>
    <s v="Domestic"/>
    <s v="Home"/>
    <d v="2024-01-20T00:00:00"/>
    <x v="5"/>
    <x v="4"/>
  </r>
  <r>
    <x v="307"/>
    <n v="39673"/>
    <n v="269.88435374149662"/>
    <s v="Domestic"/>
    <s v="Home"/>
    <d v="2024-01-20T00:00:00"/>
    <x v="5"/>
    <x v="4"/>
  </r>
  <r>
    <x v="308"/>
    <n v="2037"/>
    <n v="13.857142857142858"/>
    <s v="Domestic"/>
    <s v="Food &amp; Beverages"/>
    <d v="2024-01-22T00:00:00"/>
    <x v="5"/>
    <x v="4"/>
  </r>
  <r>
    <x v="309"/>
    <n v="2731"/>
    <n v="18.578231292517007"/>
    <s v="Domestic"/>
    <s v="Food &amp; Beverages"/>
    <d v="2024-01-22T00:00:00"/>
    <x v="5"/>
    <x v="4"/>
  </r>
  <r>
    <x v="247"/>
    <n v="891"/>
    <n v="6.0612244897959187"/>
    <s v="Heathcare"/>
    <s v="Health"/>
    <d v="2024-01-22T00:00:00"/>
    <x v="5"/>
    <x v="4"/>
  </r>
  <r>
    <x v="247"/>
    <n v="891"/>
    <n v="6.0612244897959187"/>
    <s v="Heathcare"/>
    <s v="Health"/>
    <d v="2024-01-22T00:00:00"/>
    <x v="5"/>
    <x v="4"/>
  </r>
  <r>
    <x v="310"/>
    <n v="300"/>
    <n v="2.0408163265306123"/>
    <s v="Domestic"/>
    <s v="Electronics"/>
    <d v="2024-01-24T00:00:00"/>
    <x v="5"/>
    <x v="4"/>
  </r>
  <r>
    <x v="311"/>
    <n v="550"/>
    <n v="3.7414965986394559"/>
    <s v="Domestic"/>
    <s v="Electronics"/>
    <d v="2024-01-24T00:00:00"/>
    <x v="5"/>
    <x v="4"/>
  </r>
  <r>
    <x v="47"/>
    <n v="1200"/>
    <n v="8.1632653061224492"/>
    <s v="Domestic"/>
    <s v="Food &amp; Beverages"/>
    <d v="2024-01-24T00:00:00"/>
    <x v="5"/>
    <x v="4"/>
  </r>
  <r>
    <x v="88"/>
    <n v="3000"/>
    <n v="20.408163265306122"/>
    <s v="Domestic"/>
    <s v="Transportation"/>
    <d v="2024-01-24T00:00:00"/>
    <x v="5"/>
    <x v="4"/>
  </r>
  <r>
    <x v="88"/>
    <n v="1700"/>
    <n v="11.564625850340136"/>
    <s v="Domestic"/>
    <s v="Transportation"/>
    <d v="2024-01-27T00:00:00"/>
    <x v="5"/>
    <x v="4"/>
  </r>
  <r>
    <x v="312"/>
    <n v="3200"/>
    <n v="21.768707482993197"/>
    <s v="Heathcare"/>
    <s v="Health"/>
    <d v="2024-01-19T00:00:00"/>
    <x v="5"/>
    <x v="4"/>
  </r>
  <r>
    <x v="313"/>
    <n v="1200"/>
    <n v="8.1632653061224492"/>
    <s v="Heathcare"/>
    <s v="Health"/>
    <d v="2024-01-27T00:00:00"/>
    <x v="5"/>
    <x v="4"/>
  </r>
  <r>
    <x v="314"/>
    <n v="2200"/>
    <n v="14.965986394557824"/>
    <s v="Domestic"/>
    <s v="Home"/>
    <d v="2024-01-27T00:00:00"/>
    <x v="5"/>
    <x v="4"/>
  </r>
  <r>
    <x v="91"/>
    <n v="2050"/>
    <n v="13.945578231292517"/>
    <s v="Domestic"/>
    <s v="Transportation"/>
    <d v="2024-01-28T00:00:00"/>
    <x v="5"/>
    <x v="4"/>
  </r>
  <r>
    <x v="315"/>
    <n v="2400"/>
    <n v="16.326530612244898"/>
    <s v="Heathcare"/>
    <s v="Health"/>
    <d v="2024-01-21T00:00:00"/>
    <x v="5"/>
    <x v="4"/>
  </r>
  <r>
    <x v="316"/>
    <n v="600"/>
    <n v="4.0816326530612246"/>
    <s v="Heathcare"/>
    <s v="Health"/>
    <d v="2024-01-21T00:00:00"/>
    <x v="5"/>
    <x v="4"/>
  </r>
  <r>
    <x v="317"/>
    <n v="500"/>
    <n v="3.4013605442176869"/>
    <s v="Heathcare"/>
    <s v="Health"/>
    <d v="2024-01-21T00:00:00"/>
    <x v="5"/>
    <x v="4"/>
  </r>
  <r>
    <x v="318"/>
    <n v="600"/>
    <n v="4.0816326530612246"/>
    <s v="Heathcare"/>
    <s v="Health"/>
    <d v="2024-01-21T00:00:00"/>
    <x v="5"/>
    <x v="4"/>
  </r>
  <r>
    <x v="319"/>
    <n v="600"/>
    <n v="4.0816326530612246"/>
    <s v="Heathcare"/>
    <s v="Health"/>
    <d v="2024-01-21T00:00:00"/>
    <x v="5"/>
    <x v="4"/>
  </r>
  <r>
    <x v="320"/>
    <n v="700"/>
    <n v="4.7619047619047619"/>
    <s v="Heathcare"/>
    <s v="Health"/>
    <d v="2024-01-21T00:00:00"/>
    <x v="5"/>
    <x v="4"/>
  </r>
  <r>
    <x v="321"/>
    <n v="2500"/>
    <n v="17.006802721088434"/>
    <s v="Heathcare"/>
    <s v="Health"/>
    <d v="2024-01-21T00:00:00"/>
    <x v="5"/>
    <x v="4"/>
  </r>
  <r>
    <x v="322"/>
    <n v="100"/>
    <n v="0.68027210884353739"/>
    <s v="Heathcare"/>
    <s v="Health"/>
    <d v="2024-01-21T00:00:00"/>
    <x v="5"/>
    <x v="4"/>
  </r>
  <r>
    <x v="323"/>
    <n v="800"/>
    <n v="5.4421768707482991"/>
    <s v="Heathcare"/>
    <s v="Health"/>
    <d v="2024-01-21T00:00:00"/>
    <x v="5"/>
    <x v="4"/>
  </r>
  <r>
    <x v="324"/>
    <n v="300"/>
    <n v="2.0408163265306123"/>
    <s v="Heathcare"/>
    <s v="Health"/>
    <d v="2024-01-21T00:00:00"/>
    <x v="5"/>
    <x v="4"/>
  </r>
  <r>
    <x v="325"/>
    <n v="400"/>
    <n v="2.7210884353741496"/>
    <s v="Heathcare"/>
    <s v="Health"/>
    <d v="2024-01-21T00:00:00"/>
    <x v="5"/>
    <x v="4"/>
  </r>
  <r>
    <x v="326"/>
    <n v="800"/>
    <n v="5.4421768707482991"/>
    <s v="Heathcare"/>
    <s v="Health"/>
    <d v="2024-01-21T00:00:00"/>
    <x v="5"/>
    <x v="4"/>
  </r>
  <r>
    <x v="327"/>
    <n v="600"/>
    <n v="4.0816326530612246"/>
    <s v="Heathcare"/>
    <s v="Health"/>
    <d v="2024-01-21T00:00:00"/>
    <x v="5"/>
    <x v="4"/>
  </r>
  <r>
    <x v="328"/>
    <n v="1000"/>
    <n v="6.8027210884353737"/>
    <s v="Heathcare"/>
    <s v="Health"/>
    <d v="2024-01-21T00:00:00"/>
    <x v="5"/>
    <x v="4"/>
  </r>
  <r>
    <x v="329"/>
    <n v="270"/>
    <n v="1.8367346938775511"/>
    <s v="Heathcare"/>
    <s v="Health"/>
    <d v="2024-01-21T00:00:00"/>
    <x v="5"/>
    <x v="4"/>
  </r>
  <r>
    <x v="330"/>
    <n v="1000"/>
    <n v="6.8027210884353737"/>
    <s v="Heathcare"/>
    <s v="Health"/>
    <d v="2024-01-21T00:00:00"/>
    <x v="5"/>
    <x v="4"/>
  </r>
  <r>
    <x v="96"/>
    <n v="800"/>
    <n v="5.4421768707482991"/>
    <s v="Domestic"/>
    <s v="Home"/>
    <d v="2024-01-29T00:00:00"/>
    <x v="5"/>
    <x v="4"/>
  </r>
  <r>
    <x v="331"/>
    <n v="2934"/>
    <n v="19.959183673469386"/>
    <s v="Domestic"/>
    <s v="Home"/>
    <d v="2024-01-29T00:00:00"/>
    <x v="5"/>
    <x v="4"/>
  </r>
  <r>
    <x v="331"/>
    <n v="2934"/>
    <n v="19.959183673469386"/>
    <s v="Domestic"/>
    <s v="Home"/>
    <d v="2024-01-29T00:00:00"/>
    <x v="5"/>
    <x v="4"/>
  </r>
  <r>
    <x v="141"/>
    <n v="850"/>
    <n v="5.7823129251700678"/>
    <s v="Domestic"/>
    <s v="Food &amp; Beverages"/>
    <d v="2024-01-26T00:00:00"/>
    <x v="5"/>
    <x v="4"/>
  </r>
  <r>
    <x v="169"/>
    <n v="850"/>
    <n v="5.7823129251700678"/>
    <s v="Domestic"/>
    <s v="Food &amp; Beverages"/>
    <d v="2024-01-25T00:00:00"/>
    <x v="5"/>
    <x v="4"/>
  </r>
  <r>
    <x v="332"/>
    <n v="300"/>
    <n v="2.0408163265306123"/>
    <s v="Domestic"/>
    <s v="Food &amp; Beverages"/>
    <d v="2024-01-27T00:00:00"/>
    <x v="5"/>
    <x v="4"/>
  </r>
  <r>
    <x v="333"/>
    <n v="200"/>
    <n v="1.3605442176870748"/>
    <s v="Domestic"/>
    <s v="Transportation"/>
    <d v="2024-01-27T00:00:00"/>
    <x v="5"/>
    <x v="4"/>
  </r>
  <r>
    <x v="334"/>
    <n v="1000"/>
    <n v="6.8027210884353737"/>
    <s v="Domestic"/>
    <s v="Electronics"/>
    <d v="2024-01-31T00:00:00"/>
    <x v="5"/>
    <x v="4"/>
  </r>
  <r>
    <x v="102"/>
    <n v="560"/>
    <n v="3.8095238095238093"/>
    <s v="Domestic"/>
    <s v="Food &amp; Beverages"/>
    <d v="2024-02-01T00:00:00"/>
    <x v="6"/>
    <x v="4"/>
  </r>
  <r>
    <x v="72"/>
    <n v="1600"/>
    <n v="10.884353741496598"/>
    <s v="Domestic"/>
    <s v="Food &amp; Beverages"/>
    <d v="2024-01-30T00:00:00"/>
    <x v="5"/>
    <x v="4"/>
  </r>
  <r>
    <x v="335"/>
    <n v="100"/>
    <n v="0.68027210884353739"/>
    <s v="Domestic"/>
    <s v="Food &amp; Beverages"/>
    <d v="2024-01-30T00:00:00"/>
    <x v="5"/>
    <x v="4"/>
  </r>
  <r>
    <x v="289"/>
    <n v="200"/>
    <n v="1.3605442176870748"/>
    <s v="Domestic"/>
    <s v="Food &amp; Beverages"/>
    <d v="2024-01-30T00:00:00"/>
    <x v="5"/>
    <x v="4"/>
  </r>
  <r>
    <x v="22"/>
    <n v="7884"/>
    <n v="53.632653061224488"/>
    <s v="Insurance"/>
    <s v="Life Insurance"/>
    <d v="2024-01-28T00:00:00"/>
    <x v="5"/>
    <x v="4"/>
  </r>
  <r>
    <x v="88"/>
    <n v="3000"/>
    <n v="20.408163265306122"/>
    <s v="Domestic"/>
    <s v="Transportation"/>
    <d v="2024-01-31T00:00:00"/>
    <x v="5"/>
    <x v="4"/>
  </r>
  <r>
    <x v="72"/>
    <n v="1340"/>
    <n v="9.1156462585034017"/>
    <s v="Domestic"/>
    <s v="Food &amp; Beverages"/>
    <d v="2024-02-01T00:00:00"/>
    <x v="6"/>
    <x v="4"/>
  </r>
  <r>
    <x v="289"/>
    <n v="200"/>
    <n v="1.3605442176870748"/>
    <s v="Domestic"/>
    <s v="Food &amp; Beverages"/>
    <d v="2024-02-01T00:00:00"/>
    <x v="6"/>
    <x v="4"/>
  </r>
  <r>
    <x v="251"/>
    <n v="120"/>
    <n v="0.81632653061224492"/>
    <s v="Domestic"/>
    <s v="Food &amp; Beverages"/>
    <d v="2024-01-27T00:00:00"/>
    <x v="5"/>
    <x v="4"/>
  </r>
  <r>
    <x v="336"/>
    <n v="160"/>
    <n v="1.08843537414966"/>
    <s v="Domestic"/>
    <s v="Food &amp; Beverages"/>
    <d v="2024-01-27T00:00:00"/>
    <x v="5"/>
    <x v="4"/>
  </r>
  <r>
    <x v="337"/>
    <n v="1014"/>
    <n v="6.8979591836734695"/>
    <s v="Domestic"/>
    <s v="Home"/>
    <d v="2024-01-27T00:00:00"/>
    <x v="5"/>
    <x v="4"/>
  </r>
  <r>
    <x v="72"/>
    <n v="1700"/>
    <n v="11.564625850340136"/>
    <s v="Domestic"/>
    <s v="Food &amp; Beverages"/>
    <d v="2024-02-02T00:00:00"/>
    <x v="6"/>
    <x v="4"/>
  </r>
  <r>
    <x v="289"/>
    <n v="200"/>
    <n v="1.3605442176870748"/>
    <s v="Domestic"/>
    <s v="Food &amp; Beverages"/>
    <d v="2024-02-02T00:00:00"/>
    <x v="6"/>
    <x v="4"/>
  </r>
  <r>
    <x v="335"/>
    <n v="300"/>
    <n v="2.0408163265306123"/>
    <s v="Domestic"/>
    <s v="Food &amp; Beverages"/>
    <d v="2024-02-02T00:00:00"/>
    <x v="6"/>
    <x v="4"/>
  </r>
  <r>
    <x v="131"/>
    <n v="1500"/>
    <n v="10.204081632653061"/>
    <s v="Domestic"/>
    <s v="Transportation"/>
    <d v="2024-02-05T00:00:00"/>
    <x v="6"/>
    <x v="4"/>
  </r>
  <r>
    <x v="338"/>
    <n v="1000"/>
    <n v="6.8027210884353737"/>
    <s v="Domestic"/>
    <s v="Transportation"/>
    <d v="2024-02-05T00:00:00"/>
    <x v="6"/>
    <x v="4"/>
  </r>
  <r>
    <x v="339"/>
    <n v="500"/>
    <n v="3.4013605442176869"/>
    <s v="Domestic"/>
    <s v="Transportation"/>
    <d v="2024-02-05T00:00:00"/>
    <x v="6"/>
    <x v="4"/>
  </r>
  <r>
    <x v="290"/>
    <n v="780"/>
    <n v="5.3061224489795915"/>
    <s v="Domestic"/>
    <s v="Food &amp; Beverages"/>
    <d v="2024-02-05T00:00:00"/>
    <x v="6"/>
    <x v="4"/>
  </r>
  <r>
    <x v="340"/>
    <n v="116"/>
    <n v="0.78911564625850339"/>
    <s v="Domestic"/>
    <s v="Food &amp; Beverages"/>
    <d v="2024-02-05T00:00:00"/>
    <x v="6"/>
    <x v="4"/>
  </r>
  <r>
    <x v="341"/>
    <n v="5000"/>
    <n v="34.013605442176868"/>
    <s v="Domestic"/>
    <s v="Home"/>
    <d v="2024-02-06T00:00:00"/>
    <x v="6"/>
    <x v="4"/>
  </r>
  <r>
    <x v="342"/>
    <n v="6000"/>
    <n v="40.816326530612244"/>
    <s v="Domestic"/>
    <s v="Home"/>
    <d v="2024-02-06T00:00:00"/>
    <x v="6"/>
    <x v="4"/>
  </r>
  <r>
    <x v="343"/>
    <n v="1500"/>
    <n v="10.204081632653061"/>
    <s v="Domestic"/>
    <s v="Food &amp; Beverages"/>
    <d v="2024-02-06T00:00:00"/>
    <x v="6"/>
    <x v="4"/>
  </r>
  <r>
    <x v="344"/>
    <n v="1500"/>
    <n v="10.204081632653061"/>
    <s v="Domestic"/>
    <s v="Food &amp; Beverages"/>
    <d v="2024-02-06T00:00:00"/>
    <x v="6"/>
    <x v="4"/>
  </r>
  <r>
    <x v="136"/>
    <n v="900"/>
    <n v="6.1224489795918364"/>
    <s v="Domestic"/>
    <s v="Food &amp; Beverages"/>
    <d v="2024-02-06T00:00:00"/>
    <x v="6"/>
    <x v="4"/>
  </r>
  <r>
    <x v="47"/>
    <n v="1000"/>
    <n v="6.8027210884353737"/>
    <s v="Domestic"/>
    <s v="Food &amp; Beverages"/>
    <d v="2024-02-07T00:00:00"/>
    <x v="6"/>
    <x v="4"/>
  </r>
  <r>
    <x v="72"/>
    <n v="1000"/>
    <n v="6.8027210884353737"/>
    <s v="Domestic"/>
    <s v="Food &amp; Beverages"/>
    <d v="2024-02-07T00:00:00"/>
    <x v="6"/>
    <x v="4"/>
  </r>
  <r>
    <x v="28"/>
    <n v="25000"/>
    <n v="170.06802721088437"/>
    <s v="Government"/>
    <s v="Finance &amp; Economy"/>
    <d v="2024-01-27T00:00:00"/>
    <x v="5"/>
    <x v="4"/>
  </r>
  <r>
    <x v="141"/>
    <n v="850"/>
    <n v="5.7823129251700678"/>
    <s v="Domestic"/>
    <s v="Food &amp; Beverages"/>
    <d v="2024-02-09T00:00:00"/>
    <x v="6"/>
    <x v="4"/>
  </r>
  <r>
    <x v="345"/>
    <n v="1700"/>
    <n v="11.564625850340136"/>
    <s v="Domestic"/>
    <s v="Food &amp; Beverages"/>
    <d v="2024-02-09T00:00:00"/>
    <x v="6"/>
    <x v="4"/>
  </r>
  <r>
    <x v="88"/>
    <n v="3000"/>
    <n v="20.408163265306122"/>
    <s v="Domestic"/>
    <s v="Transportation"/>
    <d v="2024-02-09T00:00:00"/>
    <x v="6"/>
    <x v="4"/>
  </r>
  <r>
    <x v="346"/>
    <n v="300"/>
    <n v="2.0408163265306123"/>
    <s v="Domestic"/>
    <s v="Food &amp; Beverages"/>
    <d v="2024-02-10T00:00:00"/>
    <x v="6"/>
    <x v="4"/>
  </r>
  <r>
    <x v="316"/>
    <n v="600"/>
    <n v="4.0816326530612246"/>
    <s v="Domestic"/>
    <s v="Food &amp; Beverages"/>
    <d v="2024-02-10T00:00:00"/>
    <x v="6"/>
    <x v="4"/>
  </r>
  <r>
    <x v="317"/>
    <n v="300"/>
    <n v="2.0408163265306123"/>
    <s v="Domestic"/>
    <s v="Food &amp; Beverages"/>
    <d v="2024-02-10T00:00:00"/>
    <x v="6"/>
    <x v="4"/>
  </r>
  <r>
    <x v="318"/>
    <n v="900"/>
    <n v="6.1224489795918364"/>
    <s v="Domestic"/>
    <s v="Food &amp; Beverages"/>
    <d v="2024-02-10T00:00:00"/>
    <x v="6"/>
    <x v="4"/>
  </r>
  <r>
    <x v="319"/>
    <n v="300"/>
    <n v="2.0408163265306123"/>
    <s v="Domestic"/>
    <s v="Food &amp; Beverages"/>
    <d v="2024-02-10T00:00:00"/>
    <x v="6"/>
    <x v="4"/>
  </r>
  <r>
    <x v="347"/>
    <n v="1200"/>
    <n v="8.1632653061224492"/>
    <s v="Domestic"/>
    <s v="Food &amp; Beverages"/>
    <d v="2024-02-10T00:00:00"/>
    <x v="6"/>
    <x v="4"/>
  </r>
  <r>
    <x v="324"/>
    <n v="300"/>
    <n v="2.0408163265306123"/>
    <s v="Domestic"/>
    <s v="Food &amp; Beverages"/>
    <d v="2024-02-10T00:00:00"/>
    <x v="6"/>
    <x v="4"/>
  </r>
  <r>
    <x v="325"/>
    <n v="400"/>
    <n v="2.7210884353741496"/>
    <s v="Domestic"/>
    <s v="Food &amp; Beverages"/>
    <d v="2024-02-10T00:00:00"/>
    <x v="6"/>
    <x v="4"/>
  </r>
  <r>
    <x v="326"/>
    <n v="750"/>
    <n v="5.1020408163265305"/>
    <s v="Domestic"/>
    <s v="Food &amp; Beverages"/>
    <d v="2024-02-10T00:00:00"/>
    <x v="6"/>
    <x v="4"/>
  </r>
  <r>
    <x v="327"/>
    <n v="600"/>
    <n v="4.0816326530612246"/>
    <s v="Domestic"/>
    <s v="Food &amp; Beverages"/>
    <d v="2024-02-10T00:00:00"/>
    <x v="6"/>
    <x v="4"/>
  </r>
  <r>
    <x v="348"/>
    <n v="600"/>
    <n v="4.0816326530612246"/>
    <s v="Domestic"/>
    <s v="Food &amp; Beverages"/>
    <d v="2024-02-10T00:00:00"/>
    <x v="6"/>
    <x v="4"/>
  </r>
  <r>
    <x v="328"/>
    <n v="1000"/>
    <n v="6.8027210884353737"/>
    <s v="Domestic"/>
    <s v="Food &amp; Beverages"/>
    <d v="2024-02-10T00:00:00"/>
    <x v="6"/>
    <x v="4"/>
  </r>
  <r>
    <x v="349"/>
    <n v="1000"/>
    <n v="6.8027210884353737"/>
    <s v="Domestic"/>
    <s v="Food &amp; Beverages"/>
    <d v="2024-02-10T00:00:00"/>
    <x v="6"/>
    <x v="4"/>
  </r>
  <r>
    <x v="329"/>
    <n v="750"/>
    <n v="5.1020408163265305"/>
    <s v="Domestic"/>
    <s v="Food &amp; Beverages"/>
    <d v="2024-02-10T00:00:00"/>
    <x v="6"/>
    <x v="4"/>
  </r>
  <r>
    <x v="290"/>
    <n v="163"/>
    <n v="1.1088435374149659"/>
    <s v="Domestic"/>
    <s v="Food &amp; Beverages"/>
    <d v="2024-02-13T00:00:00"/>
    <x v="6"/>
    <x v="4"/>
  </r>
  <r>
    <x v="336"/>
    <n v="240"/>
    <n v="1.6326530612244898"/>
    <s v="Domestic"/>
    <s v="Food &amp; Beverages"/>
    <d v="2024-02-13T00:00:00"/>
    <x v="6"/>
    <x v="4"/>
  </r>
  <r>
    <x v="350"/>
    <n v="345"/>
    <n v="2.3469387755102042"/>
    <s v="Domestic"/>
    <s v="Food &amp; Beverages"/>
    <d v="2024-02-13T00:00:00"/>
    <x v="6"/>
    <x v="4"/>
  </r>
  <r>
    <x v="336"/>
    <n v="240"/>
    <n v="1.6326530612244898"/>
    <s v="Domestic"/>
    <s v="Food &amp; Beverages"/>
    <d v="2024-02-13T00:00:00"/>
    <x v="6"/>
    <x v="4"/>
  </r>
  <r>
    <x v="351"/>
    <n v="4800"/>
    <n v="32.653061224489797"/>
    <s v="Domestic"/>
    <s v="Food &amp; Beverages"/>
    <d v="2024-02-15T00:00:00"/>
    <x v="6"/>
    <x v="4"/>
  </r>
  <r>
    <x v="166"/>
    <n v="5900"/>
    <n v="40.136054421768705"/>
    <s v="Domestic"/>
    <s v="Food &amp; Beverages"/>
    <d v="2024-02-15T00:00:00"/>
    <x v="6"/>
    <x v="4"/>
  </r>
  <r>
    <x v="352"/>
    <n v="2200"/>
    <n v="14.965986394557824"/>
    <s v="Domestic"/>
    <s v="Food &amp; Beverages"/>
    <d v="2024-02-15T00:00:00"/>
    <x v="6"/>
    <x v="4"/>
  </r>
  <r>
    <x v="353"/>
    <n v="900"/>
    <n v="6.1224489795918364"/>
    <s v="Domestic"/>
    <s v="Food &amp; Beverages"/>
    <d v="2024-02-15T00:00:00"/>
    <x v="6"/>
    <x v="4"/>
  </r>
  <r>
    <x v="353"/>
    <n v="900"/>
    <n v="6.1224489795918364"/>
    <s v="Domestic"/>
    <s v="Food &amp; Beverages"/>
    <d v="2024-02-15T00:00:00"/>
    <x v="6"/>
    <x v="4"/>
  </r>
  <r>
    <x v="47"/>
    <n v="3000"/>
    <n v="20.408163265306122"/>
    <s v="Domestic"/>
    <s v="Food &amp; Beverages"/>
    <d v="2024-02-15T00:00:00"/>
    <x v="6"/>
    <x v="4"/>
  </r>
  <r>
    <x v="141"/>
    <n v="1500"/>
    <n v="10.204081632653061"/>
    <s v="Domestic"/>
    <s v="Food &amp; Beverages"/>
    <d v="2024-02-16T00:00:00"/>
    <x v="6"/>
    <x v="4"/>
  </r>
  <r>
    <x v="62"/>
    <n v="1000"/>
    <n v="6.8027210884353737"/>
    <s v="Domestic"/>
    <s v="Food &amp; Beverages"/>
    <d v="2024-02-17T00:00:00"/>
    <x v="6"/>
    <x v="4"/>
  </r>
  <r>
    <x v="127"/>
    <n v="880.53000000000009"/>
    <n v="5.99"/>
    <s v="Domestic"/>
    <s v="Electronics"/>
    <d v="2024-01-15T00:00:00"/>
    <x v="5"/>
    <x v="4"/>
  </r>
  <r>
    <x v="127"/>
    <n v="880.53000000000009"/>
    <n v="5.99"/>
    <s v="Domestic"/>
    <s v="Electronics"/>
    <d v="2024-02-15T00:00:00"/>
    <x v="6"/>
    <x v="4"/>
  </r>
  <r>
    <x v="354"/>
    <n v="40000"/>
    <n v="272.10884353741494"/>
    <s v="Heathcare"/>
    <s v="Health"/>
    <d v="2024-02-20T00:00:00"/>
    <x v="6"/>
    <x v="4"/>
  </r>
  <r>
    <x v="88"/>
    <n v="3000"/>
    <n v="20.408163265306122"/>
    <s v="Domestic"/>
    <s v="Transportation"/>
    <d v="2024-02-16T00:00:00"/>
    <x v="6"/>
    <x v="4"/>
  </r>
  <r>
    <x v="290"/>
    <n v="850"/>
    <n v="5.7823129251700678"/>
    <s v="Domestic"/>
    <s v="Food &amp; Beverages"/>
    <d v="2024-02-21T00:00:00"/>
    <x v="6"/>
    <x v="4"/>
  </r>
  <r>
    <x v="355"/>
    <n v="600"/>
    <n v="4.0816326530612246"/>
    <s v="Domestic"/>
    <s v="Food &amp; Beverages"/>
    <d v="2024-02-21T00:00:00"/>
    <x v="6"/>
    <x v="4"/>
  </r>
  <r>
    <x v="141"/>
    <n v="850"/>
    <n v="5.7823129251700678"/>
    <s v="Domestic"/>
    <s v="Food &amp; Beverages"/>
    <d v="2024-02-23T00:00:00"/>
    <x v="6"/>
    <x v="4"/>
  </r>
  <r>
    <x v="172"/>
    <n v="700"/>
    <n v="4.7619047619047619"/>
    <s v="Domestic"/>
    <s v="Food &amp; Beverages"/>
    <d v="2024-02-23T00:00:00"/>
    <x v="6"/>
    <x v="4"/>
  </r>
  <r>
    <x v="356"/>
    <n v="1350"/>
    <n v="9.183673469387756"/>
    <s v="Heathcare"/>
    <s v="Health"/>
    <d v="2024-02-26T00:00:00"/>
    <x v="6"/>
    <x v="4"/>
  </r>
  <r>
    <x v="357"/>
    <n v="1200"/>
    <n v="8.1632653061224492"/>
    <s v="Heathcare"/>
    <s v="Health"/>
    <d v="2024-02-26T00:00:00"/>
    <x v="6"/>
    <x v="4"/>
  </r>
  <r>
    <x v="358"/>
    <n v="1090"/>
    <n v="7.4149659863945576"/>
    <s v="Heathcare"/>
    <s v="Health"/>
    <d v="2024-02-26T00:00:00"/>
    <x v="6"/>
    <x v="4"/>
  </r>
  <r>
    <x v="359"/>
    <n v="815"/>
    <n v="5.5442176870748296"/>
    <s v="Heathcare"/>
    <s v="Health"/>
    <d v="2024-02-26T00:00:00"/>
    <x v="6"/>
    <x v="4"/>
  </r>
  <r>
    <x v="360"/>
    <n v="1070"/>
    <n v="7.27891156462585"/>
    <s v="Heathcare"/>
    <s v="Health"/>
    <d v="2024-02-26T00:00:00"/>
    <x v="6"/>
    <x v="4"/>
  </r>
  <r>
    <x v="72"/>
    <n v="1000"/>
    <n v="6.8027210884353737"/>
    <s v="Domestic"/>
    <s v="Food &amp; Beverages"/>
    <d v="2024-02-26T00:00:00"/>
    <x v="6"/>
    <x v="4"/>
  </r>
  <r>
    <x v="136"/>
    <n v="1000"/>
    <n v="6.8027210884353737"/>
    <s v="Domestic"/>
    <s v="Food &amp; Beverages"/>
    <d v="2024-02-26T00:00:00"/>
    <x v="6"/>
    <x v="4"/>
  </r>
  <r>
    <x v="361"/>
    <n v="2645"/>
    <n v="17.993197278911566"/>
    <s v="Domestic"/>
    <s v="Electronics"/>
    <d v="2024-02-26T00:00:00"/>
    <x v="6"/>
    <x v="4"/>
  </r>
  <r>
    <x v="88"/>
    <n v="3000"/>
    <n v="20.408163265306122"/>
    <s v="Domestic"/>
    <s v="Transportation"/>
    <d v="2024-02-26T00:00:00"/>
    <x v="6"/>
    <x v="4"/>
  </r>
  <r>
    <x v="362"/>
    <n v="2250"/>
    <n v="15.306122448979592"/>
    <s v="Domestic"/>
    <s v="Home"/>
    <d v="2024-02-21T00:00:00"/>
    <x v="6"/>
    <x v="4"/>
  </r>
  <r>
    <x v="152"/>
    <n v="57040"/>
    <n v="388.02721088435374"/>
    <s v="Bank"/>
    <s v="Banking"/>
    <d v="2024-02-25T00:00:00"/>
    <x v="6"/>
    <x v="4"/>
  </r>
  <r>
    <x v="97"/>
    <n v="15000"/>
    <n v="102.04081632653062"/>
    <s v="Heathcare"/>
    <s v="Health"/>
    <d v="2024-02-27T00:00:00"/>
    <x v="6"/>
    <x v="4"/>
  </r>
  <r>
    <x v="354"/>
    <n v="45000"/>
    <n v="306.12244897959181"/>
    <s v="Heathcare"/>
    <s v="Health"/>
    <d v="2024-02-27T00:00:00"/>
    <x v="6"/>
    <x v="4"/>
  </r>
  <r>
    <x v="28"/>
    <n v="25000"/>
    <n v="170.06802721088437"/>
    <s v="Domestic"/>
    <s v="Finance &amp; Economy"/>
    <d v="2024-02-25T00:00:00"/>
    <x v="6"/>
    <x v="4"/>
  </r>
  <r>
    <x v="22"/>
    <n v="7884"/>
    <n v="53.632653061224488"/>
    <s v="Insurance"/>
    <s v="Life Insurance"/>
    <d v="2024-02-28T00:00:00"/>
    <x v="6"/>
    <x v="4"/>
  </r>
  <r>
    <x v="363"/>
    <n v="900"/>
    <n v="6.1224489795918364"/>
    <s v="Domestic"/>
    <s v="Food &amp; Beverages"/>
    <d v="2024-02-29T00:00:00"/>
    <x v="6"/>
    <x v="4"/>
  </r>
  <r>
    <x v="363"/>
    <n v="900"/>
    <n v="6.1224489795918364"/>
    <s v="Domestic"/>
    <s v="Food &amp; Beverages"/>
    <d v="2024-03-01T00:00:00"/>
    <x v="7"/>
    <x v="4"/>
  </r>
  <r>
    <x v="363"/>
    <n v="900"/>
    <n v="6.1224489795918364"/>
    <s v="Domestic"/>
    <s v="Food &amp; Beverages"/>
    <d v="2024-03-02T00:00:00"/>
    <x v="7"/>
    <x v="4"/>
  </r>
  <r>
    <x v="88"/>
    <n v="2700"/>
    <n v="18.367346938775512"/>
    <s v="Domestic"/>
    <s v="Transportation"/>
    <d v="2024-03-05T00:00:00"/>
    <x v="7"/>
    <x v="4"/>
  </r>
  <r>
    <x v="293"/>
    <n v="270"/>
    <n v="1.8367346938775511"/>
    <s v="Heathcare"/>
    <s v="Health"/>
    <d v="2024-03-04T00:00:00"/>
    <x v="7"/>
    <x v="4"/>
  </r>
  <r>
    <x v="188"/>
    <n v="3750"/>
    <n v="25.510204081632654"/>
    <s v="Domestic"/>
    <s v="Electronics"/>
    <d v="2024-03-04T00:00:00"/>
    <x v="7"/>
    <x v="4"/>
  </r>
  <r>
    <x v="364"/>
    <n v="300"/>
    <n v="2.0408163265306123"/>
    <s v="Domestic"/>
    <s v="Food &amp; Beverages"/>
    <d v="2024-03-04T00:00:00"/>
    <x v="7"/>
    <x v="4"/>
  </r>
  <r>
    <x v="363"/>
    <n v="900"/>
    <n v="6.1224489795918364"/>
    <s v="Domestic"/>
    <s v="Food &amp; Beverages"/>
    <d v="2024-03-06T00:00:00"/>
    <x v="7"/>
    <x v="4"/>
  </r>
  <r>
    <x v="365"/>
    <n v="7000"/>
    <n v="47.61904761904762"/>
    <s v="Fun"/>
    <s v="Entertainment"/>
    <d v="2024-03-06T00:00:00"/>
    <x v="7"/>
    <x v="4"/>
  </r>
  <r>
    <x v="141"/>
    <n v="750"/>
    <n v="5.1020408163265305"/>
    <s v="Domestic"/>
    <s v="Food &amp; Beverages"/>
    <d v="2024-03-07T00:00:00"/>
    <x v="7"/>
    <x v="4"/>
  </r>
  <r>
    <x v="141"/>
    <n v="750"/>
    <n v="5.1020408163265305"/>
    <s v="Domestic"/>
    <s v="Food &amp; Beverages"/>
    <d v="2024-03-08T00:00:00"/>
    <x v="7"/>
    <x v="4"/>
  </r>
  <r>
    <x v="141"/>
    <n v="750"/>
    <n v="5.1020408163265305"/>
    <s v="Domestic"/>
    <s v="Food &amp; Beverages"/>
    <d v="2024-03-09T00:00:00"/>
    <x v="7"/>
    <x v="4"/>
  </r>
  <r>
    <x v="352"/>
    <n v="282"/>
    <n v="1.9183673469387754"/>
    <s v="Domestic"/>
    <s v="Food &amp; Beverages"/>
    <d v="2024-03-09T00:00:00"/>
    <x v="7"/>
    <x v="4"/>
  </r>
  <r>
    <x v="366"/>
    <n v="250"/>
    <n v="1.7006802721088434"/>
    <s v="Domestic"/>
    <s v="Food &amp; Beverages"/>
    <d v="2024-03-09T00:00:00"/>
    <x v="7"/>
    <x v="4"/>
  </r>
  <r>
    <x v="367"/>
    <n v="120"/>
    <n v="0.81632653061224492"/>
    <s v="Domestic"/>
    <s v="Food &amp; Beverages"/>
    <d v="2024-03-09T00:00:00"/>
    <x v="7"/>
    <x v="4"/>
  </r>
  <r>
    <x v="368"/>
    <n v="2000"/>
    <n v="13.605442176870747"/>
    <s v="Domestic"/>
    <s v="Electronics"/>
    <d v="2024-03-07T00:00:00"/>
    <x v="7"/>
    <x v="4"/>
  </r>
  <r>
    <x v="368"/>
    <n v="2000"/>
    <n v="13.605442176870747"/>
    <s v="Domestic"/>
    <s v="Electronics"/>
    <d v="2024-03-08T00:00:00"/>
    <x v="7"/>
    <x v="4"/>
  </r>
  <r>
    <x v="363"/>
    <n v="850"/>
    <n v="5.7823129251700678"/>
    <s v="Domestic"/>
    <s v="Food &amp; Beverages"/>
    <d v="2024-03-11T00:00:00"/>
    <x v="7"/>
    <x v="4"/>
  </r>
  <r>
    <x v="316"/>
    <n v="500"/>
    <n v="3.4013605442176869"/>
    <s v="Domestic"/>
    <s v="Food &amp; Beverages"/>
    <d v="2024-03-08T00:00:00"/>
    <x v="7"/>
    <x v="4"/>
  </r>
  <r>
    <x v="281"/>
    <n v="350"/>
    <n v="2.3809523809523809"/>
    <s v="Domestic"/>
    <s v="Food &amp; Beverages"/>
    <d v="2024-03-08T00:00:00"/>
    <x v="7"/>
    <x v="4"/>
  </r>
  <r>
    <x v="335"/>
    <n v="500"/>
    <n v="3.4013605442176869"/>
    <s v="Domestic"/>
    <s v="Food &amp; Beverages"/>
    <d v="2024-03-11T00:00:00"/>
    <x v="7"/>
    <x v="4"/>
  </r>
  <r>
    <x v="289"/>
    <n v="200"/>
    <n v="1.3605442176870748"/>
    <s v="Domestic"/>
    <s v="Food &amp; Beverages"/>
    <d v="2024-03-12T00:00:00"/>
    <x v="7"/>
    <x v="4"/>
  </r>
  <r>
    <x v="369"/>
    <n v="300"/>
    <n v="2.0408163265306123"/>
    <s v="Domestic"/>
    <s v="Food &amp; Beverages"/>
    <d v="2024-03-12T00:00:00"/>
    <x v="7"/>
    <x v="4"/>
  </r>
  <r>
    <x v="370"/>
    <n v="500"/>
    <n v="3.4013605442176869"/>
    <s v="Domestic"/>
    <s v="Food &amp; Beverages"/>
    <d v="2024-03-12T00:00:00"/>
    <x v="7"/>
    <x v="4"/>
  </r>
  <r>
    <x v="367"/>
    <n v="150"/>
    <n v="1.0204081632653061"/>
    <s v="Domestic"/>
    <s v="Food &amp; Beverages"/>
    <d v="2024-03-12T00:00:00"/>
    <x v="7"/>
    <x v="4"/>
  </r>
  <r>
    <x v="290"/>
    <n v="900"/>
    <n v="6.1224489795918364"/>
    <s v="Domestic"/>
    <s v="Food &amp; Beverages"/>
    <d v="2024-03-12T00:00:00"/>
    <x v="7"/>
    <x v="4"/>
  </r>
  <r>
    <x v="141"/>
    <n v="750"/>
    <n v="5.1020408163265305"/>
    <s v="Domestic"/>
    <s v="Food &amp; Beverages"/>
    <d v="2024-03-14T00:00:00"/>
    <x v="7"/>
    <x v="4"/>
  </r>
  <r>
    <x v="369"/>
    <n v="300"/>
    <n v="2.0408163265306123"/>
    <s v="Domestic"/>
    <s v="Food &amp; Beverages"/>
    <d v="2024-03-13T00:00:00"/>
    <x v="7"/>
    <x v="4"/>
  </r>
  <r>
    <x v="335"/>
    <n v="100"/>
    <n v="0.68027210884353739"/>
    <s v="Domestic"/>
    <s v="Food &amp; Beverages"/>
    <d v="2024-03-13T00:00:00"/>
    <x v="7"/>
    <x v="4"/>
  </r>
  <r>
    <x v="371"/>
    <n v="600"/>
    <n v="4.0816326530612246"/>
    <s v="Domestic"/>
    <s v="Food &amp; Beverages"/>
    <d v="2024-03-13T00:00:00"/>
    <x v="7"/>
    <x v="4"/>
  </r>
  <r>
    <x v="19"/>
    <n v="4000"/>
    <n v="27.210884353741495"/>
    <s v="Heathcare"/>
    <s v="Health"/>
    <d v="2024-03-14T00:00:00"/>
    <x v="7"/>
    <x v="4"/>
  </r>
  <r>
    <x v="20"/>
    <n v="600"/>
    <n v="4.0816326530612246"/>
    <s v="Heathcare"/>
    <s v="Health"/>
    <d v="2024-03-14T00:00:00"/>
    <x v="7"/>
    <x v="4"/>
  </r>
  <r>
    <x v="363"/>
    <n v="900"/>
    <n v="6.1224489795918364"/>
    <s v="Domestic"/>
    <s v="Food &amp; Beverages"/>
    <d v="2024-03-15T00:00:00"/>
    <x v="7"/>
    <x v="4"/>
  </r>
  <r>
    <x v="352"/>
    <n v="250"/>
    <n v="1.7006802721088434"/>
    <s v="Domestic"/>
    <s v="Food &amp; Beverages"/>
    <d v="2024-03-15T00:00:00"/>
    <x v="7"/>
    <x v="4"/>
  </r>
  <r>
    <x v="127"/>
    <n v="940.43000000000006"/>
    <n v="5.99"/>
    <s v="Domestic"/>
    <s v="Electronics"/>
    <d v="2024-03-15T00:00:00"/>
    <x v="7"/>
    <x v="4"/>
  </r>
  <r>
    <x v="144"/>
    <n v="4317.5"/>
    <n v="27.5"/>
    <s v="Gaming"/>
    <s v="Entertainment"/>
    <d v="2024-03-15T00:00:00"/>
    <x v="7"/>
    <x v="4"/>
  </r>
  <r>
    <x v="372"/>
    <n v="9106"/>
    <n v="58"/>
    <s v="Education"/>
    <s v="School"/>
    <d v="2024-03-15T00:00:00"/>
    <x v="7"/>
    <x v="4"/>
  </r>
  <r>
    <x v="165"/>
    <n v="1000"/>
    <n v="6.8027210884353737"/>
    <s v="Domestic"/>
    <s v="Food &amp; Beverages"/>
    <d v="2024-03-16T00:00:00"/>
    <x v="7"/>
    <x v="4"/>
  </r>
  <r>
    <x v="88"/>
    <n v="3000"/>
    <n v="20.408163265306122"/>
    <s v="Domestic"/>
    <s v="Transportation"/>
    <d v="2024-03-16T00:00:00"/>
    <x v="7"/>
    <x v="4"/>
  </r>
  <r>
    <x v="62"/>
    <n v="1050"/>
    <n v="7.1428571428571432"/>
    <s v="Domestic"/>
    <s v="Food &amp; Beverages"/>
    <d v="2024-03-17T00:00:00"/>
    <x v="7"/>
    <x v="4"/>
  </r>
  <r>
    <x v="91"/>
    <n v="1700"/>
    <n v="11.564625850340136"/>
    <s v="Domestic"/>
    <s v="Transportation"/>
    <d v="2024-03-16T00:00:00"/>
    <x v="7"/>
    <x v="4"/>
  </r>
  <r>
    <x v="91"/>
    <n v="1300"/>
    <n v="8.8435374149659864"/>
    <s v="Domestic"/>
    <s v="Transportation"/>
    <d v="2024-03-16T00:00:00"/>
    <x v="7"/>
    <x v="4"/>
  </r>
  <r>
    <x v="165"/>
    <n v="1000"/>
    <n v="6.8027210884353737"/>
    <s v="Domestic"/>
    <s v="Food &amp; Beverages"/>
    <d v="2024-03-18T00:00:00"/>
    <x v="7"/>
    <x v="4"/>
  </r>
  <r>
    <x v="169"/>
    <n v="950"/>
    <n v="6.4625850340136051"/>
    <s v="Domestic"/>
    <s v="Food &amp; Beverages"/>
    <d v="2024-03-18T00:00:00"/>
    <x v="7"/>
    <x v="4"/>
  </r>
  <r>
    <x v="363"/>
    <n v="900"/>
    <n v="6.1224489795918364"/>
    <s v="Domestic"/>
    <s v="Food &amp; Beverages"/>
    <d v="2024-03-19T00:00:00"/>
    <x v="7"/>
    <x v="4"/>
  </r>
  <r>
    <x v="281"/>
    <n v="1900"/>
    <n v="12.92517006802721"/>
    <s v="Domestic"/>
    <s v="Food &amp; Beverages"/>
    <d v="2024-03-20T00:00:00"/>
    <x v="7"/>
    <x v="4"/>
  </r>
  <r>
    <x v="331"/>
    <n v="3000"/>
    <n v="20.408163265306122"/>
    <s v="Domestic"/>
    <s v="Home"/>
    <d v="2024-03-20T00:00:00"/>
    <x v="7"/>
    <x v="4"/>
  </r>
  <r>
    <x v="312"/>
    <n v="3000"/>
    <n v="20.408163265306122"/>
    <s v="Domestic"/>
    <s v="Food &amp; Beverages"/>
    <d v="2024-03-20T00:00:00"/>
    <x v="7"/>
    <x v="4"/>
  </r>
  <r>
    <x v="281"/>
    <n v="1050"/>
    <n v="7.1428571428571432"/>
    <s v="Domestic"/>
    <s v="Food &amp; Beverages"/>
    <d v="2024-03-21T00:00:00"/>
    <x v="7"/>
    <x v="4"/>
  </r>
  <r>
    <x v="368"/>
    <n v="1323"/>
    <n v="9"/>
    <s v="Domestic"/>
    <s v="Electronics"/>
    <d v="2024-03-17T00:00:00"/>
    <x v="7"/>
    <x v="4"/>
  </r>
  <r>
    <x v="117"/>
    <n v="882"/>
    <n v="6"/>
    <s v="Domestic"/>
    <s v="Electronics"/>
    <d v="2024-03-17T00:00:00"/>
    <x v="7"/>
    <x v="4"/>
  </r>
  <r>
    <x v="139"/>
    <n v="3528"/>
    <n v="24"/>
    <s v="Heathcare"/>
    <s v="Health"/>
    <d v="2024-03-17T00:00:00"/>
    <x v="7"/>
    <x v="4"/>
  </r>
  <r>
    <x v="224"/>
    <n v="6400"/>
    <n v="43.537414965986393"/>
    <s v="Domestic"/>
    <s v="Electronics"/>
    <d v="2024-03-21T00:00:00"/>
    <x v="7"/>
    <x v="4"/>
  </r>
  <r>
    <x v="152"/>
    <n v="57040"/>
    <n v="388.02721088435374"/>
    <s v="Bank"/>
    <s v="Banking"/>
    <d v="2024-03-21T00:00:00"/>
    <x v="7"/>
    <x v="4"/>
  </r>
  <r>
    <x v="28"/>
    <n v="25000"/>
    <n v="170.06802721088437"/>
    <s v="Government"/>
    <s v="Finance &amp; Economy"/>
    <d v="2024-03-21T00:00:00"/>
    <x v="7"/>
    <x v="4"/>
  </r>
  <r>
    <x v="367"/>
    <n v="130"/>
    <n v="0.88435374149659862"/>
    <s v="Domestic"/>
    <s v="Food &amp; Beverages"/>
    <d v="2024-03-22T00:00:00"/>
    <x v="7"/>
    <x v="4"/>
  </r>
  <r>
    <x v="373"/>
    <n v="670"/>
    <n v="4.5578231292517009"/>
    <s v="Domestic"/>
    <s v="Food &amp; Beverages"/>
    <d v="2024-03-22T00:00:00"/>
    <x v="7"/>
    <x v="4"/>
  </r>
  <r>
    <x v="373"/>
    <n v="670"/>
    <n v="4.5578231292517009"/>
    <s v="Domestic"/>
    <s v="Food &amp; Beverages"/>
    <d v="2024-03-22T00:00:00"/>
    <x v="7"/>
    <x v="4"/>
  </r>
  <r>
    <x v="373"/>
    <n v="670"/>
    <n v="4.5578231292517009"/>
    <s v="Domestic"/>
    <s v="Food &amp; Beverages"/>
    <d v="2024-03-22T00:00:00"/>
    <x v="7"/>
    <x v="4"/>
  </r>
  <r>
    <x v="19"/>
    <n v="2500"/>
    <n v="17.006802721088434"/>
    <s v="Heathcare"/>
    <s v="Health"/>
    <d v="2024-03-22T00:00:00"/>
    <x v="7"/>
    <x v="4"/>
  </r>
  <r>
    <x v="20"/>
    <n v="4500"/>
    <n v="30.612244897959183"/>
    <s v="Heathcare"/>
    <s v="Health"/>
    <d v="2024-03-22T00:00:00"/>
    <x v="7"/>
    <x v="4"/>
  </r>
  <r>
    <x v="363"/>
    <n v="850"/>
    <n v="5.7823129251700678"/>
    <s v="Domestic"/>
    <s v="Food &amp; Beverages"/>
    <d v="2024-03-22T00:00:00"/>
    <x v="7"/>
    <x v="4"/>
  </r>
  <r>
    <x v="180"/>
    <n v="5878.5300000000007"/>
    <n v="39.99"/>
    <s v="Education"/>
    <s v="School"/>
    <d v="2024-03-22T00:00:00"/>
    <x v="7"/>
    <x v="4"/>
  </r>
  <r>
    <x v="169"/>
    <n v="960"/>
    <n v="6.5306122448979593"/>
    <s v="Domestic"/>
    <s v="Food &amp; Beverages"/>
    <d v="2024-03-22T00:00:00"/>
    <x v="7"/>
    <x v="4"/>
  </r>
  <r>
    <x v="88"/>
    <n v="3000"/>
    <n v="20.408163265306122"/>
    <s v="Domestic"/>
    <s v="Transportation"/>
    <d v="2024-03-23T00:00:00"/>
    <x v="7"/>
    <x v="4"/>
  </r>
  <r>
    <x v="318"/>
    <n v="600"/>
    <n v="4.0816326530612246"/>
    <s v="Domestic"/>
    <s v="Food &amp; Beverages"/>
    <d v="2024-03-23T00:00:00"/>
    <x v="7"/>
    <x v="4"/>
  </r>
  <r>
    <x v="319"/>
    <n v="300"/>
    <n v="2.0408163265306123"/>
    <s v="Domestic"/>
    <s v="Food &amp; Beverages"/>
    <d v="2024-03-23T00:00:00"/>
    <x v="7"/>
    <x v="4"/>
  </r>
  <r>
    <x v="324"/>
    <n v="300"/>
    <n v="2.0408163265306123"/>
    <s v="Domestic"/>
    <s v="Food &amp; Beverages"/>
    <d v="2024-03-23T00:00:00"/>
    <x v="7"/>
    <x v="4"/>
  </r>
  <r>
    <x v="320"/>
    <n v="300"/>
    <n v="2.0408163265306123"/>
    <s v="Domestic"/>
    <s v="Food &amp; Beverages"/>
    <d v="2024-03-23T00:00:00"/>
    <x v="7"/>
    <x v="4"/>
  </r>
  <r>
    <x v="349"/>
    <n v="600"/>
    <n v="4.0816326530612246"/>
    <s v="Domestic"/>
    <s v="Food &amp; Beverages"/>
    <d v="2024-03-23T00:00:00"/>
    <x v="7"/>
    <x v="4"/>
  </r>
  <r>
    <x v="374"/>
    <n v="300"/>
    <n v="2.0408163265306123"/>
    <s v="Domestic"/>
    <s v="Food &amp; Beverages"/>
    <d v="2024-03-23T00:00:00"/>
    <x v="7"/>
    <x v="4"/>
  </r>
  <r>
    <x v="326"/>
    <n v="480"/>
    <n v="3.2653061224489797"/>
    <s v="Domestic"/>
    <s v="Food &amp; Beverages"/>
    <d v="2024-03-23T00:00:00"/>
    <x v="7"/>
    <x v="4"/>
  </r>
  <r>
    <x v="375"/>
    <n v="150"/>
    <n v="1.0204081632653061"/>
    <s v="Domestic"/>
    <s v="Food &amp; Beverages"/>
    <d v="2024-03-23T00:00:00"/>
    <x v="7"/>
    <x v="4"/>
  </r>
  <r>
    <x v="330"/>
    <n v="800"/>
    <n v="5.4421768707482991"/>
    <s v="Domestic"/>
    <s v="Food &amp; Beverages"/>
    <d v="2024-03-23T00:00:00"/>
    <x v="7"/>
    <x v="4"/>
  </r>
  <r>
    <x v="102"/>
    <n v="600"/>
    <n v="4.0816326530612246"/>
    <s v="Domestic"/>
    <s v="Food &amp; Beverages"/>
    <d v="2024-03-23T00:00:00"/>
    <x v="7"/>
    <x v="4"/>
  </r>
  <r>
    <x v="136"/>
    <n v="960"/>
    <n v="6.5306122448979593"/>
    <s v="Domestic"/>
    <s v="Food &amp; Beverages"/>
    <d v="2024-03-23T00:00:00"/>
    <x v="7"/>
    <x v="4"/>
  </r>
  <r>
    <x v="376"/>
    <n v="4800"/>
    <n v="32.653061224489797"/>
    <s v="Heathcare"/>
    <s v="Health"/>
    <d v="2024-03-26T00:00:00"/>
    <x v="7"/>
    <x v="4"/>
  </r>
  <r>
    <x v="377"/>
    <n v="2000"/>
    <n v="13.605442176870747"/>
    <s v="Heathcare"/>
    <s v="Health"/>
    <d v="2024-03-26T00:00:00"/>
    <x v="7"/>
    <x v="4"/>
  </r>
  <r>
    <x v="102"/>
    <n v="350"/>
    <n v="2.3809523809523809"/>
    <s v="Domestic"/>
    <s v="Food &amp; Beverages"/>
    <d v="2024-03-27T00:00:00"/>
    <x v="7"/>
    <x v="4"/>
  </r>
  <r>
    <x v="345"/>
    <n v="950"/>
    <n v="6.4625850340136051"/>
    <s v="Domestic"/>
    <s v="Food &amp; Beverages"/>
    <d v="2024-03-26T00:00:00"/>
    <x v="7"/>
    <x v="4"/>
  </r>
  <r>
    <x v="62"/>
    <n v="1610"/>
    <n v="10.952380952380953"/>
    <s v="Domestic"/>
    <s v="Food &amp; Beverages"/>
    <d v="2024-03-25T00:00:00"/>
    <x v="7"/>
    <x v="4"/>
  </r>
  <r>
    <x v="88"/>
    <n v="3000"/>
    <n v="20.408163265306122"/>
    <s v="Domestic"/>
    <s v="Transportation"/>
    <d v="2024-03-27T00:00:00"/>
    <x v="7"/>
    <x v="4"/>
  </r>
  <r>
    <x v="378"/>
    <n v="1120"/>
    <n v="7.6190476190476186"/>
    <s v="Domestic"/>
    <s v="Food &amp; Beverages"/>
    <d v="2024-03-27T00:00:00"/>
    <x v="7"/>
    <x v="4"/>
  </r>
  <r>
    <x v="370"/>
    <n v="344"/>
    <n v="2.3401360544217686"/>
    <s v="Domestic"/>
    <s v="Food &amp; Beverages"/>
    <d v="2024-03-27T00:00:00"/>
    <x v="7"/>
    <x v="4"/>
  </r>
  <r>
    <x v="281"/>
    <n v="1050"/>
    <n v="7.1428571428571432"/>
    <s v="Domestic"/>
    <s v="Food &amp; Beverages"/>
    <d v="2024-03-26T00:00:00"/>
    <x v="7"/>
    <x v="4"/>
  </r>
  <r>
    <x v="281"/>
    <n v="1050"/>
    <n v="7.1428571428571432"/>
    <s v="Domestic"/>
    <s v="Food &amp; Beverages"/>
    <d v="2024-03-27T00:00:00"/>
    <x v="7"/>
    <x v="4"/>
  </r>
  <r>
    <x v="379"/>
    <n v="10000"/>
    <n v="68.027210884353735"/>
    <s v="Heathcare"/>
    <s v="Health"/>
    <d v="2024-03-30T00:00:00"/>
    <x v="7"/>
    <x v="4"/>
  </r>
  <r>
    <x v="354"/>
    <n v="35000"/>
    <n v="238.0952380952381"/>
    <s v="Heathcare"/>
    <s v="Health"/>
    <d v="2024-03-30T00:00:00"/>
    <x v="7"/>
    <x v="4"/>
  </r>
  <r>
    <x v="380"/>
    <n v="2500"/>
    <n v="17.006802721088434"/>
    <s v="Heathcare"/>
    <s v="Health"/>
    <d v="2024-03-30T00:00:00"/>
    <x v="7"/>
    <x v="4"/>
  </r>
  <r>
    <x v="88"/>
    <n v="3000"/>
    <n v="20.408163265306122"/>
    <s v="Domestic"/>
    <s v="Transportation"/>
    <d v="2024-03-30T00:00:00"/>
    <x v="7"/>
    <x v="4"/>
  </r>
  <r>
    <x v="381"/>
    <n v="8000"/>
    <n v="54.42176870748299"/>
    <s v="Domestic"/>
    <s v="Electronics"/>
    <d v="2024-03-28T00:00:00"/>
    <x v="7"/>
    <x v="4"/>
  </r>
  <r>
    <x v="62"/>
    <n v="1150"/>
    <n v="7.8231292517006805"/>
    <s v="Domestic"/>
    <s v="Food &amp; Beverages"/>
    <d v="2024-03-30T00:00:00"/>
    <x v="7"/>
    <x v="4"/>
  </r>
  <r>
    <x v="22"/>
    <n v="7884"/>
    <n v="53.632653061224488"/>
    <s v="Insurance"/>
    <s v="Life Insurance"/>
    <d v="2024-03-28T00:00:00"/>
    <x v="7"/>
    <x v="4"/>
  </r>
  <r>
    <x v="345"/>
    <n v="680"/>
    <n v="4.6258503401360542"/>
    <s v="Domestic"/>
    <s v="Food &amp; Beverages"/>
    <d v="2024-03-31T00:00:00"/>
    <x v="7"/>
    <x v="4"/>
  </r>
  <r>
    <x v="91"/>
    <n v="670"/>
    <n v="4.5578231292517009"/>
    <s v="Domestic"/>
    <s v="Transportation"/>
    <d v="2024-03-31T00:00:00"/>
    <x v="7"/>
    <x v="4"/>
  </r>
  <r>
    <x v="96"/>
    <n v="800"/>
    <n v="5.4421768707482991"/>
    <s v="Domestic"/>
    <s v="Home"/>
    <d v="2024-04-01T00:00:00"/>
    <x v="8"/>
    <x v="4"/>
  </r>
  <r>
    <x v="19"/>
    <n v="3000"/>
    <n v="20.408163265306122"/>
    <s v="Heathcare"/>
    <s v="Health"/>
    <d v="2024-04-02T00:00:00"/>
    <x v="8"/>
    <x v="4"/>
  </r>
  <r>
    <x v="20"/>
    <n v="3200"/>
    <n v="21.768707482993197"/>
    <s v="Heathcare"/>
    <s v="Health"/>
    <d v="2024-04-02T00:00:00"/>
    <x v="8"/>
    <x v="4"/>
  </r>
  <r>
    <x v="47"/>
    <n v="700"/>
    <n v="4.7619047619047619"/>
    <s v="Domestic"/>
    <s v="Food &amp; Beverages"/>
    <d v="2024-04-02T00:00:00"/>
    <x v="8"/>
    <x v="4"/>
  </r>
  <r>
    <x v="289"/>
    <n v="200"/>
    <n v="1.3605442176870748"/>
    <s v="Domestic"/>
    <s v="Food &amp; Beverages"/>
    <d v="2024-04-02T00:00:00"/>
    <x v="8"/>
    <x v="4"/>
  </r>
  <r>
    <x v="362"/>
    <n v="2850"/>
    <n v="19.387755102040817"/>
    <s v="Domestic"/>
    <s v="Home"/>
    <d v="2024-04-03T00:00:00"/>
    <x v="8"/>
    <x v="4"/>
  </r>
  <r>
    <x v="382"/>
    <n v="2100"/>
    <n v="14.285714285714286"/>
    <s v="Domestic"/>
    <s v="Food &amp; Beverages"/>
    <d v="2024-04-03T00:00:00"/>
    <x v="8"/>
    <x v="4"/>
  </r>
  <r>
    <x v="353"/>
    <n v="1000"/>
    <n v="6.8027210884353737"/>
    <s v="Domestic"/>
    <s v="Food &amp; Beverages"/>
    <d v="2024-04-03T00:00:00"/>
    <x v="8"/>
    <x v="4"/>
  </r>
  <r>
    <x v="383"/>
    <n v="3000"/>
    <n v="20.408163265306122"/>
    <s v="Domestic"/>
    <s v="Food &amp; Beverages"/>
    <d v="2024-04-03T00:00:00"/>
    <x v="8"/>
    <x v="4"/>
  </r>
  <r>
    <x v="384"/>
    <n v="2100"/>
    <n v="14.285714285714286"/>
    <s v="Domestic"/>
    <s v="Food &amp; Beverages"/>
    <d v="2024-04-03T00:00:00"/>
    <x v="8"/>
    <x v="4"/>
  </r>
  <r>
    <x v="289"/>
    <n v="700"/>
    <n v="4.7619047619047619"/>
    <s v="Domestic"/>
    <s v="Food &amp; Beverages"/>
    <d v="2024-04-03T00:00:00"/>
    <x v="8"/>
    <x v="4"/>
  </r>
  <r>
    <x v="385"/>
    <n v="440"/>
    <n v="2.9931972789115648"/>
    <s v="Domestic"/>
    <s v="Food &amp; Beverages"/>
    <d v="2024-04-04T00:00:00"/>
    <x v="8"/>
    <x v="4"/>
  </r>
  <r>
    <x v="347"/>
    <n v="700"/>
    <n v="4.7619047619047619"/>
    <s v="Domestic"/>
    <s v="Food &amp; Beverages"/>
    <d v="2024-04-04T00:00:00"/>
    <x v="8"/>
    <x v="4"/>
  </r>
  <r>
    <x v="386"/>
    <n v="150"/>
    <n v="1.0204081632653061"/>
    <s v="Domestic"/>
    <s v="Food &amp; Beverages"/>
    <d v="2024-04-04T00:00:00"/>
    <x v="8"/>
    <x v="4"/>
  </r>
  <r>
    <x v="320"/>
    <n v="350"/>
    <n v="2.3809523809523809"/>
    <s v="Domestic"/>
    <s v="Food &amp; Beverages"/>
    <d v="2024-04-04T00:00:00"/>
    <x v="8"/>
    <x v="4"/>
  </r>
  <r>
    <x v="346"/>
    <n v="140"/>
    <n v="0.95238095238095233"/>
    <s v="Domestic"/>
    <s v="Food &amp; Beverages"/>
    <d v="2024-04-04T00:00:00"/>
    <x v="8"/>
    <x v="4"/>
  </r>
  <r>
    <x v="354"/>
    <n v="15000"/>
    <n v="102.04081632653062"/>
    <s v="Heathcare"/>
    <s v="Health"/>
    <d v="2024-04-10T00:00:00"/>
    <x v="8"/>
    <x v="4"/>
  </r>
  <r>
    <x v="336"/>
    <n v="160"/>
    <n v="1.08843537414966"/>
    <s v="Domestic"/>
    <s v="Food &amp; Beverages"/>
    <d v="2024-04-01T00:00:00"/>
    <x v="8"/>
    <x v="4"/>
  </r>
  <r>
    <x v="247"/>
    <n v="701"/>
    <n v="4.7687074829931975"/>
    <s v="Heathcare"/>
    <s v="Health"/>
    <d v="2024-04-01T00:00:00"/>
    <x v="8"/>
    <x v="4"/>
  </r>
  <r>
    <x v="387"/>
    <n v="12000"/>
    <n v="81.632653061224488"/>
    <s v="Heathcare"/>
    <s v="Health"/>
    <d v="2024-04-08T00:00:00"/>
    <x v="8"/>
    <x v="4"/>
  </r>
  <r>
    <x v="367"/>
    <n v="480"/>
    <n v="3.2653061224489797"/>
    <s v="Domestic"/>
    <s v="Food &amp; Beverages"/>
    <d v="2024-04-07T00:00:00"/>
    <x v="8"/>
    <x v="4"/>
  </r>
  <r>
    <x v="352"/>
    <n v="134"/>
    <n v="0.91156462585034015"/>
    <s v="Domestic"/>
    <s v="Food &amp; Beverages"/>
    <d v="2024-04-07T00:00:00"/>
    <x v="8"/>
    <x v="4"/>
  </r>
  <r>
    <x v="388"/>
    <n v="120"/>
    <n v="0.81632653061224492"/>
    <s v="Domestic"/>
    <s v="Food &amp; Beverages"/>
    <d v="2024-04-08T00:00:00"/>
    <x v="8"/>
    <x v="4"/>
  </r>
  <r>
    <x v="389"/>
    <n v="60"/>
    <n v="0.40816326530612246"/>
    <s v="Domestic"/>
    <s v="Food &amp; Beverages"/>
    <d v="2024-04-08T00:00:00"/>
    <x v="8"/>
    <x v="4"/>
  </r>
  <r>
    <x v="367"/>
    <n v="180"/>
    <n v="1.2244897959183674"/>
    <s v="Domestic"/>
    <s v="Food &amp; Beverages"/>
    <d v="2024-04-08T00:00:00"/>
    <x v="8"/>
    <x v="4"/>
  </r>
  <r>
    <x v="352"/>
    <n v="134"/>
    <n v="0.91156462585034015"/>
    <s v="Domestic"/>
    <s v="Food &amp; Beverages"/>
    <d v="2024-04-08T00:00:00"/>
    <x v="8"/>
    <x v="4"/>
  </r>
  <r>
    <x v="90"/>
    <n v="4000"/>
    <n v="27.210884353741495"/>
    <s v="Domestic"/>
    <s v="Electronics"/>
    <d v="2024-02-01T00:00:00"/>
    <x v="6"/>
    <x v="4"/>
  </r>
  <r>
    <x v="90"/>
    <n v="4000"/>
    <n v="27.210884353741495"/>
    <s v="Domestic"/>
    <s v="Electronics"/>
    <d v="2024-03-01T00:00:00"/>
    <x v="7"/>
    <x v="4"/>
  </r>
  <r>
    <x v="90"/>
    <n v="4000"/>
    <n v="27.210884353741495"/>
    <s v="Domestic"/>
    <s v="Electronics"/>
    <d v="2024-04-01T00:00:00"/>
    <x v="8"/>
    <x v="4"/>
  </r>
  <r>
    <x v="390"/>
    <n v="5000"/>
    <n v="34.013605442176868"/>
    <s v="Domestic"/>
    <s v="Food &amp; Beverages"/>
    <d v="2024-04-08T00:00:00"/>
    <x v="8"/>
    <x v="4"/>
  </r>
  <r>
    <x v="72"/>
    <n v="1700"/>
    <n v="11.564625850340136"/>
    <s v="Domestic"/>
    <s v="Food &amp; Beverages"/>
    <d v="2024-04-11T00:00:00"/>
    <x v="8"/>
    <x v="4"/>
  </r>
  <r>
    <x v="281"/>
    <n v="1100"/>
    <n v="7.4829931972789119"/>
    <s v="Domestic"/>
    <s v="Food &amp; Beverages"/>
    <d v="2024-04-10T00:00:00"/>
    <x v="8"/>
    <x v="4"/>
  </r>
  <r>
    <x v="391"/>
    <n v="390"/>
    <n v="2.6530612244897958"/>
    <s v="Domestic"/>
    <s v="Food &amp; Beverages"/>
    <d v="2024-04-10T00:00:00"/>
    <x v="8"/>
    <x v="4"/>
  </r>
  <r>
    <x v="391"/>
    <n v="390"/>
    <n v="2.6530612244897958"/>
    <s v="Domestic"/>
    <s v="Food &amp; Beverages"/>
    <d v="2024-04-10T00:00:00"/>
    <x v="8"/>
    <x v="4"/>
  </r>
  <r>
    <x v="263"/>
    <n v="200"/>
    <n v="1.3605442176870748"/>
    <s v="Domestic"/>
    <s v="Food &amp; Beverages"/>
    <d v="2024-04-10T00:00:00"/>
    <x v="8"/>
    <x v="4"/>
  </r>
  <r>
    <x v="336"/>
    <n v="160"/>
    <n v="1.08843537414966"/>
    <s v="Domestic"/>
    <s v="Food &amp; Beverages"/>
    <d v="2024-04-13T00:00:00"/>
    <x v="8"/>
    <x v="4"/>
  </r>
  <r>
    <x v="352"/>
    <n v="171"/>
    <n v="1.1632653061224489"/>
    <s v="Domestic"/>
    <s v="Food &amp; Beverages"/>
    <d v="2024-04-13T00:00:00"/>
    <x v="8"/>
    <x v="4"/>
  </r>
  <r>
    <x v="392"/>
    <n v="112"/>
    <n v="0.76190476190476186"/>
    <s v="Domestic"/>
    <s v="Food &amp; Beverages"/>
    <d v="2024-04-13T00:00:00"/>
    <x v="8"/>
    <x v="4"/>
  </r>
  <r>
    <x v="393"/>
    <n v="2500"/>
    <n v="17.006802721088434"/>
    <s v="Heathcare"/>
    <s v="Health"/>
    <d v="2024-04-13T00:00:00"/>
    <x v="8"/>
    <x v="4"/>
  </r>
  <r>
    <x v="247"/>
    <n v="701"/>
    <n v="4.7687074829931975"/>
    <s v="Heathcare"/>
    <s v="Health"/>
    <d v="2024-04-12T00:00:00"/>
    <x v="8"/>
    <x v="4"/>
  </r>
  <r>
    <x v="367"/>
    <n v="800"/>
    <n v="5.4421768707482991"/>
    <s v="Domestic"/>
    <s v="Food &amp; Beverages"/>
    <d v="2024-04-12T00:00:00"/>
    <x v="8"/>
    <x v="4"/>
  </r>
  <r>
    <x v="312"/>
    <n v="8500"/>
    <n v="57.823129251700678"/>
    <s v="Domestic"/>
    <s v="Food &amp; Beverages"/>
    <d v="2024-04-12T00:00:00"/>
    <x v="8"/>
    <x v="4"/>
  </r>
  <r>
    <x v="74"/>
    <n v="10000"/>
    <n v="68.027210884353735"/>
    <s v="Domestic"/>
    <s v="Food &amp; Beverages"/>
    <d v="2024-04-12T00:00:00"/>
    <x v="8"/>
    <x v="4"/>
  </r>
  <r>
    <x v="394"/>
    <n v="375"/>
    <n v="2.5510204081632653"/>
    <s v="Domestic"/>
    <s v="Food &amp; Beverages"/>
    <d v="2024-04-17T00:00:00"/>
    <x v="8"/>
    <x v="4"/>
  </r>
  <r>
    <x v="281"/>
    <n v="200"/>
    <n v="1.3605442176870748"/>
    <s v="Domestic"/>
    <s v="Food &amp; Beverages"/>
    <d v="2024-04-17T00:00:00"/>
    <x v="8"/>
    <x v="4"/>
  </r>
  <r>
    <x v="47"/>
    <n v="700"/>
    <n v="4.7619047619047619"/>
    <s v="Domestic"/>
    <s v="Food &amp; Beverages"/>
    <d v="2024-04-17T00:00:00"/>
    <x v="8"/>
    <x v="4"/>
  </r>
  <r>
    <x v="88"/>
    <n v="3000"/>
    <n v="20.408163265306122"/>
    <s v="Domestic"/>
    <s v="Food &amp; Beverages"/>
    <d v="2024-04-17T00:00:00"/>
    <x v="8"/>
    <x v="4"/>
  </r>
  <r>
    <x v="230"/>
    <n v="1300"/>
    <n v="8.8435374149659864"/>
    <s v="Domestic"/>
    <s v="Food &amp; Beverages"/>
    <d v="2024-04-15T00:00:00"/>
    <x v="8"/>
    <x v="4"/>
  </r>
  <r>
    <x v="352"/>
    <n v="150"/>
    <n v="1.0204081632653061"/>
    <s v="Domestic"/>
    <s v="Food &amp; Beverages"/>
    <d v="2024-04-16T00:00:00"/>
    <x v="8"/>
    <x v="4"/>
  </r>
  <r>
    <x v="367"/>
    <n v="500"/>
    <n v="3.4013605442176869"/>
    <s v="Domestic"/>
    <s v="Food &amp; Beverages"/>
    <d v="2024-04-16T00:00:00"/>
    <x v="8"/>
    <x v="4"/>
  </r>
  <r>
    <x v="395"/>
    <n v="340"/>
    <n v="2.3129251700680271"/>
    <s v="Domestic"/>
    <s v="Food &amp; Beverages"/>
    <d v="2024-04-20T00:00:00"/>
    <x v="8"/>
    <x v="4"/>
  </r>
  <r>
    <x v="395"/>
    <n v="340"/>
    <n v="2.3129251700680271"/>
    <s v="Domestic"/>
    <s v="Food &amp; Beverages"/>
    <d v="2024-04-19T00:00:00"/>
    <x v="8"/>
    <x v="4"/>
  </r>
  <r>
    <x v="396"/>
    <n v="150"/>
    <n v="1.0204081632653061"/>
    <s v="Domestic"/>
    <s v="Food &amp; Beverages"/>
    <d v="2024-04-19T00:00:00"/>
    <x v="8"/>
    <x v="4"/>
  </r>
  <r>
    <x v="240"/>
    <n v="240"/>
    <n v="1.6326530612244898"/>
    <s v="Domestic"/>
    <s v="Food &amp; Beverages"/>
    <d v="2024-04-19T00:00:00"/>
    <x v="8"/>
    <x v="4"/>
  </r>
  <r>
    <x v="240"/>
    <n v="240"/>
    <n v="1.6326530612244898"/>
    <s v="Domestic"/>
    <s v="Food &amp; Beverages"/>
    <d v="2024-04-19T00:00:00"/>
    <x v="8"/>
    <x v="4"/>
  </r>
  <r>
    <x v="216"/>
    <n v="300"/>
    <n v="2.0408163265306123"/>
    <s v="Domestic"/>
    <s v="Food &amp; Beverages"/>
    <d v="2024-04-19T00:00:00"/>
    <x v="8"/>
    <x v="4"/>
  </r>
  <r>
    <x v="216"/>
    <n v="300"/>
    <n v="2.0408163265306123"/>
    <s v="Domestic"/>
    <s v="Food &amp; Beverages"/>
    <d v="2024-04-19T00:00:00"/>
    <x v="8"/>
    <x v="4"/>
  </r>
  <r>
    <x v="127"/>
    <n v="940.43000000000006"/>
    <n v="5.99"/>
    <s v="Domestic"/>
    <s v="Electronics"/>
    <d v="2024-04-15T00:00:00"/>
    <x v="8"/>
    <x v="4"/>
  </r>
  <r>
    <x v="289"/>
    <n v="700"/>
    <n v="4.7619047619047619"/>
    <s v="Domestic"/>
    <s v="Food &amp; Beverages"/>
    <d v="2024-04-19T00:00:00"/>
    <x v="8"/>
    <x v="4"/>
  </r>
  <r>
    <x v="289"/>
    <n v="700"/>
    <n v="4.7619047619047619"/>
    <s v="Domestic"/>
    <s v="Food &amp; Beverages"/>
    <d v="2024-04-18T00:00:00"/>
    <x v="8"/>
    <x v="4"/>
  </r>
  <r>
    <x v="349"/>
    <n v="600"/>
    <n v="4.0816326530612246"/>
    <s v="Domestic"/>
    <s v="Food &amp; Beverages"/>
    <d v="2024-04-18T00:00:00"/>
    <x v="8"/>
    <x v="4"/>
  </r>
  <r>
    <x v="397"/>
    <n v="30000"/>
    <n v="204.08163265306123"/>
    <s v="Heathcare"/>
    <s v="Health"/>
    <d v="2024-04-20T00:00:00"/>
    <x v="8"/>
    <x v="4"/>
  </r>
  <r>
    <x v="136"/>
    <n v="980"/>
    <n v="6.666666666666667"/>
    <s v="Domestic"/>
    <s v="Food &amp; Beverages"/>
    <d v="2024-04-22T00:00:00"/>
    <x v="8"/>
    <x v="4"/>
  </r>
  <r>
    <x v="136"/>
    <n v="2165"/>
    <n v="14.727891156462585"/>
    <s v="Domestic"/>
    <s v="Food &amp; Beverages"/>
    <d v="2024-04-24T00:00:00"/>
    <x v="8"/>
    <x v="4"/>
  </r>
  <r>
    <x v="398"/>
    <n v="470"/>
    <n v="3.1972789115646258"/>
    <s v="Domestic"/>
    <s v="Food &amp; Beverages"/>
    <d v="2024-04-24T00:00:00"/>
    <x v="8"/>
    <x v="4"/>
  </r>
  <r>
    <x v="216"/>
    <n v="370"/>
    <n v="2.5170068027210886"/>
    <s v="Domestic"/>
    <s v="Food &amp; Beverages"/>
    <d v="2024-04-24T00:00:00"/>
    <x v="8"/>
    <x v="4"/>
  </r>
  <r>
    <x v="272"/>
    <n v="290"/>
    <n v="1.9727891156462585"/>
    <s v="Domestic"/>
    <s v="Food &amp; Beverages"/>
    <d v="2024-04-24T00:00:00"/>
    <x v="8"/>
    <x v="4"/>
  </r>
  <r>
    <x v="289"/>
    <n v="600"/>
    <n v="4.0816326530612246"/>
    <s v="Domestic"/>
    <s v="Food &amp; Beverages"/>
    <d v="2024-04-25T00:00:00"/>
    <x v="8"/>
    <x v="4"/>
  </r>
  <r>
    <x v="399"/>
    <n v="200"/>
    <n v="1.3605442176870748"/>
    <s v="Domestic"/>
    <s v="Food &amp; Beverages"/>
    <d v="2024-04-25T00:00:00"/>
    <x v="8"/>
    <x v="4"/>
  </r>
  <r>
    <x v="400"/>
    <n v="19000"/>
    <n v="129.25170068027211"/>
    <s v="Domestic"/>
    <s v=" Car Maintenance"/>
    <d v="2024-04-24T00:00:00"/>
    <x v="8"/>
    <x v="4"/>
  </r>
  <r>
    <x v="401"/>
    <n v="3822"/>
    <n v="26"/>
    <s v="Education"/>
    <s v="School"/>
    <d v="2024-04-25T00:00:00"/>
    <x v="8"/>
    <x v="4"/>
  </r>
  <r>
    <x v="335"/>
    <n v="200"/>
    <n v="1.3605442176870748"/>
    <s v="Domestic"/>
    <s v="Food &amp; Beverages"/>
    <d v="2024-04-25T00:00:00"/>
    <x v="8"/>
    <x v="4"/>
  </r>
  <r>
    <x v="402"/>
    <n v="4865"/>
    <n v="33.095238095238095"/>
    <s v="Domestic"/>
    <s v="Food &amp; Beverages"/>
    <d v="2024-04-27T00:00:00"/>
    <x v="8"/>
    <x v="4"/>
  </r>
  <r>
    <x v="403"/>
    <n v="459"/>
    <n v="3.1224489795918369"/>
    <s v="Domestic"/>
    <s v="Food &amp; Beverages"/>
    <d v="2024-04-27T00:00:00"/>
    <x v="8"/>
    <x v="4"/>
  </r>
  <r>
    <x v="404"/>
    <n v="315"/>
    <n v="2.1428571428571428"/>
    <s v="Domestic"/>
    <s v="Food &amp; Beverages"/>
    <d v="2024-04-27T00:00:00"/>
    <x v="8"/>
    <x v="4"/>
  </r>
  <r>
    <x v="405"/>
    <n v="7500"/>
    <n v="51.020408163265309"/>
    <s v="Domestic"/>
    <s v="Food &amp; Beverages"/>
    <d v="2024-04-27T00:00:00"/>
    <x v="8"/>
    <x v="4"/>
  </r>
  <r>
    <x v="405"/>
    <n v="7500"/>
    <n v="51.020408163265309"/>
    <s v="Domestic"/>
    <s v="Food &amp; Beverages"/>
    <d v="2024-04-27T00:00:00"/>
    <x v="8"/>
    <x v="4"/>
  </r>
  <r>
    <x v="406"/>
    <n v="9200"/>
    <n v="62.585034013605444"/>
    <s v="Domestic"/>
    <s v="Food &amp; Beverages"/>
    <d v="2024-04-27T00:00:00"/>
    <x v="8"/>
    <x v="4"/>
  </r>
  <r>
    <x v="359"/>
    <n v="815"/>
    <n v="5.5442176870748296"/>
    <s v="Heathcare"/>
    <s v="Health"/>
    <d v="2024-04-27T00:00:00"/>
    <x v="8"/>
    <x v="4"/>
  </r>
  <r>
    <x v="407"/>
    <n v="520"/>
    <n v="3.5374149659863945"/>
    <s v="Heathcare"/>
    <s v="Health"/>
    <d v="2024-04-27T00:00:00"/>
    <x v="8"/>
    <x v="4"/>
  </r>
  <r>
    <x v="407"/>
    <n v="520"/>
    <n v="3.5374149659863945"/>
    <s v="Heathcare"/>
    <s v="Health"/>
    <d v="2024-04-27T00:00:00"/>
    <x v="8"/>
    <x v="4"/>
  </r>
  <r>
    <x v="62"/>
    <n v="880"/>
    <n v="5.9863945578231297"/>
    <s v="Domestic"/>
    <s v="Food &amp; Beverages"/>
    <d v="2024-04-27T00:00:00"/>
    <x v="8"/>
    <x v="4"/>
  </r>
  <r>
    <x v="408"/>
    <n v="550"/>
    <n v="3.7414965986394559"/>
    <s v="Heathcare"/>
    <s v="Health"/>
    <d v="2024-04-27T00:00:00"/>
    <x v="8"/>
    <x v="4"/>
  </r>
  <r>
    <x v="409"/>
    <n v="330"/>
    <n v="2.2448979591836733"/>
    <s v="Domestic"/>
    <s v="Food &amp; Beverages"/>
    <d v="2024-04-27T00:00:00"/>
    <x v="8"/>
    <x v="4"/>
  </r>
  <r>
    <x v="410"/>
    <n v="180"/>
    <n v="1.2244897959183674"/>
    <s v="Domestic"/>
    <s v="Food &amp; Beverages"/>
    <d v="2024-04-27T00:00:00"/>
    <x v="8"/>
    <x v="4"/>
  </r>
  <r>
    <x v="88"/>
    <n v="3000"/>
    <n v="20.408163265306122"/>
    <s v="Domestic"/>
    <s v="Transportation"/>
    <d v="2024-04-26T00:00:00"/>
    <x v="8"/>
    <x v="4"/>
  </r>
  <r>
    <x v="88"/>
    <n v="4000"/>
    <n v="27.210884353741495"/>
    <s v="Domestic"/>
    <s v="Transportation"/>
    <d v="2024-04-28T00:00:00"/>
    <x v="8"/>
    <x v="4"/>
  </r>
  <r>
    <x v="408"/>
    <n v="500"/>
    <n v="3.4013605442176869"/>
    <s v="Heathcare"/>
    <s v="Health"/>
    <d v="2024-04-28T00:00:00"/>
    <x v="8"/>
    <x v="4"/>
  </r>
  <r>
    <x v="326"/>
    <n v="400"/>
    <n v="2.7210884353741496"/>
    <s v="Domestic"/>
    <s v="Food &amp; Beverages"/>
    <d v="2024-04-29T00:00:00"/>
    <x v="8"/>
    <x v="4"/>
  </r>
  <r>
    <x v="322"/>
    <n v="100"/>
    <n v="0.68027210884353739"/>
    <s v="Domestic"/>
    <s v="Food &amp; Beverages"/>
    <d v="2024-04-29T00:00:00"/>
    <x v="8"/>
    <x v="4"/>
  </r>
  <r>
    <x v="346"/>
    <n v="500"/>
    <n v="3.4013605442176869"/>
    <s v="Domestic"/>
    <s v="Food &amp; Beverages"/>
    <d v="2024-04-29T00:00:00"/>
    <x v="8"/>
    <x v="4"/>
  </r>
  <r>
    <x v="349"/>
    <n v="600"/>
    <n v="4.0816326530612246"/>
    <s v="Domestic"/>
    <s v="Food &amp; Beverages"/>
    <d v="2024-04-29T00:00:00"/>
    <x v="8"/>
    <x v="4"/>
  </r>
  <r>
    <x v="385"/>
    <n v="250"/>
    <n v="1.7006802721088434"/>
    <s v="Domestic"/>
    <s v="Food &amp; Beverages"/>
    <d v="2024-04-29T00:00:00"/>
    <x v="8"/>
    <x v="4"/>
  </r>
  <r>
    <x v="335"/>
    <n v="1200"/>
    <n v="8.1632653061224492"/>
    <s v="Domestic"/>
    <s v="Food &amp; Beverages"/>
    <d v="2024-04-29T00:00:00"/>
    <x v="8"/>
    <x v="4"/>
  </r>
  <r>
    <x v="102"/>
    <n v="300"/>
    <n v="2.0408163265306123"/>
    <s v="Domestic"/>
    <s v="Food &amp; Beverages"/>
    <d v="2024-04-29T00:00:00"/>
    <x v="8"/>
    <x v="4"/>
  </r>
  <r>
    <x v="349"/>
    <n v="300"/>
    <n v="2.0408163265306123"/>
    <s v="Domestic"/>
    <s v="Food &amp; Beverages"/>
    <d v="2024-04-30T00:00:00"/>
    <x v="8"/>
    <x v="4"/>
  </r>
  <r>
    <x v="330"/>
    <n v="700"/>
    <n v="4.7619047619047619"/>
    <s v="Domestic"/>
    <s v="Food &amp; Beverages"/>
    <d v="2024-04-30T00:00:00"/>
    <x v="8"/>
    <x v="4"/>
  </r>
  <r>
    <x v="317"/>
    <n v="300"/>
    <n v="2.0408163265306123"/>
    <s v="Domestic"/>
    <s v="Food &amp; Beverages"/>
    <d v="2024-04-30T00:00:00"/>
    <x v="8"/>
    <x v="4"/>
  </r>
  <r>
    <x v="411"/>
    <n v="19000"/>
    <n v="129.25170068027211"/>
    <s v="Fun"/>
    <s v="Entertainment"/>
    <d v="2024-05-26T00:00:00"/>
    <x v="0"/>
    <x v="4"/>
  </r>
  <r>
    <x v="412"/>
    <n v="87000"/>
    <n v="591.83673469387759"/>
    <s v="Domestic"/>
    <s v="Home"/>
    <d v="2024-04-29T00:00:00"/>
    <x v="8"/>
    <x v="4"/>
  </r>
  <r>
    <x v="413"/>
    <n v="1689"/>
    <n v="11.489795918367347"/>
    <s v="Domestic"/>
    <s v="Food &amp; Beverages"/>
    <d v="2024-05-01T00:00:00"/>
    <x v="0"/>
    <x v="4"/>
  </r>
  <r>
    <x v="414"/>
    <n v="1529"/>
    <n v="10.401360544217686"/>
    <s v="Domestic"/>
    <s v="Food &amp; Beverages"/>
    <d v="2024-05-01T00:00:00"/>
    <x v="0"/>
    <x v="4"/>
  </r>
  <r>
    <x v="415"/>
    <n v="1499"/>
    <n v="10.197278911564625"/>
    <s v="Domestic"/>
    <s v="Food &amp; Beverages"/>
    <d v="2024-05-01T00:00:00"/>
    <x v="0"/>
    <x v="4"/>
  </r>
  <r>
    <x v="416"/>
    <n v="2499"/>
    <n v="17"/>
    <s v="Domestic"/>
    <s v="Transportation"/>
    <d v="2024-05-01T00:00:00"/>
    <x v="0"/>
    <x v="4"/>
  </r>
  <r>
    <x v="417"/>
    <n v="1149"/>
    <n v="7.8163265306122449"/>
    <s v="Domestic"/>
    <s v="Food &amp; Beverages"/>
    <d v="2024-05-01T00:00:00"/>
    <x v="0"/>
    <x v="4"/>
  </r>
  <r>
    <x v="418"/>
    <n v="4799"/>
    <n v="32.646258503401363"/>
    <s v="Domestic"/>
    <s v="Food &amp; Beverages"/>
    <d v="2024-05-01T00:00:00"/>
    <x v="0"/>
    <x v="4"/>
  </r>
  <r>
    <x v="419"/>
    <n v="5818"/>
    <n v="39.57823129251701"/>
    <s v="Domestic"/>
    <s v="Food &amp; Beverages"/>
    <d v="2024-05-01T00:00:00"/>
    <x v="0"/>
    <x v="4"/>
  </r>
  <r>
    <x v="420"/>
    <n v="191"/>
    <n v="1.2993197278911566"/>
    <s v="Domestic"/>
    <s v="Food &amp; Beverages"/>
    <d v="2024-05-01T00:00:00"/>
    <x v="0"/>
    <x v="4"/>
  </r>
  <r>
    <x v="352"/>
    <n v="171"/>
    <n v="1.1632653061224489"/>
    <s v="Domestic"/>
    <s v="Food &amp; Beverages"/>
    <d v="2024-05-01T00:00:00"/>
    <x v="0"/>
    <x v="4"/>
  </r>
  <r>
    <x v="72"/>
    <n v="1000"/>
    <n v="6.8027210884353737"/>
    <s v="Domestic"/>
    <s v="Food &amp; Beverages"/>
    <d v="2024-05-01T00:00:00"/>
    <x v="0"/>
    <x v="4"/>
  </r>
  <r>
    <x v="289"/>
    <n v="500"/>
    <n v="3.4013605442176869"/>
    <s v="Domestic"/>
    <s v="Food &amp; Beverages"/>
    <d v="2024-05-02T00:00:00"/>
    <x v="0"/>
    <x v="4"/>
  </r>
  <r>
    <x v="374"/>
    <n v="300"/>
    <n v="2.0408163265306123"/>
    <s v="Domestic"/>
    <s v="Food &amp; Beverages"/>
    <d v="2024-05-02T00:00:00"/>
    <x v="0"/>
    <x v="4"/>
  </r>
  <r>
    <x v="320"/>
    <n v="300"/>
    <n v="2.0408163265306123"/>
    <s v="Domestic"/>
    <s v="Food &amp; Beverages"/>
    <d v="2024-05-02T00:00:00"/>
    <x v="0"/>
    <x v="4"/>
  </r>
  <r>
    <x v="329"/>
    <n v="400"/>
    <n v="2.7210884353741496"/>
    <s v="Domestic"/>
    <s v="Food &amp; Beverages"/>
    <d v="2024-05-02T00:00:00"/>
    <x v="0"/>
    <x v="4"/>
  </r>
  <r>
    <x v="319"/>
    <n v="200"/>
    <n v="1.3605442176870748"/>
    <s v="Domestic"/>
    <s v="Food &amp; Beverages"/>
    <d v="2024-05-02T00:00:00"/>
    <x v="0"/>
    <x v="4"/>
  </r>
  <r>
    <x v="324"/>
    <n v="500"/>
    <n v="3.4013605442176869"/>
    <s v="Domestic"/>
    <s v="Food &amp; Beverages"/>
    <d v="2024-05-02T00:00:00"/>
    <x v="0"/>
    <x v="4"/>
  </r>
  <r>
    <x v="188"/>
    <n v="3750"/>
    <n v="25.510204081632654"/>
    <s v="Domestic"/>
    <s v="Electronics"/>
    <d v="2024-04-29T00:00:00"/>
    <x v="8"/>
    <x v="4"/>
  </r>
  <r>
    <x v="22"/>
    <n v="7884"/>
    <n v="53.632653061224488"/>
    <s v="Insurance"/>
    <s v="Life Insurance"/>
    <d v="2024-04-28T00:00:00"/>
    <x v="8"/>
    <x v="4"/>
  </r>
  <r>
    <x v="421"/>
    <n v="27500"/>
    <n v="187.0748299319728"/>
    <s v="Domestic"/>
    <s v=" Car Maintenance"/>
    <d v="2024-05-04T00:00:00"/>
    <x v="0"/>
    <x v="4"/>
  </r>
  <r>
    <x v="163"/>
    <n v="800"/>
    <n v="5.4421768707482991"/>
    <s v="Domestic"/>
    <s v="Food &amp; Beverages"/>
    <d v="2024-05-03T00:00:00"/>
    <x v="0"/>
    <x v="4"/>
  </r>
  <r>
    <x v="153"/>
    <n v="750"/>
    <n v="5.1020408163265305"/>
    <s v="Domestic"/>
    <s v="Food &amp; Beverages"/>
    <d v="2024-05-04T00:00:00"/>
    <x v="0"/>
    <x v="4"/>
  </r>
  <r>
    <x v="422"/>
    <n v="1000"/>
    <n v="6.8027210884353737"/>
    <s v="Domestic"/>
    <s v="Food &amp; Beverages"/>
    <d v="2024-05-04T00:00:00"/>
    <x v="0"/>
    <x v="4"/>
  </r>
  <r>
    <x v="289"/>
    <n v="500"/>
    <n v="3.4013605442176869"/>
    <s v="Domestic"/>
    <s v="Food &amp; Beverages"/>
    <d v="2024-05-07T00:00:00"/>
    <x v="0"/>
    <x v="4"/>
  </r>
  <r>
    <x v="329"/>
    <n v="500"/>
    <n v="3.4013605442176869"/>
    <s v="Domestic"/>
    <s v="Food &amp; Beverages"/>
    <d v="2024-05-07T00:00:00"/>
    <x v="0"/>
    <x v="4"/>
  </r>
  <r>
    <x v="349"/>
    <n v="600"/>
    <n v="4.0816326530612246"/>
    <s v="Domestic"/>
    <s v="Food &amp; Beverages"/>
    <d v="2024-05-07T00:00:00"/>
    <x v="0"/>
    <x v="4"/>
  </r>
  <r>
    <x v="423"/>
    <n v="1050"/>
    <n v="7.1428571428571432"/>
    <s v="Domestic"/>
    <s v="Food &amp; Beverages"/>
    <d v="2024-05-07T00:00:00"/>
    <x v="0"/>
    <x v="4"/>
  </r>
  <r>
    <x v="88"/>
    <n v="2000"/>
    <n v="13.605442176870747"/>
    <s v="Domestic"/>
    <s v="Transportation"/>
    <d v="2024-05-08T00:00:00"/>
    <x v="0"/>
    <x v="4"/>
  </r>
  <r>
    <x v="35"/>
    <n v="2990"/>
    <n v="20.34013605442177"/>
    <s v="Domestic"/>
    <s v="Home"/>
    <d v="2024-05-08T00:00:00"/>
    <x v="0"/>
    <x v="4"/>
  </r>
  <r>
    <x v="356"/>
    <n v="1552.5"/>
    <n v="10.561224489795919"/>
    <s v="Domestic"/>
    <s v="Home"/>
    <d v="2024-05-08T00:00:00"/>
    <x v="0"/>
    <x v="4"/>
  </r>
  <r>
    <x v="424"/>
    <n v="2587.5"/>
    <n v="17.602040816326532"/>
    <s v="Domestic"/>
    <s v="Home"/>
    <d v="2024-05-08T00:00:00"/>
    <x v="0"/>
    <x v="4"/>
  </r>
  <r>
    <x v="425"/>
    <n v="1897.5"/>
    <n v="12.908163265306122"/>
    <s v="Domestic"/>
    <s v="Home"/>
    <d v="2024-05-08T00:00:00"/>
    <x v="0"/>
    <x v="4"/>
  </r>
  <r>
    <x v="426"/>
    <n v="1810"/>
    <n v="12.312925170068027"/>
    <s v="Domestic"/>
    <s v="Home"/>
    <d v="2024-05-05T00:00:00"/>
    <x v="0"/>
    <x v="4"/>
  </r>
  <r>
    <x v="136"/>
    <n v="1600"/>
    <n v="10.884353741496598"/>
    <s v="Domestic"/>
    <s v="Food &amp; Beverages"/>
    <d v="2024-05-05T00:00:00"/>
    <x v="0"/>
    <x v="4"/>
  </r>
  <r>
    <x v="362"/>
    <n v="2250"/>
    <n v="15.306122448979592"/>
    <s v="Domestic"/>
    <s v="Home"/>
    <d v="2024-05-08T00:00:00"/>
    <x v="0"/>
    <x v="4"/>
  </r>
  <r>
    <x v="329"/>
    <n v="1000"/>
    <n v="6.8027210884353737"/>
    <s v="Domestic"/>
    <s v="Food &amp; Beverages"/>
    <d v="2024-05-09T00:00:00"/>
    <x v="0"/>
    <x v="4"/>
  </r>
  <r>
    <x v="317"/>
    <n v="200"/>
    <n v="1.3605442176870748"/>
    <s v="Domestic"/>
    <s v="Food &amp; Beverages"/>
    <d v="2024-05-09T00:00:00"/>
    <x v="0"/>
    <x v="4"/>
  </r>
  <r>
    <x v="320"/>
    <n v="250"/>
    <n v="1.7006802721088434"/>
    <s v="Domestic"/>
    <s v="Food &amp; Beverages"/>
    <d v="2024-05-09T00:00:00"/>
    <x v="0"/>
    <x v="4"/>
  </r>
  <r>
    <x v="346"/>
    <n v="800"/>
    <n v="5.4421768707482991"/>
    <s v="Domestic"/>
    <s v="Food &amp; Beverages"/>
    <d v="2024-05-09T00:00:00"/>
    <x v="0"/>
    <x v="4"/>
  </r>
  <r>
    <x v="335"/>
    <n v="500"/>
    <n v="3.4013605442176869"/>
    <s v="Domestic"/>
    <s v="Food &amp; Beverages"/>
    <d v="2024-05-09T00:00:00"/>
    <x v="0"/>
    <x v="4"/>
  </r>
  <r>
    <x v="326"/>
    <n v="600"/>
    <n v="4.0816326530612246"/>
    <s v="Domestic"/>
    <s v="Food &amp; Beverages"/>
    <d v="2024-05-09T00:00:00"/>
    <x v="0"/>
    <x v="4"/>
  </r>
  <r>
    <x v="399"/>
    <n v="120"/>
    <n v="0.81632653061224492"/>
    <s v="Domestic"/>
    <s v="Food &amp; Beverages"/>
    <d v="2024-05-09T00:00:00"/>
    <x v="0"/>
    <x v="4"/>
  </r>
  <r>
    <x v="293"/>
    <n v="280"/>
    <n v="1.9047619047619047"/>
    <s v="Domestic"/>
    <s v="Home"/>
    <d v="2024-05-10T00:00:00"/>
    <x v="0"/>
    <x v="4"/>
  </r>
  <r>
    <x v="367"/>
    <n v="70"/>
    <n v="0.47619047619047616"/>
    <s v="Domestic"/>
    <s v="Food &amp; Beverages"/>
    <d v="2024-05-10T00:00:00"/>
    <x v="0"/>
    <x v="4"/>
  </r>
  <r>
    <x v="294"/>
    <n v="650"/>
    <n v="4.4217687074829932"/>
    <s v="Domestic"/>
    <s v="Food &amp; Beverages"/>
    <d v="2024-05-10T00:00:00"/>
    <x v="0"/>
    <x v="4"/>
  </r>
  <r>
    <x v="352"/>
    <n v="2300"/>
    <n v="15.646258503401361"/>
    <s v="Domestic"/>
    <s v="Food &amp; Beverages"/>
    <d v="2024-05-10T00:00:00"/>
    <x v="0"/>
    <x v="4"/>
  </r>
  <r>
    <x v="427"/>
    <n v="1900"/>
    <n v="12.92517006802721"/>
    <s v="Domestic"/>
    <s v="Home"/>
    <d v="2024-05-10T00:00:00"/>
    <x v="0"/>
    <x v="4"/>
  </r>
  <r>
    <x v="62"/>
    <n v="1400"/>
    <n v="9.5238095238095237"/>
    <s v="Domestic"/>
    <s v="Food &amp; Beverages"/>
    <d v="2024-05-12T00:00:00"/>
    <x v="0"/>
    <x v="4"/>
  </r>
  <r>
    <x v="88"/>
    <n v="4000"/>
    <n v="27.210884353741495"/>
    <s v="Domestic"/>
    <s v="Transportation"/>
    <d v="2024-05-10T00:00:00"/>
    <x v="0"/>
    <x v="4"/>
  </r>
  <r>
    <x v="136"/>
    <n v="1500"/>
    <n v="10.204081632653061"/>
    <s v="Domestic"/>
    <s v="Food &amp; Beverages"/>
    <d v="2024-05-10T00:00:00"/>
    <x v="0"/>
    <x v="4"/>
  </r>
  <r>
    <x v="281"/>
    <n v="1070"/>
    <n v="7.27891156462585"/>
    <s v="Domestic"/>
    <s v="Food &amp; Beverages"/>
    <d v="2024-05-14T00:00:00"/>
    <x v="0"/>
    <x v="4"/>
  </r>
  <r>
    <x v="281"/>
    <n v="1070"/>
    <n v="7.27891156462585"/>
    <s v="Domestic"/>
    <s v="Food &amp; Beverages"/>
    <d v="2024-05-14T00:00:00"/>
    <x v="0"/>
    <x v="4"/>
  </r>
  <r>
    <x v="428"/>
    <n v="300"/>
    <n v="2.0408163265306123"/>
    <s v="Domestic"/>
    <s v="Food &amp; Beverages"/>
    <d v="2024-05-14T00:00:00"/>
    <x v="0"/>
    <x v="4"/>
  </r>
  <r>
    <x v="312"/>
    <n v="6300"/>
    <n v="42.857142857142854"/>
    <s v="Domestic"/>
    <s v="Food &amp; Beverages"/>
    <d v="2024-05-14T00:00:00"/>
    <x v="0"/>
    <x v="4"/>
  </r>
  <r>
    <x v="166"/>
    <n v="1300"/>
    <n v="8.8435374149659864"/>
    <s v="Domestic"/>
    <s v="Food &amp; Beverages"/>
    <d v="2024-05-14T00:00:00"/>
    <x v="0"/>
    <x v="4"/>
  </r>
  <r>
    <x v="423"/>
    <n v="900"/>
    <n v="6.1224489795918364"/>
    <s v="Domestic"/>
    <s v="Food &amp; Beverages"/>
    <d v="2024-05-15T00:00:00"/>
    <x v="0"/>
    <x v="4"/>
  </r>
  <r>
    <x v="102"/>
    <n v="800"/>
    <n v="5.4421768707482991"/>
    <s v="Domestic"/>
    <s v="Food &amp; Beverages"/>
    <d v="2024-05-15T00:00:00"/>
    <x v="0"/>
    <x v="4"/>
  </r>
  <r>
    <x v="88"/>
    <n v="3000"/>
    <n v="20.408163265306122"/>
    <s v="Domestic"/>
    <s v="Transportation"/>
    <d v="2024-05-12T00:00:00"/>
    <x v="0"/>
    <x v="4"/>
  </r>
  <r>
    <x v="346"/>
    <n v="960"/>
    <n v="6.5306122448979593"/>
    <s v="Domestic"/>
    <s v="Food &amp; Beverages"/>
    <d v="2024-05-16T00:00:00"/>
    <x v="0"/>
    <x v="4"/>
  </r>
  <r>
    <x v="324"/>
    <n v="600"/>
    <n v="4.0816326530612246"/>
    <s v="Domestic"/>
    <s v="Food &amp; Beverages"/>
    <d v="2024-05-16T00:00:00"/>
    <x v="0"/>
    <x v="4"/>
  </r>
  <r>
    <x v="326"/>
    <n v="600"/>
    <n v="4.0816326530612246"/>
    <s v="Domestic"/>
    <s v="Food &amp; Beverages"/>
    <d v="2024-05-16T00:00:00"/>
    <x v="0"/>
    <x v="4"/>
  </r>
  <r>
    <x v="317"/>
    <n v="210"/>
    <n v="1.4285714285714286"/>
    <s v="Domestic"/>
    <s v="Food &amp; Beverages"/>
    <d v="2024-05-16T00:00:00"/>
    <x v="0"/>
    <x v="4"/>
  </r>
  <r>
    <x v="320"/>
    <n v="500"/>
    <n v="3.4013605442176869"/>
    <s v="Domestic"/>
    <s v="Food &amp; Beverages"/>
    <d v="2024-05-16T00:00:00"/>
    <x v="0"/>
    <x v="4"/>
  </r>
  <r>
    <x v="329"/>
    <n v="900"/>
    <n v="6.1224489795918364"/>
    <s v="Domestic"/>
    <s v="Food &amp; Beverages"/>
    <d v="2024-05-16T00:00:00"/>
    <x v="0"/>
    <x v="4"/>
  </r>
  <r>
    <x v="429"/>
    <n v="100"/>
    <n v="0.68027210884353739"/>
    <s v="Domestic"/>
    <s v="Food &amp; Beverages"/>
    <d v="2024-05-16T00:00:00"/>
    <x v="0"/>
    <x v="4"/>
  </r>
  <r>
    <x v="430"/>
    <n v="50"/>
    <n v="0.3401360544217687"/>
    <s v="Domestic"/>
    <s v="Food &amp; Beverages"/>
    <d v="2024-05-16T00:00:00"/>
    <x v="0"/>
    <x v="4"/>
  </r>
  <r>
    <x v="385"/>
    <n v="500"/>
    <n v="3.4013605442176869"/>
    <s v="Domestic"/>
    <s v="Food &amp; Beverages"/>
    <d v="2024-05-16T00:00:00"/>
    <x v="0"/>
    <x v="4"/>
  </r>
  <r>
    <x v="431"/>
    <n v="200"/>
    <n v="1.3605442176870748"/>
    <s v="Domestic"/>
    <s v="Food &amp; Beverages"/>
    <d v="2024-05-16T00:00:00"/>
    <x v="0"/>
    <x v="4"/>
  </r>
  <r>
    <x v="28"/>
    <n v="25000"/>
    <n v="170.06802721088437"/>
    <s v="Government"/>
    <s v="Finance &amp; Economy"/>
    <d v="2024-04-24T00:00:00"/>
    <x v="8"/>
    <x v="4"/>
  </r>
  <r>
    <x v="28"/>
    <n v="25000"/>
    <n v="170.06802721088437"/>
    <s v="Government"/>
    <s v="Finance &amp; Economy"/>
    <d v="2024-05-24T00:00:00"/>
    <x v="0"/>
    <x v="4"/>
  </r>
  <r>
    <x v="152"/>
    <n v="57040"/>
    <n v="388.02721088435374"/>
    <s v="Bank"/>
    <s v="Banking"/>
    <d v="2024-04-24T00:00:00"/>
    <x v="8"/>
    <x v="4"/>
  </r>
  <r>
    <x v="152"/>
    <n v="57040"/>
    <n v="388.02721088435374"/>
    <s v="Bank"/>
    <s v="Banking"/>
    <d v="2024-05-24T00:00:00"/>
    <x v="0"/>
    <x v="4"/>
  </r>
  <r>
    <x v="216"/>
    <n v="366"/>
    <n v="2.489795918367347"/>
    <s v="Domestic"/>
    <s v="Food &amp; Beverages"/>
    <d v="2024-05-26T00:00:00"/>
    <x v="0"/>
    <x v="4"/>
  </r>
  <r>
    <x v="272"/>
    <n v="566"/>
    <n v="3.8503401360544216"/>
    <s v="Domestic"/>
    <s v="Food &amp; Beverages"/>
    <d v="2024-05-26T00:00:00"/>
    <x v="0"/>
    <x v="4"/>
  </r>
  <r>
    <x v="432"/>
    <n v="461"/>
    <n v="3.1360544217687076"/>
    <s v="Domestic"/>
    <s v="Food &amp; Beverages"/>
    <d v="2024-05-26T00:00:00"/>
    <x v="0"/>
    <x v="4"/>
  </r>
  <r>
    <x v="432"/>
    <n v="461"/>
    <n v="3.1360544217687076"/>
    <s v="Domestic"/>
    <s v="Food &amp; Beverages"/>
    <d v="2024-05-26T00:00:00"/>
    <x v="0"/>
    <x v="4"/>
  </r>
  <r>
    <x v="433"/>
    <n v="540"/>
    <n v="3.6734693877551021"/>
    <s v="Domestic"/>
    <s v="Food &amp; Beverages"/>
    <d v="2024-05-26T00:00:00"/>
    <x v="0"/>
    <x v="4"/>
  </r>
  <r>
    <x v="434"/>
    <n v="540"/>
    <n v="3.6734693877551021"/>
    <s v="Domestic"/>
    <s v="Food &amp; Beverages"/>
    <d v="2024-05-26T00:00:00"/>
    <x v="0"/>
    <x v="4"/>
  </r>
  <r>
    <x v="257"/>
    <n v="1660"/>
    <n v="11.29251700680272"/>
    <s v="Domestic"/>
    <s v="Food &amp; Beverages"/>
    <d v="2024-05-28T00:00:00"/>
    <x v="0"/>
    <x v="4"/>
  </r>
  <r>
    <x v="435"/>
    <n v="1920"/>
    <n v="13.061224489795919"/>
    <s v="Domestic"/>
    <s v="Food &amp; Beverages"/>
    <d v="2024-05-28T00:00:00"/>
    <x v="0"/>
    <x v="4"/>
  </r>
  <r>
    <x v="409"/>
    <n v="330"/>
    <n v="2.2448979591836733"/>
    <s v="Domestic"/>
    <s v="Food &amp; Beverages"/>
    <d v="2024-05-28T00:00:00"/>
    <x v="0"/>
    <x v="4"/>
  </r>
  <r>
    <x v="436"/>
    <n v="480"/>
    <n v="3.2653061224489797"/>
    <s v="Domestic"/>
    <s v="Food &amp; Beverages"/>
    <d v="2024-05-28T00:00:00"/>
    <x v="0"/>
    <x v="4"/>
  </r>
  <r>
    <x v="437"/>
    <n v="2400"/>
    <n v="16.326530612244898"/>
    <s v="Domestic"/>
    <s v="Food &amp; Beverages"/>
    <d v="2024-05-28T00:00:00"/>
    <x v="0"/>
    <x v="4"/>
  </r>
  <r>
    <x v="438"/>
    <n v="420"/>
    <n v="2.8571428571428572"/>
    <s v="Domestic"/>
    <s v="Food &amp; Beverages"/>
    <d v="2024-05-28T00:00:00"/>
    <x v="0"/>
    <x v="4"/>
  </r>
  <r>
    <x v="427"/>
    <n v="1400"/>
    <n v="9.5238095238095237"/>
    <s v="Domestic"/>
    <s v="Home"/>
    <d v="2024-05-28T00:00:00"/>
    <x v="0"/>
    <x v="4"/>
  </r>
  <r>
    <x v="439"/>
    <n v="505"/>
    <n v="3.435374149659864"/>
    <s v="Domestic"/>
    <s v="Home"/>
    <d v="2024-05-28T00:00:00"/>
    <x v="0"/>
    <x v="4"/>
  </r>
  <r>
    <x v="440"/>
    <n v="700"/>
    <n v="4.7619047619047619"/>
    <s v="Heathcare"/>
    <s v="Health"/>
    <d v="2024-05-27T00:00:00"/>
    <x v="0"/>
    <x v="4"/>
  </r>
  <r>
    <x v="441"/>
    <n v="950"/>
    <n v="6.4625850340136051"/>
    <s v="Heathcare"/>
    <s v="Health"/>
    <d v="2024-05-27T00:00:00"/>
    <x v="0"/>
    <x v="4"/>
  </r>
  <r>
    <x v="442"/>
    <n v="223"/>
    <n v="1.5170068027210883"/>
    <s v="Domestic"/>
    <s v="Food &amp; Beverages"/>
    <d v="2024-05-27T00:00:00"/>
    <x v="0"/>
    <x v="4"/>
  </r>
  <r>
    <x v="312"/>
    <n v="3630"/>
    <n v="24.693877551020407"/>
    <s v="Domestic"/>
    <s v="Food &amp; Beverages"/>
    <d v="2024-05-27T00:00:00"/>
    <x v="0"/>
    <x v="4"/>
  </r>
  <r>
    <x v="395"/>
    <n v="290"/>
    <n v="1.9727891156462585"/>
    <s v="Domestic"/>
    <s v="Food &amp; Beverages"/>
    <d v="2024-05-26T00:00:00"/>
    <x v="0"/>
    <x v="4"/>
  </r>
  <r>
    <x v="352"/>
    <n v="132"/>
    <n v="0.89795918367346939"/>
    <s v="Domestic"/>
    <s v="Food &amp; Beverages"/>
    <d v="2024-05-26T00:00:00"/>
    <x v="0"/>
    <x v="4"/>
  </r>
  <r>
    <x v="443"/>
    <n v="500"/>
    <n v="3.4013605442176869"/>
    <s v="Domestic"/>
    <s v="Food &amp; Beverages"/>
    <d v="2024-05-26T00:00:00"/>
    <x v="0"/>
    <x v="4"/>
  </r>
  <r>
    <x v="444"/>
    <n v="360"/>
    <n v="2.4489795918367347"/>
    <s v="Domestic"/>
    <s v="Food &amp; Beverages"/>
    <d v="2024-05-26T00:00:00"/>
    <x v="0"/>
    <x v="4"/>
  </r>
  <r>
    <x v="445"/>
    <n v="170"/>
    <n v="1.1564625850340136"/>
    <s v="Domestic"/>
    <s v="Food &amp; Beverages"/>
    <d v="2024-05-26T00:00:00"/>
    <x v="0"/>
    <x v="4"/>
  </r>
  <r>
    <x v="367"/>
    <n v="120"/>
    <n v="0.81632653061224492"/>
    <s v="Domestic"/>
    <s v="Food &amp; Beverages"/>
    <d v="2024-05-26T00:00:00"/>
    <x v="0"/>
    <x v="4"/>
  </r>
  <r>
    <x v="446"/>
    <n v="200"/>
    <n v="1.3605442176870748"/>
    <s v="Domestic"/>
    <s v="Food &amp; Beverages"/>
    <d v="2024-05-26T00:00:00"/>
    <x v="0"/>
    <x v="4"/>
  </r>
  <r>
    <x v="447"/>
    <n v="1000"/>
    <n v="6.8027210884353737"/>
    <s v="Domestic"/>
    <s v="Food &amp; Beverages"/>
    <d v="2024-05-26T00:00:00"/>
    <x v="0"/>
    <x v="4"/>
  </r>
  <r>
    <x v="423"/>
    <n v="1000"/>
    <n v="6.8027210884353737"/>
    <s v="Domestic"/>
    <s v="Food &amp; Beverages"/>
    <d v="2024-05-26T00:00:00"/>
    <x v="0"/>
    <x v="4"/>
  </r>
  <r>
    <x v="448"/>
    <n v="712"/>
    <n v="4.8435374149659864"/>
    <s v="Domestic"/>
    <s v="Food &amp; Beverages"/>
    <d v="2024-05-26T00:00:00"/>
    <x v="0"/>
    <x v="4"/>
  </r>
  <r>
    <x v="188"/>
    <n v="4000"/>
    <n v="27.210884353741495"/>
    <s v="Domestic"/>
    <s v="Electronics"/>
    <d v="2024-05-28T00:00:00"/>
    <x v="0"/>
    <x v="4"/>
  </r>
  <r>
    <x v="224"/>
    <n v="20000"/>
    <n v="136.05442176870747"/>
    <s v="Domestic"/>
    <s v="Electronics"/>
    <d v="2024-05-24T00:00:00"/>
    <x v="0"/>
    <x v="4"/>
  </r>
  <r>
    <x v="88"/>
    <n v="3000"/>
    <n v="20.408163265306122"/>
    <s v="Domestic"/>
    <s v="Transportation"/>
    <d v="2024-05-24T00:00:00"/>
    <x v="0"/>
    <x v="4"/>
  </r>
  <r>
    <x v="22"/>
    <n v="7884"/>
    <n v="53.632653061224488"/>
    <s v="Insurance"/>
    <s v="Life Insurance"/>
    <d v="2024-05-28T00:00:00"/>
    <x v="0"/>
    <x v="4"/>
  </r>
  <r>
    <x v="224"/>
    <n v="3200"/>
    <n v="21.768707482993197"/>
    <s v="Domestic"/>
    <s v="Electronics"/>
    <d v="2024-04-24T00:00:00"/>
    <x v="8"/>
    <x v="4"/>
  </r>
  <r>
    <x v="224"/>
    <n v="3200"/>
    <n v="21.768707482993197"/>
    <s v="Domestic"/>
    <s v="Electronics"/>
    <d v="2024-02-26T00:00:00"/>
    <x v="6"/>
    <x v="4"/>
  </r>
  <r>
    <x v="88"/>
    <n v="4000"/>
    <n v="27.210884353741495"/>
    <s v="Domestic"/>
    <s v="Transportation"/>
    <d v="2024-05-30T00:00:00"/>
    <x v="0"/>
    <x v="4"/>
  </r>
  <r>
    <x v="110"/>
    <n v="84000"/>
    <n v="571.42857142857144"/>
    <s v="Insurance"/>
    <s v="Car Insurance"/>
    <d v="2024-06-03T00:00:00"/>
    <x v="9"/>
    <x v="4"/>
  </r>
  <r>
    <x v="199"/>
    <n v="10000"/>
    <n v="68.027210884353735"/>
    <s v="Government"/>
    <s v="Finance &amp; Economy"/>
    <d v="2024-05-13T00:00:00"/>
    <x v="0"/>
    <x v="4"/>
  </r>
  <r>
    <x v="72"/>
    <n v="5100"/>
    <n v="34.693877551020407"/>
    <s v="Domestic"/>
    <s v="Food &amp; Beverages"/>
    <d v="2024-05-31T00:00:00"/>
    <x v="0"/>
    <x v="4"/>
  </r>
  <r>
    <x v="449"/>
    <n v="3000"/>
    <n v="20.408163265306122"/>
    <s v="Domestic"/>
    <s v="Food &amp; Beverages"/>
    <d v="2024-06-04T00:00:00"/>
    <x v="9"/>
    <x v="4"/>
  </r>
  <r>
    <x v="345"/>
    <n v="1200"/>
    <n v="8.1632653061224492"/>
    <s v="Domestic"/>
    <s v="Food &amp; Beverages"/>
    <d v="2024-06-05T00:00:00"/>
    <x v="9"/>
    <x v="4"/>
  </r>
  <r>
    <x v="144"/>
    <n v="3969"/>
    <n v="27"/>
    <s v="Domestic"/>
    <s v="Entertainment"/>
    <d v="2024-06-05T00:00:00"/>
    <x v="9"/>
    <x v="4"/>
  </r>
  <r>
    <x v="127"/>
    <n v="940.43000000000006"/>
    <n v="5.99"/>
    <s v="Domestic"/>
    <s v="Electronics"/>
    <d v="2024-05-15T00:00:00"/>
    <x v="0"/>
    <x v="4"/>
  </r>
  <r>
    <x v="62"/>
    <n v="1200"/>
    <n v="8.1632653061224492"/>
    <s v="Domestic"/>
    <s v="Food &amp; Beverages"/>
    <d v="2024-06-04T00:00:00"/>
    <x v="9"/>
    <x v="4"/>
  </r>
  <r>
    <x v="62"/>
    <n v="2400"/>
    <n v="16.326530612244898"/>
    <s v="Domestic"/>
    <s v="Food &amp; Beverages"/>
    <d v="2024-06-08T00:00:00"/>
    <x v="9"/>
    <x v="4"/>
  </r>
  <r>
    <x v="450"/>
    <n v="3500"/>
    <n v="23.80952380952381"/>
    <s v="Domestic"/>
    <s v="Food &amp; Beverages"/>
    <d v="2024-06-07T00:00:00"/>
    <x v="9"/>
    <x v="4"/>
  </r>
  <r>
    <x v="88"/>
    <n v="2000"/>
    <n v="13.605442176870747"/>
    <s v="Domestic"/>
    <s v="Transportation"/>
    <d v="2024-06-06T00:00:00"/>
    <x v="9"/>
    <x v="4"/>
  </r>
  <r>
    <x v="88"/>
    <n v="2000"/>
    <n v="13.605442176870747"/>
    <s v="Domestic"/>
    <s v="Transportation"/>
    <d v="2024-06-16T00:00:00"/>
    <x v="9"/>
    <x v="4"/>
  </r>
  <r>
    <x v="91"/>
    <n v="2000"/>
    <n v="13.605442176870747"/>
    <s v="Domestic"/>
    <s v="Transportation"/>
    <d v="2024-06-10T00:00:00"/>
    <x v="9"/>
    <x v="4"/>
  </r>
  <r>
    <x v="91"/>
    <n v="2000"/>
    <n v="13.605442176870747"/>
    <s v="Domestic"/>
    <s v="Transportation"/>
    <d v="2024-06-12T00:00:00"/>
    <x v="9"/>
    <x v="4"/>
  </r>
  <r>
    <x v="451"/>
    <n v="750"/>
    <n v="5.1020408163265305"/>
    <s v="Domestic"/>
    <s v="Food &amp; Beverages"/>
    <d v="2024-06-12T00:00:00"/>
    <x v="9"/>
    <x v="4"/>
  </r>
  <r>
    <x v="409"/>
    <n v="350"/>
    <n v="2.3809523809523809"/>
    <s v="Domestic"/>
    <s v="Food &amp; Beverages"/>
    <d v="2024-06-12T00:00:00"/>
    <x v="9"/>
    <x v="4"/>
  </r>
  <r>
    <x v="369"/>
    <n v="1000"/>
    <n v="6.8027210884353737"/>
    <s v="Heathcare"/>
    <s v="Health"/>
    <d v="2024-06-20T00:00:00"/>
    <x v="9"/>
    <x v="4"/>
  </r>
  <r>
    <x v="385"/>
    <n v="400"/>
    <n v="2.7210884353741496"/>
    <s v="Domestic"/>
    <s v="Food &amp; Beverages"/>
    <d v="2024-06-20T00:00:00"/>
    <x v="9"/>
    <x v="4"/>
  </r>
  <r>
    <x v="374"/>
    <n v="300"/>
    <n v="2.0408163265306123"/>
    <s v="Domestic"/>
    <s v="Food &amp; Beverages"/>
    <d v="2024-06-20T00:00:00"/>
    <x v="9"/>
    <x v="4"/>
  </r>
  <r>
    <x v="452"/>
    <n v="300"/>
    <n v="2.0408163265306123"/>
    <s v="Domestic"/>
    <s v="Food &amp; Beverages"/>
    <d v="2024-06-20T00:00:00"/>
    <x v="9"/>
    <x v="4"/>
  </r>
  <r>
    <x v="324"/>
    <n v="200"/>
    <n v="1.3605442176870748"/>
    <s v="Domestic"/>
    <s v="Food &amp; Beverages"/>
    <d v="2024-06-20T00:00:00"/>
    <x v="9"/>
    <x v="4"/>
  </r>
  <r>
    <x v="319"/>
    <n v="200"/>
    <n v="1.3605442176870748"/>
    <s v="Domestic"/>
    <s v="Food &amp; Beverages"/>
    <d v="2024-06-20T00:00:00"/>
    <x v="9"/>
    <x v="4"/>
  </r>
  <r>
    <x v="431"/>
    <n v="400"/>
    <n v="2.7210884353741496"/>
    <s v="Domestic"/>
    <s v="Food &amp; Beverages"/>
    <d v="2024-06-20T00:00:00"/>
    <x v="9"/>
    <x v="4"/>
  </r>
  <r>
    <x v="322"/>
    <n v="1500"/>
    <n v="10.204081632653061"/>
    <s v="Domestic"/>
    <s v="Food &amp; Beverages"/>
    <d v="2024-06-20T00:00:00"/>
    <x v="9"/>
    <x v="4"/>
  </r>
  <r>
    <x v="141"/>
    <n v="2000"/>
    <n v="13.605442176870747"/>
    <s v="Domestic"/>
    <s v="Food &amp; Beverages"/>
    <d v="2024-06-19T00:00:00"/>
    <x v="9"/>
    <x v="4"/>
  </r>
  <r>
    <x v="369"/>
    <n v="4200"/>
    <n v="28.571428571428573"/>
    <s v="Heathcare"/>
    <s v="Health"/>
    <d v="2024-06-28T00:00:00"/>
    <x v="9"/>
    <x v="4"/>
  </r>
  <r>
    <x v="88"/>
    <n v="2000"/>
    <n v="13.605442176870747"/>
    <s v="Domestic"/>
    <s v="Food &amp; Beverages"/>
    <d v="2024-06-21T00:00:00"/>
    <x v="9"/>
    <x v="4"/>
  </r>
  <r>
    <x v="88"/>
    <n v="2000"/>
    <n v="13.605442176870747"/>
    <s v="Domestic"/>
    <s v="Food &amp; Beverages"/>
    <d v="2024-06-24T00:00:00"/>
    <x v="9"/>
    <x v="4"/>
  </r>
  <r>
    <x v="127"/>
    <n v="940.43000000000006"/>
    <n v="5.99"/>
    <s v="Domestic"/>
    <s v="Electronics"/>
    <d v="2024-06-15T00:00:00"/>
    <x v="9"/>
    <x v="4"/>
  </r>
  <r>
    <x v="224"/>
    <n v="5600"/>
    <n v="38.095238095238095"/>
    <s v="Domestic"/>
    <s v="Electronics"/>
    <d v="2024-06-28T00:00:00"/>
    <x v="9"/>
    <x v="4"/>
  </r>
  <r>
    <x v="152"/>
    <n v="57040"/>
    <n v="388.02721088435374"/>
    <s v="Bank"/>
    <s v="Banking"/>
    <d v="2024-06-28T00:00:00"/>
    <x v="9"/>
    <x v="4"/>
  </r>
  <r>
    <x v="159"/>
    <n v="30000"/>
    <n v="204.08163265306123"/>
    <s v="Domestic"/>
    <s v=" Car Maintenance"/>
    <d v="2024-06-28T00:00:00"/>
    <x v="9"/>
    <x v="4"/>
  </r>
  <r>
    <x v="453"/>
    <n v="15000"/>
    <n v="102.04081632653062"/>
    <s v="Domestic"/>
    <s v=" Car Maintenance"/>
    <d v="2024-06-29T00:00:00"/>
    <x v="9"/>
    <x v="4"/>
  </r>
  <r>
    <x v="88"/>
    <n v="2000"/>
    <n v="13.605442176870747"/>
    <s v="Domestic"/>
    <s v="Transportation"/>
    <d v="2024-06-28T00:00:00"/>
    <x v="9"/>
    <x v="4"/>
  </r>
  <r>
    <x v="363"/>
    <n v="900"/>
    <n v="6.1224489795918364"/>
    <s v="Domestic"/>
    <s v="Food &amp; Beverages"/>
    <d v="2024-06-28T00:00:00"/>
    <x v="9"/>
    <x v="4"/>
  </r>
  <r>
    <x v="28"/>
    <n v="25000"/>
    <n v="170.06802721088437"/>
    <s v="Government"/>
    <s v="Finance &amp; Economy"/>
    <d v="2024-06-28T00:00:00"/>
    <x v="9"/>
    <x v="4"/>
  </r>
  <r>
    <x v="188"/>
    <n v="4000"/>
    <n v="27.210884353741495"/>
    <s v="Domestic"/>
    <s v="Electronics"/>
    <d v="2024-06-28T00:00:00"/>
    <x v="9"/>
    <x v="4"/>
  </r>
  <r>
    <x v="22"/>
    <n v="7884"/>
    <n v="53.632653061224488"/>
    <s v="Insurance"/>
    <s v="Life Insurance"/>
    <d v="2024-06-28T00:00:00"/>
    <x v="9"/>
    <x v="4"/>
  </r>
  <r>
    <x v="281"/>
    <n v="300"/>
    <n v="2.0408163265306123"/>
    <s v="Domestic"/>
    <s v="Food &amp; Beverages"/>
    <d v="2024-06-29T00:00:00"/>
    <x v="9"/>
    <x v="4"/>
  </r>
  <r>
    <x v="438"/>
    <n v="200"/>
    <n v="1.3605442176870748"/>
    <s v="Domestic"/>
    <s v="Food &amp; Beverages"/>
    <d v="2024-06-29T00:00:00"/>
    <x v="9"/>
    <x v="4"/>
  </r>
  <r>
    <x v="363"/>
    <n v="1300"/>
    <n v="8.8435374149659864"/>
    <s v="Domestic"/>
    <s v="Food &amp; Beverages"/>
    <d v="2024-06-29T00:00:00"/>
    <x v="9"/>
    <x v="4"/>
  </r>
  <r>
    <x v="373"/>
    <n v="3300"/>
    <n v="22.448979591836736"/>
    <s v="Heathcare"/>
    <s v="Health"/>
    <d v="2024-06-29T00:00:00"/>
    <x v="9"/>
    <x v="4"/>
  </r>
  <r>
    <x v="207"/>
    <n v="600"/>
    <n v="4.0816326530612246"/>
    <s v="Heathcare"/>
    <s v="Health"/>
    <d v="2024-06-29T00:00:00"/>
    <x v="9"/>
    <x v="4"/>
  </r>
  <r>
    <x v="340"/>
    <n v="120"/>
    <n v="0.81632653061224492"/>
    <s v="Domestic"/>
    <s v="Food &amp; Beverages"/>
    <d v="2024-06-29T00:00:00"/>
    <x v="9"/>
    <x v="4"/>
  </r>
  <r>
    <x v="62"/>
    <n v="1300"/>
    <n v="8.8435374149659864"/>
    <s v="Domestic"/>
    <s v="Food &amp; Beverages"/>
    <d v="2024-06-30T00:00:00"/>
    <x v="9"/>
    <x v="4"/>
  </r>
  <r>
    <x v="454"/>
    <n v="2600"/>
    <n v="17.687074829931973"/>
    <s v="Domestic"/>
    <s v="Food &amp; Beverages"/>
    <d v="2024-07-01T00:00:00"/>
    <x v="10"/>
    <x v="4"/>
  </r>
  <r>
    <x v="455"/>
    <n v="800"/>
    <n v="5.4421768707482991"/>
    <s v="Domestic"/>
    <s v="Food &amp; Beverages"/>
    <d v="2024-07-01T00:00:00"/>
    <x v="10"/>
    <x v="4"/>
  </r>
  <r>
    <x v="5"/>
    <n v="1800"/>
    <n v="12.244897959183673"/>
    <s v="Domestic"/>
    <s v="Food &amp; Beverages"/>
    <d v="2024-07-01T00:00:00"/>
    <x v="10"/>
    <x v="4"/>
  </r>
  <r>
    <x v="456"/>
    <n v="670"/>
    <n v="4.5578231292517009"/>
    <s v="Domestic"/>
    <s v="Food &amp; Beverages"/>
    <d v="2024-07-01T00:00:00"/>
    <x v="10"/>
    <x v="4"/>
  </r>
  <r>
    <x v="4"/>
    <n v="560"/>
    <n v="3.8095238095238093"/>
    <s v="Domestic"/>
    <s v="Food &amp; Beverages"/>
    <d v="2024-07-01T00:00:00"/>
    <x v="10"/>
    <x v="4"/>
  </r>
  <r>
    <x v="457"/>
    <n v="1100"/>
    <n v="7.4829931972789119"/>
    <s v="Domestic"/>
    <s v="Food &amp; Beverages"/>
    <d v="2024-07-01T00:00:00"/>
    <x v="10"/>
    <x v="4"/>
  </r>
  <r>
    <x v="458"/>
    <n v="2200"/>
    <n v="14.965986394557824"/>
    <s v="Domestic"/>
    <s v="Food &amp; Beverages"/>
    <d v="2024-07-01T00:00:00"/>
    <x v="10"/>
    <x v="4"/>
  </r>
  <r>
    <x v="362"/>
    <n v="3000"/>
    <n v="20.408163265306122"/>
    <s v="Domestic"/>
    <s v="Home"/>
    <d v="2024-07-02T00:00:00"/>
    <x v="10"/>
    <x v="4"/>
  </r>
  <r>
    <x v="362"/>
    <n v="3000"/>
    <n v="20.408163265306122"/>
    <s v="Domestic"/>
    <s v="Home"/>
    <d v="2024-07-02T00:00:00"/>
    <x v="10"/>
    <x v="4"/>
  </r>
  <r>
    <x v="369"/>
    <n v="2100"/>
    <n v="14.285714285714286"/>
    <s v="Heathcare"/>
    <s v="Health"/>
    <d v="2024-07-02T00:00:00"/>
    <x v="10"/>
    <x v="4"/>
  </r>
  <r>
    <x v="335"/>
    <n v="200"/>
    <n v="1.3605442176870748"/>
    <s v="Heathcare"/>
    <s v="Health"/>
    <d v="2024-07-02T00:00:00"/>
    <x v="10"/>
    <x v="4"/>
  </r>
  <r>
    <x v="459"/>
    <n v="12000"/>
    <n v="81.632653061224488"/>
    <s v="Domestic"/>
    <s v="Outing"/>
    <d v="2024-07-02T00:00:00"/>
    <x v="10"/>
    <x v="4"/>
  </r>
  <r>
    <x v="88"/>
    <n v="2000"/>
    <n v="13.605442176870747"/>
    <s v="Domestic"/>
    <s v="Transportation"/>
    <d v="2024-07-05T00:00:00"/>
    <x v="10"/>
    <x v="4"/>
  </r>
  <r>
    <x v="207"/>
    <n v="1200"/>
    <n v="8.1632653061224492"/>
    <s v="Heathcare"/>
    <s v="Health"/>
    <d v="2024-07-05T00:00:00"/>
    <x v="10"/>
    <x v="4"/>
  </r>
  <r>
    <x v="363"/>
    <n v="1300"/>
    <n v="8.8435374149659864"/>
    <s v="Domestic"/>
    <s v="Food &amp; Beverages"/>
    <d v="2024-07-05T00:00:00"/>
    <x v="10"/>
    <x v="4"/>
  </r>
  <r>
    <x v="460"/>
    <n v="600"/>
    <n v="4.0816326530612246"/>
    <s v="Domestic"/>
    <s v="Home"/>
    <d v="2024-07-04T00:00:00"/>
    <x v="10"/>
    <x v="4"/>
  </r>
  <r>
    <x v="461"/>
    <n v="600"/>
    <n v="4.0816326530612246"/>
    <s v="Domestic"/>
    <s v="Home"/>
    <d v="2024-07-04T00:00:00"/>
    <x v="10"/>
    <x v="4"/>
  </r>
  <r>
    <x v="462"/>
    <n v="2000"/>
    <n v="13.605442176870747"/>
    <s v="Domestic"/>
    <s v="Home"/>
    <d v="2024-07-04T00:00:00"/>
    <x v="10"/>
    <x v="4"/>
  </r>
  <r>
    <x v="409"/>
    <n v="400"/>
    <n v="2.7210884353741496"/>
    <s v="Domestic"/>
    <s v="Food &amp; Beverages"/>
    <d v="2024-07-04T00:00:00"/>
    <x v="10"/>
    <x v="4"/>
  </r>
  <r>
    <x v="281"/>
    <n v="300"/>
    <n v="2.0408163265306123"/>
    <s v="Domestic"/>
    <s v="Food &amp; Beverages"/>
    <d v="2024-07-04T00:00:00"/>
    <x v="10"/>
    <x v="4"/>
  </r>
  <r>
    <x v="356"/>
    <n v="1500"/>
    <n v="10.204081632653061"/>
    <s v="Heathcare"/>
    <s v="Health"/>
    <d v="2024-07-01T00:00:00"/>
    <x v="10"/>
    <x v="4"/>
  </r>
  <r>
    <x v="463"/>
    <n v="1000"/>
    <n v="6.8027210884353737"/>
    <s v="Domestic"/>
    <s v="Home"/>
    <d v="2024-07-03T00:00:00"/>
    <x v="10"/>
    <x v="4"/>
  </r>
  <r>
    <x v="312"/>
    <n v="2400"/>
    <n v="16.326530612244898"/>
    <s v="Domestic"/>
    <s v="Food &amp; Beverages"/>
    <d v="2024-07-06T00:00:00"/>
    <x v="10"/>
    <x v="4"/>
  </r>
  <r>
    <x v="464"/>
    <n v="2800"/>
    <n v="19.047619047619047"/>
    <s v="Domestic"/>
    <s v="Home"/>
    <d v="2024-07-06T00:00:00"/>
    <x v="10"/>
    <x v="4"/>
  </r>
  <r>
    <x v="247"/>
    <n v="3400"/>
    <n v="23.129251700680271"/>
    <s v="Heathcare"/>
    <s v="Health"/>
    <d v="2024-07-06T00:00:00"/>
    <x v="10"/>
    <x v="4"/>
  </r>
  <r>
    <x v="465"/>
    <n v="3100"/>
    <n v="21.088435374149661"/>
    <s v="Domestic"/>
    <s v="Home"/>
    <d v="2024-07-06T00:00:00"/>
    <x v="10"/>
    <x v="4"/>
  </r>
  <r>
    <x v="466"/>
    <n v="9940"/>
    <n v="67.61904761904762"/>
    <s v="Domestic"/>
    <s v="Food &amp; Beverages"/>
    <d v="2024-07-13T00:00:00"/>
    <x v="10"/>
    <x v="4"/>
  </r>
  <r>
    <x v="88"/>
    <n v="4000"/>
    <n v="27.210884353741495"/>
    <s v="Domestic"/>
    <s v="Transportation"/>
    <d v="2024-07-14T00:00:00"/>
    <x v="10"/>
    <x v="4"/>
  </r>
  <r>
    <x v="467"/>
    <n v="2300"/>
    <n v="15.646258503401361"/>
    <s v="Domestic"/>
    <s v="Food &amp; Beverages"/>
    <d v="2024-07-13T00:00:00"/>
    <x v="10"/>
    <x v="4"/>
  </r>
  <r>
    <x v="468"/>
    <n v="14000"/>
    <n v="95.238095238095241"/>
    <s v="Heathcare"/>
    <s v="Health"/>
    <d v="2024-07-13T00:00:00"/>
    <x v="10"/>
    <x v="4"/>
  </r>
  <r>
    <x v="354"/>
    <n v="30000"/>
    <n v="204.08163265306123"/>
    <s v="Heathcare"/>
    <s v="Health"/>
    <d v="2024-07-15T00:00:00"/>
    <x v="10"/>
    <x v="4"/>
  </r>
  <r>
    <x v="469"/>
    <n v="4300"/>
    <n v="29.251700680272108"/>
    <s v="Domestic"/>
    <s v="Entertainment"/>
    <d v="2024-07-12T00:00:00"/>
    <x v="10"/>
    <x v="4"/>
  </r>
  <r>
    <x v="470"/>
    <n v="1000"/>
    <n v="6.8027210884353737"/>
    <s v="Domestic"/>
    <s v="Food &amp; Beverages"/>
    <d v="2024-07-12T00:00:00"/>
    <x v="10"/>
    <x v="4"/>
  </r>
  <r>
    <x v="62"/>
    <n v="3030"/>
    <n v="20.612244897959183"/>
    <s v="Domestic"/>
    <s v="Food &amp; Beverages"/>
    <d v="2024-07-11T00:00:00"/>
    <x v="10"/>
    <x v="4"/>
  </r>
  <r>
    <x v="62"/>
    <n v="2180"/>
    <n v="14.829931972789115"/>
    <s v="Domestic"/>
    <s v="Food &amp; Beverages"/>
    <d v="2024-07-08T00:00:00"/>
    <x v="10"/>
    <x v="4"/>
  </r>
  <r>
    <x v="141"/>
    <n v="1000"/>
    <n v="6.8027210884353737"/>
    <s v="Domestic"/>
    <s v="Food &amp; Beverages"/>
    <d v="2024-07-17T00:00:00"/>
    <x v="10"/>
    <x v="4"/>
  </r>
  <r>
    <x v="141"/>
    <n v="1200"/>
    <n v="8.1632653061224492"/>
    <s v="Domestic"/>
    <s v="Food &amp; Beverages"/>
    <d v="2024-07-18T00:00:00"/>
    <x v="10"/>
    <x v="4"/>
  </r>
  <r>
    <x v="141"/>
    <n v="2000"/>
    <n v="13.605442176870747"/>
    <s v="Domestic"/>
    <s v="Food &amp; Beverages"/>
    <d v="2024-07-19T00:00:00"/>
    <x v="10"/>
    <x v="4"/>
  </r>
  <r>
    <x v="286"/>
    <n v="2000"/>
    <n v="13.605442176870747"/>
    <s v="Domestic"/>
    <s v="Food &amp; Beverages"/>
    <d v="2024-07-15T00:00:00"/>
    <x v="10"/>
    <x v="4"/>
  </r>
  <r>
    <x v="389"/>
    <n v="110"/>
    <n v="0.74829931972789121"/>
    <s v="Domestic"/>
    <s v="Food &amp; Beverages"/>
    <d v="2024-07-16T00:00:00"/>
    <x v="10"/>
    <x v="4"/>
  </r>
  <r>
    <x v="395"/>
    <n v="150"/>
    <n v="1.0204081632653061"/>
    <s v="Domestic"/>
    <s v="Food &amp; Beverages"/>
    <d v="2024-07-16T00:00:00"/>
    <x v="10"/>
    <x v="4"/>
  </r>
  <r>
    <x v="251"/>
    <n v="100"/>
    <n v="0.68027210884353739"/>
    <s v="Domestic"/>
    <s v="Food &amp; Beverages"/>
    <d v="2024-07-16T00:00:00"/>
    <x v="10"/>
    <x v="4"/>
  </r>
  <r>
    <x v="280"/>
    <n v="200"/>
    <n v="1.3605442176870748"/>
    <s v="Domestic"/>
    <s v="Food &amp; Beverages"/>
    <d v="2024-07-16T00:00:00"/>
    <x v="10"/>
    <x v="4"/>
  </r>
  <r>
    <x v="367"/>
    <n v="200"/>
    <n v="1.3605442176870748"/>
    <s v="Domestic"/>
    <s v="Food &amp; Beverages"/>
    <d v="2024-07-16T00:00:00"/>
    <x v="10"/>
    <x v="4"/>
  </r>
  <r>
    <x v="207"/>
    <n v="1800"/>
    <n v="12.244897959183673"/>
    <s v="Heathcare"/>
    <s v="Health"/>
    <d v="2024-07-18T00:00:00"/>
    <x v="10"/>
    <x v="4"/>
  </r>
  <r>
    <x v="329"/>
    <n v="2000"/>
    <n v="13.605442176870747"/>
    <s v="Heathcare"/>
    <s v="Health"/>
    <d v="2024-07-19T00:00:00"/>
    <x v="10"/>
    <x v="4"/>
  </r>
  <r>
    <x v="216"/>
    <n v="4000"/>
    <n v="27.210884353741495"/>
    <s v="Domestic"/>
    <s v="Food &amp; Beverages"/>
    <d v="2024-07-19T00:00:00"/>
    <x v="10"/>
    <x v="4"/>
  </r>
  <r>
    <x v="72"/>
    <n v="1660"/>
    <n v="11.29251700680272"/>
    <s v="Domestic"/>
    <s v="Food &amp; Beverages"/>
    <d v="2024-07-16T00:00:00"/>
    <x v="10"/>
    <x v="4"/>
  </r>
  <r>
    <x v="320"/>
    <n v="550"/>
    <n v="3.7414965986394559"/>
    <s v="Heathcare"/>
    <s v="Health"/>
    <d v="2024-07-21T00:00:00"/>
    <x v="10"/>
    <x v="4"/>
  </r>
  <r>
    <x v="281"/>
    <n v="300"/>
    <n v="2.0408163265306123"/>
    <s v="Domestic"/>
    <s v="Food &amp; Beverages"/>
    <d v="2024-07-21T00:00:00"/>
    <x v="10"/>
    <x v="4"/>
  </r>
  <r>
    <x v="207"/>
    <n v="1300"/>
    <n v="8.8435374149659864"/>
    <s v="Heathcare"/>
    <s v="Health"/>
    <d v="2024-07-21T00:00:00"/>
    <x v="10"/>
    <x v="4"/>
  </r>
  <r>
    <x v="19"/>
    <n v="3000"/>
    <n v="20.408163265306122"/>
    <s v="Heathcare"/>
    <s v="Health"/>
    <d v="2024-07-22T00:00:00"/>
    <x v="10"/>
    <x v="4"/>
  </r>
  <r>
    <x v="20"/>
    <n v="3500"/>
    <n v="23.80952380952381"/>
    <s v="Heathcare"/>
    <s v="Health"/>
    <d v="2024-07-22T00:00:00"/>
    <x v="10"/>
    <x v="4"/>
  </r>
  <r>
    <x v="88"/>
    <n v="4000"/>
    <n v="27.210884353741495"/>
    <s v="Domestic"/>
    <s v="Transportation"/>
    <d v="2024-07-21T00:00:00"/>
    <x v="10"/>
    <x v="4"/>
  </r>
  <r>
    <x v="329"/>
    <n v="700"/>
    <n v="4.7619047619047619"/>
    <s v="Heathcare"/>
    <s v="Health"/>
    <d v="2024-07-25T00:00:00"/>
    <x v="10"/>
    <x v="4"/>
  </r>
  <r>
    <x v="321"/>
    <n v="1000"/>
    <n v="6.8027210884353737"/>
    <s v="Heathcare"/>
    <s v="Health"/>
    <d v="2024-07-25T00:00:00"/>
    <x v="10"/>
    <x v="4"/>
  </r>
  <r>
    <x v="369"/>
    <n v="800"/>
    <n v="5.4421768707482991"/>
    <s v="Heathcare"/>
    <s v="Health"/>
    <d v="2024-07-25T00:00:00"/>
    <x v="10"/>
    <x v="4"/>
  </r>
  <r>
    <x v="369"/>
    <n v="1200"/>
    <n v="8.1632653061224492"/>
    <s v="Heathcare"/>
    <s v="Health"/>
    <d v="2024-07-23T00:00:00"/>
    <x v="10"/>
    <x v="4"/>
  </r>
  <r>
    <x v="329"/>
    <n v="900"/>
    <n v="6.1224489795918364"/>
    <s v="Heathcare"/>
    <s v="Health"/>
    <d v="2024-07-23T00:00:00"/>
    <x v="10"/>
    <x v="4"/>
  </r>
  <r>
    <x v="321"/>
    <n v="750"/>
    <n v="5.1020408163265305"/>
    <s v="Heathcare"/>
    <s v="Health"/>
    <d v="2024-07-23T00:00:00"/>
    <x v="10"/>
    <x v="4"/>
  </r>
  <r>
    <x v="349"/>
    <n v="500"/>
    <n v="3.4013605442176869"/>
    <s v="Heathcare"/>
    <s v="Health"/>
    <d v="2024-07-23T00:00:00"/>
    <x v="10"/>
    <x v="4"/>
  </r>
  <r>
    <x v="471"/>
    <n v="1000"/>
    <n v="6.8027210884353737"/>
    <s v="Domestic"/>
    <s v="Home"/>
    <d v="2024-07-23T00:00:00"/>
    <x v="10"/>
    <x v="4"/>
  </r>
  <r>
    <x v="472"/>
    <n v="1000"/>
    <n v="6.8027210884353737"/>
    <s v="Domestic"/>
    <s v="Home"/>
    <d v="2024-07-26T00:00:00"/>
    <x v="10"/>
    <x v="4"/>
  </r>
  <r>
    <x v="302"/>
    <n v="400"/>
    <n v="2.7210884353741496"/>
    <s v="Heathcare"/>
    <s v="Health"/>
    <d v="2024-07-26T00:00:00"/>
    <x v="10"/>
    <x v="4"/>
  </r>
  <r>
    <x v="281"/>
    <n v="300"/>
    <n v="2.0408163265306123"/>
    <s v="Domestic"/>
    <s v="Food &amp; Beverages"/>
    <d v="2024-07-26T00:00:00"/>
    <x v="10"/>
    <x v="4"/>
  </r>
  <r>
    <x v="352"/>
    <n v="180"/>
    <n v="1.2244897959183674"/>
    <s v="Domestic"/>
    <s v="Food &amp; Beverages"/>
    <d v="2024-07-26T00:00:00"/>
    <x v="10"/>
    <x v="4"/>
  </r>
  <r>
    <x v="281"/>
    <n v="340"/>
    <n v="2.3129251700680271"/>
    <s v="Domestic"/>
    <s v="Food &amp; Beverages"/>
    <d v="2024-07-26T00:00:00"/>
    <x v="10"/>
    <x v="4"/>
  </r>
  <r>
    <x v="352"/>
    <n v="230"/>
    <n v="1.564625850340136"/>
    <s v="Domestic"/>
    <s v="Food &amp; Beverages"/>
    <d v="2024-07-26T00:00:00"/>
    <x v="10"/>
    <x v="4"/>
  </r>
  <r>
    <x v="369"/>
    <n v="1400"/>
    <n v="9.5238095238095237"/>
    <s v="Heathcare"/>
    <s v="Health"/>
    <d v="2024-07-26T00:00:00"/>
    <x v="10"/>
    <x v="4"/>
  </r>
  <r>
    <x v="473"/>
    <n v="600"/>
    <n v="4.0816326530612246"/>
    <s v="Heathcare"/>
    <s v="Health"/>
    <d v="2024-07-26T00:00:00"/>
    <x v="10"/>
    <x v="4"/>
  </r>
  <r>
    <x v="352"/>
    <n v="170"/>
    <n v="1.1564625850340136"/>
    <s v="Domestic"/>
    <s v="Food &amp; Beverages"/>
    <d v="2024-07-27T00:00:00"/>
    <x v="10"/>
    <x v="4"/>
  </r>
  <r>
    <x v="336"/>
    <n v="180"/>
    <n v="1.2244897959183674"/>
    <s v="Domestic"/>
    <s v="Food &amp; Beverages"/>
    <d v="2024-07-27T00:00:00"/>
    <x v="10"/>
    <x v="4"/>
  </r>
  <r>
    <x v="136"/>
    <n v="1710"/>
    <n v="11.63265306122449"/>
    <s v="Domestic"/>
    <s v="Food &amp; Beverages"/>
    <d v="2024-07-27T00:00:00"/>
    <x v="10"/>
    <x v="4"/>
  </r>
  <r>
    <x v="88"/>
    <n v="4000"/>
    <n v="27.210884353741495"/>
    <s v="Domestic"/>
    <s v="Transportation"/>
    <d v="2024-07-28T00:00:00"/>
    <x v="10"/>
    <x v="4"/>
  </r>
  <r>
    <x v="47"/>
    <n v="5000"/>
    <n v="34.013605442176868"/>
    <s v="Domestic"/>
    <s v="Food &amp; Beverages"/>
    <d v="2024-07-28T00:00:00"/>
    <x v="10"/>
    <x v="4"/>
  </r>
  <r>
    <x v="474"/>
    <n v="700"/>
    <n v="4.7619047619047619"/>
    <s v="Domestic"/>
    <s v="Food &amp; Beverages"/>
    <d v="2024-07-28T00:00:00"/>
    <x v="10"/>
    <x v="4"/>
  </r>
  <r>
    <x v="373"/>
    <n v="4380"/>
    <n v="29.795918367346939"/>
    <s v="Heathcare"/>
    <s v="Health"/>
    <d v="2024-07-28T00:00:00"/>
    <x v="10"/>
    <x v="4"/>
  </r>
  <r>
    <x v="312"/>
    <n v="4600"/>
    <n v="31.292517006802722"/>
    <s v="Heathcare"/>
    <s v="Health"/>
    <d v="2024-07-28T00:00:00"/>
    <x v="10"/>
    <x v="4"/>
  </r>
  <r>
    <x v="475"/>
    <n v="12000"/>
    <n v="81.632653061224488"/>
    <s v="Fun"/>
    <s v="Entertainment"/>
    <d v="2024-07-28T00:00:00"/>
    <x v="10"/>
    <x v="4"/>
  </r>
  <r>
    <x v="62"/>
    <n v="1310"/>
    <n v="8.9115646258503407"/>
    <s v="Domestic"/>
    <s v="Food &amp; Beverages"/>
    <d v="2024-07-30T00:00:00"/>
    <x v="10"/>
    <x v="4"/>
  </r>
  <r>
    <x v="476"/>
    <n v="4485"/>
    <n v="30.510204081632654"/>
    <s v="Heathcare"/>
    <s v="Health"/>
    <d v="2024-07-30T00:00:00"/>
    <x v="10"/>
    <x v="4"/>
  </r>
  <r>
    <x v="62"/>
    <n v="1490"/>
    <n v="10.136054421768707"/>
    <s v="Domestic"/>
    <s v="Food &amp; Beverages"/>
    <d v="2024-07-29T00:00:00"/>
    <x v="10"/>
    <x v="4"/>
  </r>
  <r>
    <x v="275"/>
    <n v="1830"/>
    <n v="12.448979591836734"/>
    <s v="Heathcare"/>
    <s v="Health"/>
    <d v="2024-07-31T00:00:00"/>
    <x v="10"/>
    <x v="4"/>
  </r>
  <r>
    <x v="407"/>
    <n v="1260"/>
    <n v="8.5714285714285712"/>
    <s v="Heathcare"/>
    <s v="Health"/>
    <d v="2024-07-31T00:00:00"/>
    <x v="10"/>
    <x v="4"/>
  </r>
  <r>
    <x v="477"/>
    <n v="745"/>
    <n v="5.0680272108843534"/>
    <s v="Heathcare"/>
    <s v="Health"/>
    <d v="2024-07-31T00:00:00"/>
    <x v="10"/>
    <x v="4"/>
  </r>
  <r>
    <x v="22"/>
    <n v="7884"/>
    <n v="53.632653061224488"/>
    <s v="Insurance"/>
    <s v="Life Insurance"/>
    <d v="2024-07-28T00:00:00"/>
    <x v="10"/>
    <x v="4"/>
  </r>
  <r>
    <x v="478"/>
    <n v="20000"/>
    <n v="136.05442176870747"/>
    <s v="Domestic"/>
    <s v="Food &amp; Beverages"/>
    <d v="2024-07-31T00:00:00"/>
    <x v="10"/>
    <x v="4"/>
  </r>
  <r>
    <x v="479"/>
    <n v="40000"/>
    <n v="272.10884353741494"/>
    <s v="Domestic"/>
    <s v="Home"/>
    <d v="2024-07-31T00:00:00"/>
    <x v="10"/>
    <x v="4"/>
  </r>
  <r>
    <x v="127"/>
    <n v="940.43000000000006"/>
    <n v="5.99"/>
    <s v="Domestic"/>
    <s v="Electronics"/>
    <d v="2024-07-15T00:00:00"/>
    <x v="10"/>
    <x v="4"/>
  </r>
  <r>
    <x v="28"/>
    <n v="25000"/>
    <n v="170.06802721088437"/>
    <s v="Government"/>
    <s v="Finance &amp; Economy"/>
    <d v="2024-07-28T00:00:00"/>
    <x v="10"/>
    <x v="4"/>
  </r>
  <r>
    <x v="367"/>
    <n v="140"/>
    <n v="0.95238095238095233"/>
    <s v="Domestic"/>
    <s v="Food &amp; Beverages"/>
    <d v="2024-08-01T00:00:00"/>
    <x v="11"/>
    <x v="4"/>
  </r>
  <r>
    <x v="352"/>
    <n v="300"/>
    <n v="2.0408163265306123"/>
    <s v="Domestic"/>
    <s v="Food &amp; Beverages"/>
    <d v="2024-08-01T00:00:00"/>
    <x v="11"/>
    <x v="4"/>
  </r>
  <r>
    <x v="367"/>
    <n v="140"/>
    <n v="0.95238095238095233"/>
    <s v="Domestic"/>
    <s v="Food &amp; Beverages"/>
    <d v="2024-08-02T00:00:00"/>
    <x v="11"/>
    <x v="4"/>
  </r>
  <r>
    <x v="352"/>
    <n v="200"/>
    <n v="1.3605442176870748"/>
    <s v="Domestic"/>
    <s v="Food &amp; Beverages"/>
    <d v="2024-08-02T00:00:00"/>
    <x v="11"/>
    <x v="4"/>
  </r>
  <r>
    <x v="88"/>
    <n v="4000"/>
    <n v="27.210884353741495"/>
    <s v="Domestic"/>
    <s v="Transportation"/>
    <d v="2024-08-02T00:00:00"/>
    <x v="11"/>
    <x v="4"/>
  </r>
  <r>
    <x v="62"/>
    <n v="1490"/>
    <n v="10.136054421768707"/>
    <s v="Domestic"/>
    <s v="Food &amp; Beverages"/>
    <d v="2024-08-04T00:00:00"/>
    <x v="11"/>
    <x v="4"/>
  </r>
  <r>
    <x v="312"/>
    <n v="1700"/>
    <n v="11.564625850340136"/>
    <s v="Domestic"/>
    <s v="Food &amp; Beverages"/>
    <d v="2024-08-04T00:00:00"/>
    <x v="11"/>
    <x v="4"/>
  </r>
  <r>
    <x v="352"/>
    <n v="4000"/>
    <n v="27.210884353741495"/>
    <s v="Domestic"/>
    <s v="Food &amp; Beverages"/>
    <d v="2024-08-04T00:00:00"/>
    <x v="11"/>
    <x v="4"/>
  </r>
  <r>
    <x v="356"/>
    <n v="1600"/>
    <n v="10.884353741496598"/>
    <s v="Heathcare"/>
    <s v="Health"/>
    <d v="2024-08-05T00:00:00"/>
    <x v="11"/>
    <x v="4"/>
  </r>
  <r>
    <x v="352"/>
    <n v="450"/>
    <n v="3.0612244897959182"/>
    <s v="Domestic"/>
    <s v="Food &amp; Beverages"/>
    <d v="2024-07-30T00:00:00"/>
    <x v="10"/>
    <x v="4"/>
  </r>
  <r>
    <x v="480"/>
    <n v="180"/>
    <n v="1.2244897959183674"/>
    <s v="Domestic"/>
    <s v="Food &amp; Beverages"/>
    <d v="2024-07-30T00:00:00"/>
    <x v="10"/>
    <x v="4"/>
  </r>
  <r>
    <x v="72"/>
    <n v="2000"/>
    <n v="13.605442176870747"/>
    <s v="Domestic"/>
    <s v="Food &amp; Beverages"/>
    <d v="2024-08-01T00:00:00"/>
    <x v="11"/>
    <x v="4"/>
  </r>
  <r>
    <x v="47"/>
    <n v="4000"/>
    <n v="27.210884353741495"/>
    <s v="Domestic"/>
    <s v="Food &amp; Beverages"/>
    <d v="2024-08-03T00:00:00"/>
    <x v="11"/>
    <x v="4"/>
  </r>
  <r>
    <x v="88"/>
    <n v="4000"/>
    <n v="27.210884353741495"/>
    <s v="Domestic"/>
    <s v="Transportation"/>
    <d v="2024-08-09T00:00:00"/>
    <x v="11"/>
    <x v="4"/>
  </r>
  <r>
    <x v="481"/>
    <n v="200"/>
    <n v="1.3605442176870748"/>
    <s v="Domestic"/>
    <s v="Food &amp; Beverages"/>
    <d v="2024-08-07T00:00:00"/>
    <x v="11"/>
    <x v="4"/>
  </r>
  <r>
    <x v="482"/>
    <n v="2000"/>
    <n v="13.605442176870747"/>
    <s v="Heathcare"/>
    <s v="Health"/>
    <d v="2024-08-07T00:00:00"/>
    <x v="11"/>
    <x v="4"/>
  </r>
  <r>
    <x v="481"/>
    <n v="400"/>
    <n v="2.7210884353741496"/>
    <s v="Domestic"/>
    <s v="Food &amp; Beverages"/>
    <d v="2024-08-06T00:00:00"/>
    <x v="11"/>
    <x v="4"/>
  </r>
  <r>
    <x v="483"/>
    <n v="1600"/>
    <n v="10.884353741496598"/>
    <s v="Domestic"/>
    <s v="Food &amp; Beverages"/>
    <d v="2024-08-06T00:00:00"/>
    <x v="11"/>
    <x v="4"/>
  </r>
  <r>
    <x v="484"/>
    <n v="1560"/>
    <n v="10.612244897959183"/>
    <s v="Domestic"/>
    <s v="Home"/>
    <d v="2024-07-27T00:00:00"/>
    <x v="10"/>
    <x v="4"/>
  </r>
  <r>
    <x v="136"/>
    <n v="1945"/>
    <n v="13.231292517006803"/>
    <s v="Domestic"/>
    <s v="Food &amp; Beverages"/>
    <d v="2024-08-11T00:00:00"/>
    <x v="11"/>
    <x v="4"/>
  </r>
  <r>
    <x v="485"/>
    <n v="6335"/>
    <n v="43.095238095238095"/>
    <s v="Domestic"/>
    <s v="Home"/>
    <d v="2024-08-10T00:00:00"/>
    <x v="11"/>
    <x v="4"/>
  </r>
  <r>
    <x v="486"/>
    <n v="3300"/>
    <n v="22.448979591836736"/>
    <s v="Domestic"/>
    <s v="Home"/>
    <d v="2024-08-10T00:00:00"/>
    <x v="11"/>
    <x v="4"/>
  </r>
  <r>
    <x v="487"/>
    <n v="1100"/>
    <n v="7.4829931972789119"/>
    <s v="Domestic"/>
    <s v="Food &amp; Beverages"/>
    <d v="2024-08-10T00:00:00"/>
    <x v="11"/>
    <x v="4"/>
  </r>
  <r>
    <x v="488"/>
    <n v="550"/>
    <n v="3.7414965986394559"/>
    <s v="Domestic"/>
    <s v="Food &amp; Beverages"/>
    <d v="2024-08-10T00:00:00"/>
    <x v="11"/>
    <x v="4"/>
  </r>
  <r>
    <x v="72"/>
    <n v="1250"/>
    <n v="8.5034013605442169"/>
    <s v="Domestic"/>
    <s v="Food &amp; Beverages"/>
    <d v="2024-08-10T00:00:00"/>
    <x v="11"/>
    <x v="4"/>
  </r>
  <r>
    <x v="62"/>
    <n v="1740"/>
    <n v="11.836734693877551"/>
    <s v="Domestic"/>
    <s v="Food &amp; Beverages"/>
    <d v="2024-08-12T00:00:00"/>
    <x v="11"/>
    <x v="4"/>
  </r>
  <r>
    <x v="489"/>
    <n v="29800"/>
    <n v="202.72108843537416"/>
    <s v="Heathcare"/>
    <s v="Health"/>
    <d v="2024-08-13T00:00:00"/>
    <x v="11"/>
    <x v="4"/>
  </r>
  <r>
    <x v="470"/>
    <n v="800"/>
    <n v="5.4421768707482991"/>
    <s v="Domestic"/>
    <s v="Food &amp; Beverages"/>
    <d v="2024-08-09T00:00:00"/>
    <x v="11"/>
    <x v="4"/>
  </r>
  <r>
    <x v="409"/>
    <n v="600"/>
    <n v="4.0816326530612246"/>
    <s v="Domestic"/>
    <s v="Food &amp; Beverages"/>
    <d v="2024-08-15T00:00:00"/>
    <x v="11"/>
    <x v="4"/>
  </r>
  <r>
    <x v="490"/>
    <n v="600"/>
    <n v="4.0816326530612246"/>
    <s v="Domestic"/>
    <s v="Food &amp; Beverages"/>
    <d v="2024-08-15T00:00:00"/>
    <x v="11"/>
    <x v="4"/>
  </r>
  <r>
    <x v="491"/>
    <n v="80"/>
    <n v="0.54421768707482998"/>
    <s v="Domestic"/>
    <s v="Food &amp; Beverages"/>
    <d v="2024-08-15T00:00:00"/>
    <x v="11"/>
    <x v="4"/>
  </r>
  <r>
    <x v="62"/>
    <n v="2000"/>
    <n v="13.605442176870747"/>
    <s v="Domestic"/>
    <s v="Food &amp; Beverages"/>
    <d v="2024-08-14T00:00:00"/>
    <x v="11"/>
    <x v="4"/>
  </r>
  <r>
    <x v="485"/>
    <n v="6553"/>
    <n v="44.57823129251701"/>
    <s v="Domestic"/>
    <s v="Home"/>
    <d v="2024-08-16T00:00:00"/>
    <x v="11"/>
    <x v="4"/>
  </r>
  <r>
    <x v="363"/>
    <n v="900"/>
    <n v="6.1224489795918364"/>
    <s v="Domestic"/>
    <s v="Food &amp; Beverages"/>
    <d v="2024-08-15T00:00:00"/>
    <x v="11"/>
    <x v="4"/>
  </r>
  <r>
    <x v="127"/>
    <n v="940.43000000000006"/>
    <n v="5.99"/>
    <s v="Domestic"/>
    <s v="Electronics"/>
    <d v="2024-08-15T00:00:00"/>
    <x v="11"/>
    <x v="4"/>
  </r>
  <r>
    <x v="88"/>
    <n v="4000"/>
    <n v="27.210884353741495"/>
    <s v="Domestic"/>
    <s v="Transportation"/>
    <d v="2024-08-17T00:00:00"/>
    <x v="11"/>
    <x v="4"/>
  </r>
  <r>
    <x v="492"/>
    <n v="450"/>
    <n v="3.0612244897959182"/>
    <s v="Domestic"/>
    <s v="Food &amp; Beverages"/>
    <d v="2024-08-17T00:00:00"/>
    <x v="11"/>
    <x v="4"/>
  </r>
  <r>
    <x v="409"/>
    <n v="900"/>
    <n v="6.1224489795918364"/>
    <s v="Domestic"/>
    <s v="Food &amp; Beverages"/>
    <d v="2024-08-17T00:00:00"/>
    <x v="11"/>
    <x v="4"/>
  </r>
  <r>
    <x v="409"/>
    <n v="7000"/>
    <n v="47.61904761904762"/>
    <s v="Domestic"/>
    <s v="Food &amp; Beverages"/>
    <d v="2024-08-17T00:00:00"/>
    <x v="11"/>
    <x v="4"/>
  </r>
  <r>
    <x v="240"/>
    <n v="11000"/>
    <n v="74.829931972789112"/>
    <s v="Domestic"/>
    <s v="Food &amp; Beverages"/>
    <d v="2024-08-17T00:00:00"/>
    <x v="11"/>
    <x v="4"/>
  </r>
  <r>
    <x v="493"/>
    <n v="1600"/>
    <n v="10.884353741496598"/>
    <s v="Domestic"/>
    <s v="Food &amp; Beverages"/>
    <d v="2024-08-17T00:00:00"/>
    <x v="11"/>
    <x v="4"/>
  </r>
  <r>
    <x v="438"/>
    <n v="560"/>
    <n v="3.8095238095238093"/>
    <s v="Domestic"/>
    <s v="Food &amp; Beverages"/>
    <d v="2024-08-17T00:00:00"/>
    <x v="11"/>
    <x v="4"/>
  </r>
  <r>
    <x v="494"/>
    <n v="500"/>
    <n v="3.4013605442176869"/>
    <s v="Domestic"/>
    <s v="Food &amp; Beverages"/>
    <d v="2024-08-17T00:00:00"/>
    <x v="11"/>
    <x v="4"/>
  </r>
  <r>
    <x v="495"/>
    <n v="500"/>
    <n v="3.4013605442176869"/>
    <s v="Domestic"/>
    <s v="Food &amp; Beverages"/>
    <d v="2024-08-17T00:00:00"/>
    <x v="11"/>
    <x v="4"/>
  </r>
  <r>
    <x v="496"/>
    <n v="400"/>
    <n v="2.7210884353741496"/>
    <s v="Domestic"/>
    <s v="Food &amp; Beverages"/>
    <d v="2024-08-17T00:00:00"/>
    <x v="11"/>
    <x v="4"/>
  </r>
  <r>
    <x v="207"/>
    <n v="2025"/>
    <n v="13.775510204081632"/>
    <s v="Heathcare"/>
    <s v="Health"/>
    <d v="2024-08-19T00:00:00"/>
    <x v="11"/>
    <x v="4"/>
  </r>
  <r>
    <x v="62"/>
    <n v="1270"/>
    <n v="8.6394557823129254"/>
    <s v="Domestic"/>
    <s v="Food &amp; Beverages"/>
    <d v="2024-08-20T00:00:00"/>
    <x v="11"/>
    <x v="4"/>
  </r>
  <r>
    <x v="62"/>
    <n v="1100"/>
    <n v="7.4829931972789119"/>
    <s v="Domestic"/>
    <s v="Food &amp; Beverages"/>
    <d v="2024-08-20T00:00:00"/>
    <x v="11"/>
    <x v="4"/>
  </r>
  <r>
    <x v="136"/>
    <n v="1000"/>
    <n v="6.8027210884353737"/>
    <s v="Domestic"/>
    <s v="Food &amp; Beverages"/>
    <d v="2024-08-22T00:00:00"/>
    <x v="11"/>
    <x v="4"/>
  </r>
  <r>
    <x v="28"/>
    <n v="25000"/>
    <n v="170.06802721088437"/>
    <s v="Government"/>
    <s v="Finance &amp; Economy"/>
    <d v="2024-08-22T00:00:00"/>
    <x v="11"/>
    <x v="4"/>
  </r>
  <r>
    <x v="188"/>
    <n v="4000"/>
    <n v="27.210884353741495"/>
    <s v="Domestic"/>
    <s v="Electronics"/>
    <d v="2024-08-22T00:00:00"/>
    <x v="11"/>
    <x v="4"/>
  </r>
  <r>
    <x v="88"/>
    <n v="4000"/>
    <n v="27.210884353741495"/>
    <s v="Domestic"/>
    <s v="Transportation"/>
    <d v="2024-08-23T00:00:00"/>
    <x v="11"/>
    <x v="4"/>
  </r>
  <r>
    <x v="497"/>
    <n v="4000"/>
    <n v="27.210884353741495"/>
    <s v="Domestic"/>
    <s v="Food &amp; Beverages"/>
    <d v="2024-08-23T00:00:00"/>
    <x v="11"/>
    <x v="4"/>
  </r>
  <r>
    <x v="384"/>
    <n v="300"/>
    <n v="2.0408163265306123"/>
    <s v="Domestic"/>
    <s v="Food &amp; Beverages"/>
    <d v="2024-08-23T00:00:00"/>
    <x v="11"/>
    <x v="4"/>
  </r>
  <r>
    <x v="340"/>
    <n v="250"/>
    <n v="1.7006802721088434"/>
    <s v="Domestic"/>
    <s v="Food &amp; Beverages"/>
    <d v="2024-08-23T00:00:00"/>
    <x v="11"/>
    <x v="4"/>
  </r>
  <r>
    <x v="498"/>
    <n v="965"/>
    <n v="6.5646258503401365"/>
    <s v="Domestic"/>
    <s v="Food &amp; Beverages"/>
    <d v="2024-08-26T00:00:00"/>
    <x v="11"/>
    <x v="4"/>
  </r>
  <r>
    <x v="62"/>
    <n v="1300"/>
    <n v="8.8435374149659864"/>
    <s v="Domestic"/>
    <s v="Food &amp; Beverages"/>
    <d v="2024-08-27T00:00:00"/>
    <x v="11"/>
    <x v="4"/>
  </r>
  <r>
    <x v="410"/>
    <n v="300"/>
    <n v="2.0408163265306123"/>
    <s v="Domestic"/>
    <s v="Food &amp; Beverages"/>
    <d v="2024-08-28T00:00:00"/>
    <x v="11"/>
    <x v="4"/>
  </r>
  <r>
    <x v="491"/>
    <n v="280"/>
    <n v="1.9047619047619047"/>
    <s v="Domestic"/>
    <s v="Food &amp; Beverages"/>
    <d v="2024-08-28T00:00:00"/>
    <x v="11"/>
    <x v="4"/>
  </r>
  <r>
    <x v="491"/>
    <n v="165"/>
    <n v="1.1224489795918366"/>
    <s v="Domestic"/>
    <s v="Food &amp; Beverages"/>
    <d v="2024-08-28T00:00:00"/>
    <x v="11"/>
    <x v="4"/>
  </r>
  <r>
    <x v="499"/>
    <n v="1850"/>
    <n v="12.585034013605442"/>
    <s v="Heathcare"/>
    <s v="Health"/>
    <d v="2024-08-28T00:00:00"/>
    <x v="11"/>
    <x v="4"/>
  </r>
  <r>
    <x v="410"/>
    <n v="170"/>
    <n v="1.1564625850340136"/>
    <s v="Domestic"/>
    <s v="Food &amp; Beverages"/>
    <d v="2024-08-28T00:00:00"/>
    <x v="11"/>
    <x v="4"/>
  </r>
  <r>
    <x v="500"/>
    <n v="710"/>
    <n v="4.8299319727891152"/>
    <s v="Domestic"/>
    <s v="Food &amp; Beverages"/>
    <d v="2024-08-30T00:00:00"/>
    <x v="11"/>
    <x v="4"/>
  </r>
  <r>
    <x v="88"/>
    <n v="3000"/>
    <n v="20.408163265306122"/>
    <s v="Domestic"/>
    <s v="Transportation"/>
    <d v="2024-08-30T00:00:00"/>
    <x v="11"/>
    <x v="4"/>
  </r>
  <r>
    <x v="72"/>
    <n v="2350"/>
    <n v="15.986394557823129"/>
    <s v="Domestic"/>
    <s v="Food &amp; Beverages"/>
    <d v="2024-08-26T00:00:00"/>
    <x v="11"/>
    <x v="4"/>
  </r>
  <r>
    <x v="152"/>
    <n v="57040"/>
    <n v="388.02721088435374"/>
    <s v="Bank"/>
    <s v="Banking"/>
    <d v="2024-08-28T00:00:00"/>
    <x v="11"/>
    <x v="4"/>
  </r>
  <r>
    <x v="22"/>
    <n v="7884"/>
    <n v="53.632653061224488"/>
    <s v="Insurance"/>
    <s v="Life Insurance"/>
    <d v="2024-08-28T00:00:00"/>
    <x v="11"/>
    <x v="4"/>
  </r>
  <r>
    <x v="501"/>
    <n v="700"/>
    <n v="4.7619047619047619"/>
    <s v="Domestic"/>
    <s v="Food &amp; Beverages"/>
    <d v="2024-09-03T00:00:00"/>
    <x v="1"/>
    <x v="4"/>
  </r>
  <r>
    <x v="72"/>
    <n v="1300"/>
    <n v="8.8435374149659864"/>
    <s v="Domestic"/>
    <s v="Food &amp; Beverages"/>
    <d v="2024-09-02T00:00:00"/>
    <x v="1"/>
    <x v="4"/>
  </r>
  <r>
    <x v="62"/>
    <n v="1310"/>
    <n v="8.9115646258503407"/>
    <s v="Domestic"/>
    <s v="Food &amp; Beverages"/>
    <d v="2024-09-01T00:00:00"/>
    <x v="1"/>
    <x v="4"/>
  </r>
  <r>
    <x v="354"/>
    <n v="18000"/>
    <n v="122.44897959183673"/>
    <s v="Heathcare"/>
    <s v="Health"/>
    <d v="2024-09-06T00:00:00"/>
    <x v="1"/>
    <x v="4"/>
  </r>
  <r>
    <x v="88"/>
    <n v="1500"/>
    <n v="10.204081632653061"/>
    <s v="Domestic"/>
    <s v="Transportation"/>
    <d v="2024-09-06T00:00:00"/>
    <x v="1"/>
    <x v="4"/>
  </r>
  <r>
    <x v="88"/>
    <n v="1500"/>
    <n v="10.204081632653061"/>
    <s v="Domestic"/>
    <s v="Transportation"/>
    <d v="2024-09-05T00:00:00"/>
    <x v="1"/>
    <x v="4"/>
  </r>
  <r>
    <x v="501"/>
    <n v="700"/>
    <n v="4.7619047619047619"/>
    <s v="Domestic"/>
    <s v="Food &amp; Beverages"/>
    <d v="2024-09-03T00:00:00"/>
    <x v="1"/>
    <x v="4"/>
  </r>
  <r>
    <x v="62"/>
    <n v="1470"/>
    <n v="10"/>
    <s v="Domestic"/>
    <s v="Food &amp; Beverages"/>
    <d v="2024-09-02T00:00:00"/>
    <x v="1"/>
    <x v="4"/>
  </r>
  <r>
    <x v="354"/>
    <n v="30000"/>
    <n v="204.08163265306123"/>
    <s v="Heathcare"/>
    <s v="Health"/>
    <d v="2024-09-07T00:00:00"/>
    <x v="1"/>
    <x v="4"/>
  </r>
  <r>
    <x v="88"/>
    <n v="3000"/>
    <n v="20.408163265306122"/>
    <s v="Domestic"/>
    <s v="Transportation"/>
    <d v="2024-09-07T00:00:00"/>
    <x v="1"/>
    <x v="4"/>
  </r>
  <r>
    <x v="440"/>
    <n v="630"/>
    <n v="4.2857142857142856"/>
    <s v="Heathcare"/>
    <s v="Health"/>
    <d v="2024-09-08T00:00:00"/>
    <x v="1"/>
    <x v="4"/>
  </r>
  <r>
    <x v="281"/>
    <n v="500"/>
    <n v="3.4013605442176869"/>
    <s v="Domestic"/>
    <s v="Food &amp; Beverages"/>
    <d v="2024-09-06T00:00:00"/>
    <x v="1"/>
    <x v="4"/>
  </r>
  <r>
    <x v="491"/>
    <n v="240"/>
    <n v="1.6326530612244898"/>
    <s v="Domestic"/>
    <s v="Food &amp; Beverages"/>
    <d v="2024-09-06T00:00:00"/>
    <x v="1"/>
    <x v="4"/>
  </r>
  <r>
    <x v="502"/>
    <n v="400"/>
    <n v="2.7210884353741496"/>
    <s v="Domestic"/>
    <s v="Food &amp; Beverages"/>
    <d v="2024-09-13T00:00:00"/>
    <x v="1"/>
    <x v="4"/>
  </r>
  <r>
    <x v="410"/>
    <n v="150"/>
    <n v="1.0204081632653061"/>
    <s v="Domestic"/>
    <s v="Food &amp; Beverages"/>
    <d v="2024-09-13T00:00:00"/>
    <x v="1"/>
    <x v="4"/>
  </r>
  <r>
    <x v="491"/>
    <n v="300"/>
    <n v="2.0408163265306123"/>
    <s v="Domestic"/>
    <s v="Food &amp; Beverages"/>
    <d v="2024-09-13T00:00:00"/>
    <x v="1"/>
    <x v="4"/>
  </r>
  <r>
    <x v="373"/>
    <n v="4429"/>
    <n v="30.129251700680271"/>
    <s v="Heathcare"/>
    <s v="Health"/>
    <d v="2024-09-12T00:00:00"/>
    <x v="1"/>
    <x v="4"/>
  </r>
  <r>
    <x v="498"/>
    <n v="965"/>
    <n v="6.5646258503401365"/>
    <s v="Domestic"/>
    <s v="Food &amp; Beverages"/>
    <d v="2024-09-15T00:00:00"/>
    <x v="1"/>
    <x v="4"/>
  </r>
  <r>
    <x v="503"/>
    <n v="1100"/>
    <n v="7.4829931972789119"/>
    <s v="Domestic"/>
    <s v="Food &amp; Beverages"/>
    <d v="2024-09-13T00:00:00"/>
    <x v="1"/>
    <x v="4"/>
  </r>
  <r>
    <x v="88"/>
    <n v="4000"/>
    <n v="27.210884353741495"/>
    <s v="Domestic"/>
    <s v="Transportation"/>
    <d v="2024-09-14T00:00:00"/>
    <x v="1"/>
    <x v="4"/>
  </r>
  <r>
    <x v="504"/>
    <n v="1410"/>
    <n v="9.591836734693878"/>
    <s v="Domestic"/>
    <s v="Food &amp; Beverages"/>
    <d v="2024-09-16T00:00:00"/>
    <x v="1"/>
    <x v="4"/>
  </r>
  <r>
    <x v="498"/>
    <n v="1200"/>
    <n v="8.1632653061224492"/>
    <s v="Domestic"/>
    <s v="Food &amp; Beverages"/>
    <d v="2024-09-13T00:00:00"/>
    <x v="1"/>
    <x v="4"/>
  </r>
  <r>
    <x v="505"/>
    <n v="9000"/>
    <n v="61.224489795918366"/>
    <s v="Domestic"/>
    <s v="Transportation"/>
    <d v="2024-09-13T00:00:00"/>
    <x v="1"/>
    <x v="4"/>
  </r>
  <r>
    <x v="286"/>
    <n v="1510"/>
    <n v="10.272108843537415"/>
    <s v="Domestic"/>
    <s v="Food &amp; Beverages"/>
    <d v="2024-09-18T00:00:00"/>
    <x v="1"/>
    <x v="4"/>
  </r>
  <r>
    <x v="178"/>
    <n v="70560"/>
    <n v="480"/>
    <s v="Domestic"/>
    <s v="Transportation"/>
    <d v="2024-09-15T00:00:00"/>
    <x v="1"/>
    <x v="4"/>
  </r>
  <r>
    <x v="152"/>
    <n v="57040"/>
    <n v="388.02721088435374"/>
    <s v="Bank"/>
    <s v="Banking"/>
    <d v="2024-09-28T00:00:00"/>
    <x v="1"/>
    <x v="4"/>
  </r>
  <r>
    <x v="22"/>
    <n v="7884"/>
    <n v="53.632653061224488"/>
    <s v="Insurance"/>
    <s v="Life Insurance"/>
    <d v="2024-09-28T00:00:00"/>
    <x v="1"/>
    <x v="4"/>
  </r>
  <r>
    <x v="127"/>
    <n v="940.43000000000006"/>
    <n v="5.99"/>
    <s v="Domestic"/>
    <s v="Electronics"/>
    <d v="2024-09-15T00:00:00"/>
    <x v="1"/>
    <x v="4"/>
  </r>
  <r>
    <x v="28"/>
    <n v="25000"/>
    <n v="170.06802721088437"/>
    <s v="Government"/>
    <s v="Finance &amp; Economy"/>
    <d v="2024-09-22T00:00:00"/>
    <x v="1"/>
    <x v="4"/>
  </r>
  <r>
    <x v="506"/>
    <n v="10000"/>
    <n v="68.027210884353735"/>
    <s v="Government"/>
    <s v="Finance &amp; Economy"/>
    <d v="2024-09-27T00:00:00"/>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13" firstHeaderRow="1" firstDataRow="1" firstDataCol="1"/>
  <pivotFields count="8">
    <pivotField showAll="0"/>
    <pivotField dataField="1" showAll="0"/>
    <pivotField showAll="0"/>
    <pivotField showAll="0"/>
    <pivotField showAll="0"/>
    <pivotField numFmtId="14" showAll="0"/>
    <pivotField axis="axisRow" showAll="0">
      <items count="13">
        <item sd="0" x="5"/>
        <item sd="0" x="6"/>
        <item sd="0" x="7"/>
        <item sd="0" x="8"/>
        <item sd="0" x="0"/>
        <item sd="0" x="9"/>
        <item sd="0" x="10"/>
        <item sd="0" x="11"/>
        <item sd="0" x="1"/>
        <item sd="0" x="2"/>
        <item sd="0" x="3"/>
        <item sd="0" x="4"/>
        <item t="default" sd="0"/>
      </items>
    </pivotField>
    <pivotField showAll="0">
      <items count="6">
        <item h="1" x="0"/>
        <item h="1" x="1"/>
        <item h="1" x="2"/>
        <item h="1" x="3"/>
        <item x="4"/>
        <item t="default"/>
      </items>
    </pivotField>
  </pivotFields>
  <rowFields count="1">
    <field x="6"/>
  </rowFields>
  <rowItems count="10">
    <i>
      <x/>
    </i>
    <i>
      <x v="1"/>
    </i>
    <i>
      <x v="2"/>
    </i>
    <i>
      <x v="3"/>
    </i>
    <i>
      <x v="4"/>
    </i>
    <i>
      <x v="5"/>
    </i>
    <i>
      <x v="6"/>
    </i>
    <i>
      <x v="7"/>
    </i>
    <i>
      <x v="8"/>
    </i>
    <i t="grand">
      <x/>
    </i>
  </rowItems>
  <colItems count="1">
    <i/>
  </colItems>
  <dataFields count="1">
    <dataField name="Sum of COST" fld="1" baseField="0" baseItem="0"/>
  </dataFields>
  <chartFormats count="2">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9" firstHeaderRow="1" firstDataRow="1" firstDataCol="1" rowPageCount="1" colPageCount="1"/>
  <pivotFields count="8">
    <pivotField axis="axisRow" showAll="0" measureFilter="1">
      <items count="514">
        <item x="60"/>
        <item x="51"/>
        <item x="52"/>
        <item x="7"/>
        <item x="37"/>
        <item x="8"/>
        <item x="31"/>
        <item x="55"/>
        <item x="4"/>
        <item x="18"/>
        <item x="62"/>
        <item x="38"/>
        <item x="39"/>
        <item x="16"/>
        <item x="19"/>
        <item x="49"/>
        <item x="1"/>
        <item x="44"/>
        <item x="43"/>
        <item x="6"/>
        <item x="73"/>
        <item x="69"/>
        <item x="17"/>
        <item x="66"/>
        <item x="47"/>
        <item x="2"/>
        <item x="58"/>
        <item x="64"/>
        <item x="65"/>
        <item x="11"/>
        <item x="23"/>
        <item x="34"/>
        <item x="45"/>
        <item x="14"/>
        <item x="24"/>
        <item x="9"/>
        <item x="41"/>
        <item x="57"/>
        <item x="22"/>
        <item x="72"/>
        <item x="48"/>
        <item x="28"/>
        <item x="0"/>
        <item x="74"/>
        <item x="40"/>
        <item x="10"/>
        <item x="20"/>
        <item x="5"/>
        <item x="42"/>
        <item x="71"/>
        <item x="29"/>
        <item x="25"/>
        <item m="1" x="511"/>
        <item x="33"/>
        <item x="21"/>
        <item x="30"/>
        <item x="75"/>
        <item x="26"/>
        <item x="53"/>
        <item x="50"/>
        <item x="54"/>
        <item x="35"/>
        <item x="56"/>
        <item x="67"/>
        <item x="70"/>
        <item x="32"/>
        <item x="63"/>
        <item x="27"/>
        <item x="68"/>
        <item x="3"/>
        <item x="36"/>
        <item x="12"/>
        <item x="15"/>
        <item x="59"/>
        <item x="13"/>
        <item x="46"/>
        <item x="61"/>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m="1" x="512"/>
        <item x="123"/>
        <item m="1" x="509"/>
        <item m="1" x="510"/>
        <item x="124"/>
        <item x="126"/>
        <item x="127"/>
        <item x="128"/>
        <item x="129"/>
        <item x="130"/>
        <item x="131"/>
        <item x="132"/>
        <item x="133"/>
        <item x="134"/>
        <item x="135"/>
        <item m="1" x="508"/>
        <item x="137"/>
        <item x="138"/>
        <item x="139"/>
        <item x="136"/>
        <item x="141"/>
        <item x="142"/>
        <item x="143"/>
        <item x="144"/>
        <item x="125"/>
        <item x="140"/>
        <item x="145"/>
        <item x="146"/>
        <item x="147"/>
        <item x="148"/>
        <item x="122"/>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m="1" x="507"/>
        <item x="355"/>
        <item x="356"/>
        <item x="357"/>
        <item x="358"/>
        <item x="359"/>
        <item x="360"/>
        <item x="361"/>
        <item x="362"/>
        <item x="363"/>
        <item x="364"/>
        <item x="35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t="default"/>
      </items>
    </pivotField>
    <pivotField dataField="1" showAll="0"/>
    <pivotField showAll="0"/>
    <pivotField showAll="0"/>
    <pivotField showAll="0"/>
    <pivotField numFmtId="14" showAll="0"/>
    <pivotField axis="axisPage" multipleItemSelectionAllowed="1" showAll="0">
      <items count="13">
        <item x="5"/>
        <item x="6"/>
        <item x="7"/>
        <item x="8"/>
        <item x="0"/>
        <item x="9"/>
        <item x="10"/>
        <item x="11"/>
        <item x="1"/>
        <item h="1" x="2"/>
        <item h="1" x="3"/>
        <item h="1" x="4"/>
        <item t="default"/>
      </items>
    </pivotField>
    <pivotField showAll="0">
      <items count="6">
        <item h="1" x="0"/>
        <item h="1" x="1"/>
        <item h="1" x="2"/>
        <item h="1" x="3"/>
        <item x="4"/>
        <item t="default"/>
      </items>
    </pivotField>
  </pivotFields>
  <rowFields count="1">
    <field x="0"/>
  </rowFields>
  <rowItems count="6">
    <i>
      <x v="41"/>
    </i>
    <i>
      <x v="89"/>
    </i>
    <i>
      <x v="157"/>
    </i>
    <i>
      <x v="370"/>
    </i>
    <i>
      <x v="418"/>
    </i>
    <i t="grand">
      <x/>
    </i>
  </rowItems>
  <colItems count="1">
    <i/>
  </colItems>
  <pageFields count="1">
    <pageField fld="6" hier="-1"/>
  </pageFields>
  <dataFields count="1">
    <dataField name="Sum of COST" fld="1" baseField="0" baseItem="0"/>
  </dataFields>
  <chartFormats count="3">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36" name="PivotTable29"/>
  </pivotTables>
  <data>
    <tabular pivotCacheId="2">
      <items count="12">
        <i x="5" s="1"/>
        <i x="6" s="1"/>
        <i x="7" s="1"/>
        <i x="8" s="1"/>
        <i x="0" s="1"/>
        <i x="9" s="1"/>
        <i x="10" s="1"/>
        <i x="11" s="1"/>
        <i x="1" s="1"/>
        <i x="2" nd="1"/>
        <i x="3"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35" name="PivotTable27"/>
    <pivotTable tabId="36" name="PivotTable29"/>
  </pivotTables>
  <data>
    <tabular pivotCacheId="2">
      <items count="5">
        <i x="0"/>
        <i x="1"/>
        <i x="2"/>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showCaption="0" lockedPosition="1" rowHeight="182880"/>
  <slicer name="Year" xr10:uid="{00000000-0014-0000-FFFF-FFFF02000000}" cache="Slicer_Year" caption="Year" startItem="3" columnCount="3" showCaption="0"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alance" displayName="Balance" ref="A1:H1515" totalsRowShown="0" headerRowDxfId="56">
  <autoFilter ref="A1:H1515" xr:uid="{00000000-0009-0000-0100-000001000000}">
    <filterColumn colId="3">
      <filters>
        <filter val="Heathcare"/>
      </filters>
    </filterColumn>
  </autoFilter>
  <sortState xmlns:xlrd2="http://schemas.microsoft.com/office/spreadsheetml/2017/richdata2" ref="A2:H1515">
    <sortCondition ref="F1:F1515"/>
  </sortState>
  <tableColumns count="8">
    <tableColumn id="1" xr3:uid="{00000000-0010-0000-0000-000001000000}" name="ITEMS"/>
    <tableColumn id="2" xr3:uid="{00000000-0010-0000-0000-000002000000}" name="COST" dataDxfId="55" totalsRowDxfId="54" dataCellStyle="Currency" totalsRowCellStyle="Currency"/>
    <tableColumn id="7" xr3:uid="{E1B2C1E4-2A75-4E72-B0CD-FAFE74145AD7}" name="Cost USD" dataDxfId="53" totalsRowDxfId="52" dataCellStyle="Currency" totalsRowCellStyle="Currency"/>
    <tableColumn id="6" xr3:uid="{808AFF1B-1754-449F-9D10-5DAC48FA088E}" name="Instistution" dataDxfId="51" totalsRowDxfId="50" dataCellStyle="Currency" totalsRowCellStyle="Currency"/>
    <tableColumn id="9" xr3:uid="{9137A39C-11BD-4BD9-95F4-8D8D119456A3}" name="Industry" dataDxfId="49" totalsRowDxfId="48" dataCellStyle="Currency" totalsRowCellStyle="Currency"/>
    <tableColumn id="3" xr3:uid="{00000000-0010-0000-0000-000003000000}" name="DATE" dataDxfId="47" totalsRowDxfId="46"/>
    <tableColumn id="4" xr3:uid="{00000000-0010-0000-0000-000004000000}" name="Month" dataDxfId="45" totalsRowDxfId="44">
      <calculatedColumnFormula>TEXT(F2,"mmm")</calculatedColumnFormula>
    </tableColumn>
    <tableColumn id="5" xr3:uid="{00000000-0010-0000-0000-000005000000}" name="Year">
      <calculatedColumnFormula>TEXT(F2,"yyy")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73312C7-06C3-4311-8C28-61FA86E3C253}" name="Table5" displayName="Table5" ref="A1:H112" totalsRowShown="0" headerRowDxfId="43" dataDxfId="41" headerRowBorderDxfId="42" tableBorderDxfId="40">
  <autoFilter ref="A1:H112" xr:uid="{973312C7-06C3-4311-8C28-61FA86E3C253}"/>
  <tableColumns count="8">
    <tableColumn id="1" xr3:uid="{10BAEC0B-0761-4CD6-A979-5E75A45BCAEF}" name="ITEMS" dataDxfId="39"/>
    <tableColumn id="2" xr3:uid="{EE762116-A9E4-4CE4-845B-A5FD61936343}" name="COST" dataDxfId="38" dataCellStyle="Currency"/>
    <tableColumn id="3" xr3:uid="{05A8950C-104C-46AE-8912-5E7658F88096}" name="Cost USD" dataDxfId="37">
      <calculatedColumnFormula>Table5[[#This Row],[COST]]/147</calculatedColumnFormula>
    </tableColumn>
    <tableColumn id="4" xr3:uid="{0D245363-2F17-4DC3-BE8C-E3B8D2078395}" name="Instistution" dataDxfId="36"/>
    <tableColumn id="5" xr3:uid="{0939ABD1-FD4F-45EB-BF8D-74B9F47A2321}" name="Industry" dataDxfId="35"/>
    <tableColumn id="6" xr3:uid="{15A1152D-7412-4C37-84B4-C5B08F3F5DBF}" name="DATE" dataDxfId="34"/>
    <tableColumn id="7" xr3:uid="{8FA6602C-44F0-4B44-8107-FAA86BC7A11C}" name="Month" dataDxfId="33">
      <calculatedColumnFormula>TEXT(F2,"mmm")</calculatedColumnFormula>
    </tableColumn>
    <tableColumn id="8" xr3:uid="{723DF3F2-1C56-4CA7-918D-6B82C6931381}" name="Year" dataDxfId="32">
      <calculatedColumnFormula>TEXT(F2,"yyy")</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802F4D-2AB7-4AD1-A148-DB7EDE1B28B4}" name="Savings" displayName="Savings" ref="A1:F141" totalsRowShown="0" headerRowDxfId="31">
  <autoFilter ref="A1:F141" xr:uid="{21802F4D-2AB7-4AD1-A148-DB7EDE1B28B4}"/>
  <tableColumns count="6">
    <tableColumn id="1" xr3:uid="{7AD1F36D-60B1-4329-A966-A52A0BDDD777}" name="Bank" dataDxfId="30" totalsRowDxfId="29"/>
    <tableColumn id="2" xr3:uid="{8100E3E6-922F-4C18-A0A4-05C9DB60819A}" name="Account Type" dataDxfId="28" totalsRowDxfId="27"/>
    <tableColumn id="3" xr3:uid="{3934FCD2-9C38-43C9-9CD0-F76A2E9BC7EF}" name="Amount" dataDxfId="26" totalsRowDxfId="25" dataCellStyle="Currency"/>
    <tableColumn id="7" xr3:uid="{A1754528-1CE2-4FFF-91AD-712AEBB20E94}" name="Amount USD" dataDxfId="24" totalsRowDxfId="23" dataCellStyle="Currency"/>
    <tableColumn id="4" xr3:uid="{A7369236-45DB-413F-A4E7-F24DBC6252DE}" name="Date" dataDxfId="22" totalsRowDxfId="21"/>
    <tableColumn id="5" xr3:uid="{3F5125DD-534E-43AC-9E09-2D14E88BD93B}" name="Column1" dataDxfId="20" totalsRowDxfId="19">
      <calculatedColumnFormula>MONTH(Savings[[#This Row],[Date]])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M73" totalsRowShown="0" headerRowDxfId="18" dataDxfId="17">
  <tableColumns count="13">
    <tableColumn id="1" xr3:uid="{00000000-0010-0000-0100-000001000000}" name="Bank " dataDxfId="16"/>
    <tableColumn id="2" xr3:uid="{00000000-0010-0000-0100-000002000000}" name="Account Type" dataDxfId="15"/>
    <tableColumn id="3" xr3:uid="{00000000-0010-0000-0100-000003000000}" name="Currency" dataDxfId="14"/>
    <tableColumn id="4" xr3:uid="{00000000-0010-0000-0100-000004000000}" name="Account Number" dataDxfId="13"/>
    <tableColumn id="5" xr3:uid="{00000000-0010-0000-0100-000005000000}" name="Amount Added (JMD)" dataDxfId="12" dataCellStyle="Currency"/>
    <tableColumn id="6" xr3:uid="{00000000-0010-0000-0100-000006000000}" name="Amount Added (USD)" dataDxfId="11" dataCellStyle="Currency"/>
    <tableColumn id="12" xr3:uid="{00000000-0010-0000-0100-00000C000000}" name="Amount Spend (USD)" dataDxfId="10" dataCellStyle="Currency"/>
    <tableColumn id="13" xr3:uid="{00000000-0010-0000-0100-00000D000000}" name="Total Amount (JMD)" dataDxfId="9" dataCellStyle="Currency"/>
    <tableColumn id="14" xr3:uid="{00000000-0010-0000-0100-00000E000000}" name="Total Amount (USD)" dataDxfId="8" dataCellStyle="Currency"/>
    <tableColumn id="7" xr3:uid="{00000000-0010-0000-0100-000007000000}" name="Purpose" dataDxfId="7"/>
    <tableColumn id="8" xr3:uid="{00000000-0010-0000-0100-000008000000}" name="Date" dataDxfId="6"/>
    <tableColumn id="9" xr3:uid="{00000000-0010-0000-0100-000009000000}" name="Month" dataDxfId="5">
      <calculatedColumnFormula>TEXT(K2,"mmmm")</calculatedColumnFormula>
    </tableColumn>
    <tableColumn id="10" xr3:uid="{00000000-0010-0000-0100-00000A000000}" name="Year" dataDxfId="4">
      <calculatedColumnFormula>TEXT(K2,"YYY")</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B4C46B5-8FD6-4263-B345-B9E415DC7352}" name="Table6" displayName="Table6" ref="B1:B9" totalsRowShown="0">
  <autoFilter ref="B1:B9" xr:uid="{AB4C46B5-8FD6-4263-B345-B9E415DC7352}"/>
  <tableColumns count="1">
    <tableColumn id="1" xr3:uid="{5A7CC4A7-293D-4598-8613-20F875658461}" name="Cash" dataDxfId="3" dataCellStyle="Currency"/>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917615D-8F71-44EE-A3E8-F383B82EB841}" name="Table58" displayName="Table58" ref="D1:E4" totalsRowShown="0">
  <autoFilter ref="D1:E4" xr:uid="{E917615D-8F71-44EE-A3E8-F383B82EB841}"/>
  <tableColumns count="2">
    <tableColumn id="1" xr3:uid="{061E9002-5944-4D72-8CF1-C650F1187B5A}" name="Name"/>
    <tableColumn id="2" xr3:uid="{DBAF6052-966A-4124-B677-8CDB8577987A}" name="Cos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0C9453-3D6E-4C64-80F2-168E0545D62C}" name="Table4" displayName="Table4" ref="D8:F14" totalsRowShown="0">
  <autoFilter ref="D8:F14" xr:uid="{E80C9453-3D6E-4C64-80F2-168E0545D62C}"/>
  <tableColumns count="3">
    <tableColumn id="1" xr3:uid="{99E371D7-37AE-4159-90B0-4F47A416184D}" name="Months" dataDxfId="2"/>
    <tableColumn id="2" xr3:uid="{5FA976E2-58C9-4E21-9033-D1FF81AD3A2D}" name="Amount" dataDxfId="1" dataCellStyle="Currency">
      <calculatedColumnFormula>$E$9*D9</calculatedColumnFormula>
    </tableColumn>
    <tableColumn id="3" xr3:uid="{B360FD5F-7DF5-4F1F-BECF-5F8142A9234F}" name="Difference" dataDxfId="0" dataCellStyle="Currency">
      <calculatedColumnFormula>F8-$E$9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H7" dT="2022-10-09T21:43:46.60" personId="{3EF6338B-2737-4E16-85CF-5F899D0AC88D}" id="{3036F62E-D9F3-43B5-B52D-1E55DF2E8031}">
    <text>Used to pay Education Tax</text>
  </threadedComment>
  <threadedComment ref="CH8" dT="2022-10-09T21:42:03.45" personId="{3EF6338B-2737-4E16-85CF-5F899D0AC88D}" id="{CC54987A-EDBB-46C9-A951-DE776D62C716}">
    <text>Use to pay off NIS</text>
  </threadedComment>
  <threadedComment ref="CM13" dT="2022-11-28T21:38:14.36" personId="{3EF6338B-2737-4E16-85CF-5F899D0AC88D}" id="{16A512D8-69E1-4D59-ABFB-7801D8127FA9}">
    <text xml:space="preserve">Used to pay NIS and Income tax.
</text>
  </threadedComment>
  <threadedComment ref="AY14" dT="2022-04-05T22:14:13.01" personId="{3EF6338B-2737-4E16-85CF-5F899D0AC88D}" id="{B5A2919A-2FB1-4C30-9C5F-4780C460AED9}">
    <text>Tax to balance back</text>
  </threadedComment>
  <threadedComment ref="CM14" dT="2022-11-28T21:38:26.06" personId="{3EF6338B-2737-4E16-85CF-5F899D0AC88D}" id="{03093187-269B-4402-9006-00E83C3010EC}">
    <text>Used to pay NHT and NIS</text>
  </threadedComment>
  <threadedComment ref="CM22" dT="2022-11-28T21:37:54.38" personId="{3EF6338B-2737-4E16-85CF-5F899D0AC88D}" id="{0B8CF3D6-AB98-4232-9F79-36ECCDAF430C}">
    <text>Used to pay NIS and Income Tax</text>
  </threadedComment>
</ThreadedComment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
  <sheetViews>
    <sheetView workbookViewId="0">
      <selection sqref="A1:T3"/>
    </sheetView>
  </sheetViews>
  <sheetFormatPr defaultRowHeight="14.5" x14ac:dyDescent="0.35"/>
  <sheetData>
    <row r="1" spans="1:20" x14ac:dyDescent="0.35">
      <c r="A1" s="105" t="s">
        <v>149</v>
      </c>
      <c r="B1" s="106"/>
      <c r="C1" s="106"/>
      <c r="D1" s="106"/>
      <c r="E1" s="106"/>
      <c r="F1" s="106"/>
      <c r="G1" s="106"/>
      <c r="H1" s="106"/>
      <c r="I1" s="106"/>
      <c r="J1" s="106"/>
      <c r="K1" s="106"/>
      <c r="L1" s="106"/>
      <c r="M1" s="106"/>
      <c r="N1" s="106"/>
      <c r="O1" s="106"/>
      <c r="P1" s="106"/>
      <c r="Q1" s="106"/>
      <c r="R1" s="106"/>
      <c r="S1" s="106"/>
      <c r="T1" s="106"/>
    </row>
    <row r="2" spans="1:20" x14ac:dyDescent="0.35">
      <c r="A2" s="106"/>
      <c r="B2" s="106"/>
      <c r="C2" s="106"/>
      <c r="D2" s="106"/>
      <c r="E2" s="106"/>
      <c r="F2" s="106"/>
      <c r="G2" s="106"/>
      <c r="H2" s="106"/>
      <c r="I2" s="106"/>
      <c r="J2" s="106"/>
      <c r="K2" s="106"/>
      <c r="L2" s="106"/>
      <c r="M2" s="106"/>
      <c r="N2" s="106"/>
      <c r="O2" s="106"/>
      <c r="P2" s="106"/>
      <c r="Q2" s="106"/>
      <c r="R2" s="106"/>
      <c r="S2" s="106"/>
      <c r="T2" s="106"/>
    </row>
    <row r="3" spans="1:20" x14ac:dyDescent="0.35">
      <c r="A3" s="106"/>
      <c r="B3" s="106"/>
      <c r="C3" s="106"/>
      <c r="D3" s="106"/>
      <c r="E3" s="106"/>
      <c r="F3" s="106"/>
      <c r="G3" s="106"/>
      <c r="H3" s="106"/>
      <c r="I3" s="106"/>
      <c r="J3" s="106"/>
      <c r="K3" s="106"/>
      <c r="L3" s="106"/>
      <c r="M3" s="106"/>
      <c r="N3" s="106"/>
      <c r="O3" s="106"/>
      <c r="P3" s="106"/>
      <c r="Q3" s="106"/>
      <c r="R3" s="106"/>
      <c r="S3" s="106"/>
      <c r="T3" s="106"/>
    </row>
  </sheetData>
  <mergeCells count="1">
    <mergeCell ref="A1:T3"/>
  </mergeCells>
  <pageMargins left="0.7" right="0.7" top="0.75" bottom="0.75" header="0.3" footer="0.3"/>
  <pageSetup orientation="portrait" horizontalDpi="120" verticalDpi="72"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17B27-E7A0-4CEE-B3EE-E5E84A52630A}">
  <dimension ref="A1:N66"/>
  <sheetViews>
    <sheetView workbookViewId="0">
      <selection activeCell="C7" sqref="C7"/>
    </sheetView>
  </sheetViews>
  <sheetFormatPr defaultRowHeight="14.5" x14ac:dyDescent="0.35"/>
  <cols>
    <col min="1" max="1" width="10.453125" bestFit="1" customWidth="1"/>
    <col min="2" max="2" width="23.1796875" bestFit="1" customWidth="1"/>
    <col min="3" max="3" width="15.81640625" bestFit="1" customWidth="1"/>
    <col min="4" max="4" width="49.08984375" customWidth="1"/>
    <col min="6" max="6" width="11.08984375" bestFit="1" customWidth="1"/>
    <col min="7" max="7" width="15.453125" style="1" bestFit="1" customWidth="1"/>
    <col min="8" max="8" width="15.81640625" bestFit="1" customWidth="1"/>
    <col min="9" max="9" width="13.6328125" style="1" bestFit="1" customWidth="1"/>
    <col min="13" max="13" width="15.81640625" bestFit="1" customWidth="1"/>
    <col min="14" max="14" width="13.6328125" bestFit="1" customWidth="1"/>
  </cols>
  <sheetData>
    <row r="1" spans="1:9" x14ac:dyDescent="0.35">
      <c r="A1" s="108" t="s">
        <v>81</v>
      </c>
      <c r="B1" s="108"/>
      <c r="C1" s="108"/>
      <c r="D1" s="108"/>
    </row>
    <row r="2" spans="1:9" x14ac:dyDescent="0.35">
      <c r="A2" s="21" t="s">
        <v>70</v>
      </c>
      <c r="B2" s="21" t="s">
        <v>71</v>
      </c>
      <c r="C2" s="21" t="s">
        <v>17</v>
      </c>
      <c r="D2" s="21" t="s">
        <v>72</v>
      </c>
      <c r="H2" s="24"/>
    </row>
    <row r="3" spans="1:9" x14ac:dyDescent="0.35">
      <c r="A3" s="2">
        <v>45566</v>
      </c>
      <c r="B3" t="s">
        <v>20</v>
      </c>
      <c r="C3" s="27">
        <f>0</f>
        <v>0</v>
      </c>
      <c r="D3" s="32">
        <f t="shared" ref="D3:D15" si="0">(C3/SUM(C3:C21))</f>
        <v>0</v>
      </c>
      <c r="G3" s="27"/>
      <c r="H3" s="24"/>
      <c r="I3" s="27"/>
    </row>
    <row r="4" spans="1:9" x14ac:dyDescent="0.35">
      <c r="A4" s="2">
        <v>45566</v>
      </c>
      <c r="B4" t="s">
        <v>74</v>
      </c>
      <c r="C4" s="27">
        <f>0</f>
        <v>0</v>
      </c>
      <c r="D4" s="32">
        <f t="shared" si="0"/>
        <v>0</v>
      </c>
      <c r="G4" s="27"/>
      <c r="H4" s="24"/>
      <c r="I4" s="27"/>
    </row>
    <row r="5" spans="1:9" x14ac:dyDescent="0.35">
      <c r="A5" s="2">
        <v>45566</v>
      </c>
      <c r="B5" t="s">
        <v>105</v>
      </c>
      <c r="C5" s="27">
        <v>0</v>
      </c>
      <c r="D5" s="32">
        <f t="shared" si="0"/>
        <v>0</v>
      </c>
      <c r="G5" s="27"/>
      <c r="I5" s="27"/>
    </row>
    <row r="6" spans="1:9" x14ac:dyDescent="0.35">
      <c r="A6" s="2">
        <v>45566</v>
      </c>
      <c r="B6" t="s">
        <v>618</v>
      </c>
      <c r="C6" s="27">
        <v>10000</v>
      </c>
      <c r="D6" s="32">
        <f t="shared" si="0"/>
        <v>1.0166734444896299E-2</v>
      </c>
      <c r="G6" s="27"/>
      <c r="I6" s="27"/>
    </row>
    <row r="7" spans="1:9" x14ac:dyDescent="0.35">
      <c r="A7" s="2">
        <v>45566</v>
      </c>
      <c r="B7" t="s">
        <v>261</v>
      </c>
      <c r="C7" s="27">
        <v>10000</v>
      </c>
      <c r="D7" s="32">
        <f t="shared" si="0"/>
        <v>1.0397171969224371E-2</v>
      </c>
      <c r="G7" s="27"/>
      <c r="I7" s="27"/>
    </row>
    <row r="8" spans="1:9" x14ac:dyDescent="0.35">
      <c r="A8" s="2">
        <v>45566</v>
      </c>
      <c r="B8" t="s">
        <v>49</v>
      </c>
      <c r="C8" s="27">
        <v>25000</v>
      </c>
      <c r="D8" s="32">
        <f t="shared" si="0"/>
        <v>2.6266022273586889E-2</v>
      </c>
      <c r="G8" s="27"/>
      <c r="I8" s="27"/>
    </row>
    <row r="9" spans="1:9" x14ac:dyDescent="0.35">
      <c r="A9" s="2">
        <v>45566</v>
      </c>
      <c r="B9" t="s">
        <v>323</v>
      </c>
      <c r="C9" s="27">
        <v>4000</v>
      </c>
      <c r="D9" s="32">
        <f t="shared" si="0"/>
        <v>4.3159257660768235E-3</v>
      </c>
      <c r="G9" s="27"/>
      <c r="I9" s="27"/>
    </row>
    <row r="10" spans="1:9" x14ac:dyDescent="0.35">
      <c r="A10" s="2">
        <v>45566</v>
      </c>
      <c r="B10" t="s">
        <v>78</v>
      </c>
      <c r="C10" s="27">
        <v>0</v>
      </c>
      <c r="D10" s="32">
        <f t="shared" si="0"/>
        <v>0</v>
      </c>
      <c r="G10" s="27"/>
      <c r="I10" s="27"/>
    </row>
    <row r="11" spans="1:9" x14ac:dyDescent="0.35">
      <c r="A11" s="2">
        <v>45566</v>
      </c>
      <c r="B11" t="s">
        <v>42</v>
      </c>
      <c r="C11" s="27">
        <v>7800</v>
      </c>
      <c r="D11" s="32">
        <f t="shared" si="0"/>
        <v>8.4525357607282189E-3</v>
      </c>
      <c r="G11" s="27"/>
      <c r="I11" s="27"/>
    </row>
    <row r="12" spans="1:9" x14ac:dyDescent="0.35">
      <c r="A12" s="2">
        <v>45566</v>
      </c>
      <c r="B12" t="s">
        <v>135</v>
      </c>
      <c r="C12" s="27">
        <v>70000</v>
      </c>
      <c r="D12" s="32">
        <f t="shared" si="0"/>
        <v>7.650273224043716E-2</v>
      </c>
      <c r="G12" s="27"/>
      <c r="H12" s="24"/>
      <c r="I12" s="27"/>
    </row>
    <row r="13" spans="1:9" x14ac:dyDescent="0.35">
      <c r="A13" s="2">
        <v>45566</v>
      </c>
      <c r="B13" t="s">
        <v>136</v>
      </c>
      <c r="C13" s="27">
        <v>50000</v>
      </c>
      <c r="D13" s="32">
        <f t="shared" si="0"/>
        <v>5.9171597633136092E-2</v>
      </c>
      <c r="G13" s="27"/>
      <c r="I13" s="27"/>
    </row>
    <row r="14" spans="1:9" x14ac:dyDescent="0.35">
      <c r="A14" s="2">
        <v>45566</v>
      </c>
      <c r="B14" t="s">
        <v>19</v>
      </c>
      <c r="C14" s="27">
        <v>50000</v>
      </c>
      <c r="D14" s="32">
        <f t="shared" si="0"/>
        <v>6.2893081761006289E-2</v>
      </c>
      <c r="F14" s="24"/>
      <c r="G14" s="27"/>
      <c r="I14" s="27"/>
    </row>
    <row r="15" spans="1:9" x14ac:dyDescent="0.35">
      <c r="A15" s="2">
        <v>45566</v>
      </c>
      <c r="B15" t="s">
        <v>142</v>
      </c>
      <c r="C15" s="27"/>
      <c r="D15" s="32">
        <f t="shared" si="0"/>
        <v>0</v>
      </c>
      <c r="G15" s="27"/>
      <c r="I15" s="27"/>
    </row>
    <row r="16" spans="1:9" x14ac:dyDescent="0.35">
      <c r="A16" s="2">
        <v>45566</v>
      </c>
      <c r="B16" t="s">
        <v>688</v>
      </c>
      <c r="C16" s="27">
        <v>55000</v>
      </c>
      <c r="D16" s="32"/>
      <c r="G16" s="27"/>
      <c r="I16" s="27"/>
    </row>
    <row r="17" spans="1:9" x14ac:dyDescent="0.35">
      <c r="A17" s="2">
        <v>45566</v>
      </c>
      <c r="B17" t="s">
        <v>502</v>
      </c>
      <c r="C17" s="27">
        <v>0</v>
      </c>
      <c r="D17" s="32">
        <f t="shared" ref="D17:D21" si="1">(C17/SUM(C17:C34))</f>
        <v>0</v>
      </c>
      <c r="G17" s="27"/>
      <c r="I17" s="27"/>
    </row>
    <row r="18" spans="1:9" x14ac:dyDescent="0.35">
      <c r="A18" s="2">
        <v>45566</v>
      </c>
      <c r="B18" t="s">
        <v>204</v>
      </c>
      <c r="C18" s="27">
        <v>0</v>
      </c>
      <c r="D18" s="32">
        <f t="shared" si="1"/>
        <v>0</v>
      </c>
      <c r="G18" s="27"/>
      <c r="I18" s="27"/>
    </row>
    <row r="19" spans="1:9" x14ac:dyDescent="0.35">
      <c r="A19" s="2">
        <v>45566</v>
      </c>
      <c r="B19" t="s">
        <v>230</v>
      </c>
      <c r="C19" s="27">
        <v>20000</v>
      </c>
      <c r="D19" s="32">
        <f t="shared" si="1"/>
        <v>2.5646286417726712E-2</v>
      </c>
      <c r="G19" s="27"/>
      <c r="I19" s="27"/>
    </row>
    <row r="20" spans="1:9" x14ac:dyDescent="0.35">
      <c r="A20" s="2">
        <v>45566</v>
      </c>
      <c r="B20" t="s">
        <v>231</v>
      </c>
      <c r="C20" s="27">
        <v>10000</v>
      </c>
      <c r="D20" s="32">
        <f t="shared" si="1"/>
        <v>1.1237975366357997E-2</v>
      </c>
      <c r="G20" s="27"/>
      <c r="I20" s="27"/>
    </row>
    <row r="21" spans="1:9" x14ac:dyDescent="0.35">
      <c r="A21" s="2">
        <v>45566</v>
      </c>
      <c r="B21" t="s">
        <v>183</v>
      </c>
      <c r="C21" s="27">
        <v>20000</v>
      </c>
      <c r="D21" s="32">
        <f t="shared" si="1"/>
        <v>2.2226173541963015E-2</v>
      </c>
      <c r="G21" s="27"/>
      <c r="I21" s="27"/>
    </row>
    <row r="22" spans="1:9" x14ac:dyDescent="0.35">
      <c r="A22" s="2"/>
      <c r="C22" s="27"/>
      <c r="D22" s="32"/>
      <c r="G22" s="27"/>
      <c r="I22" s="27"/>
    </row>
    <row r="23" spans="1:9" x14ac:dyDescent="0.35">
      <c r="A23" s="2"/>
      <c r="B23" t="s">
        <v>86</v>
      </c>
      <c r="C23" s="27">
        <f>SUM(C3:C21)</f>
        <v>331800</v>
      </c>
      <c r="D23" s="32"/>
      <c r="G23" s="27"/>
      <c r="I23" s="27"/>
    </row>
    <row r="24" spans="1:9" x14ac:dyDescent="0.35">
      <c r="A24" s="2"/>
      <c r="B24" t="s">
        <v>257</v>
      </c>
      <c r="C24" s="24">
        <v>320000</v>
      </c>
      <c r="D24" t="s">
        <v>258</v>
      </c>
      <c r="G24" s="27"/>
      <c r="I24" s="27"/>
    </row>
    <row r="25" spans="1:9" x14ac:dyDescent="0.35">
      <c r="B25" t="s">
        <v>351</v>
      </c>
      <c r="C25" s="24">
        <f>C24-C23</f>
        <v>-11800</v>
      </c>
      <c r="G25" s="27"/>
      <c r="I25" s="27"/>
    </row>
    <row r="27" spans="1:9" x14ac:dyDescent="0.35">
      <c r="C27" s="24"/>
    </row>
    <row r="31" spans="1:9" x14ac:dyDescent="0.35">
      <c r="A31" t="s">
        <v>81</v>
      </c>
    </row>
    <row r="32" spans="1:9" x14ac:dyDescent="0.35">
      <c r="A32" t="s">
        <v>70</v>
      </c>
      <c r="B32" t="s">
        <v>71</v>
      </c>
      <c r="C32" t="s">
        <v>17</v>
      </c>
      <c r="D32" t="s">
        <v>72</v>
      </c>
    </row>
    <row r="33" spans="1:14" x14ac:dyDescent="0.35">
      <c r="A33" s="13">
        <v>45108</v>
      </c>
      <c r="B33" t="s">
        <v>49</v>
      </c>
      <c r="C33" s="1">
        <v>25000</v>
      </c>
      <c r="D33" s="74" t="e">
        <f>(C33/SUM(#REF!))</f>
        <v>#REF!</v>
      </c>
    </row>
    <row r="34" spans="1:14" x14ac:dyDescent="0.35">
      <c r="A34" s="13">
        <v>45108</v>
      </c>
      <c r="B34" t="s">
        <v>42</v>
      </c>
      <c r="C34" s="1">
        <v>7800</v>
      </c>
      <c r="D34" s="74" t="e">
        <f>(C34/SUM(#REF!))</f>
        <v>#REF!</v>
      </c>
      <c r="L34" s="1"/>
      <c r="N34" s="1"/>
    </row>
    <row r="35" spans="1:14" x14ac:dyDescent="0.35">
      <c r="A35" s="13"/>
      <c r="B35" t="s">
        <v>142</v>
      </c>
      <c r="C35" s="1">
        <v>57040</v>
      </c>
      <c r="D35" s="74" t="e">
        <f>(C35/SUM(#REF!))</f>
        <v>#REF!</v>
      </c>
      <c r="L35" s="1"/>
      <c r="N35" s="24"/>
    </row>
    <row r="36" spans="1:14" x14ac:dyDescent="0.35">
      <c r="A36" s="13">
        <v>45108</v>
      </c>
      <c r="B36" t="s">
        <v>499</v>
      </c>
      <c r="C36" s="1">
        <v>0</v>
      </c>
      <c r="D36" s="74" t="e">
        <f>(C36/SUM(#REF!))</f>
        <v>#REF!</v>
      </c>
      <c r="L36" s="1"/>
      <c r="N36" s="24"/>
    </row>
    <row r="37" spans="1:14" x14ac:dyDescent="0.35">
      <c r="A37" s="13">
        <v>45108</v>
      </c>
      <c r="B37" t="s">
        <v>19</v>
      </c>
      <c r="C37" s="1">
        <v>130000</v>
      </c>
      <c r="D37" s="74" t="e">
        <f>(C37/SUM(#REF!))</f>
        <v>#REF!</v>
      </c>
    </row>
    <row r="38" spans="1:14" x14ac:dyDescent="0.35">
      <c r="A38" s="13">
        <v>45108</v>
      </c>
      <c r="B38" t="s">
        <v>230</v>
      </c>
      <c r="C38" s="1">
        <v>20000</v>
      </c>
      <c r="D38" s="74" t="e">
        <f>(C38/SUM(#REF!))</f>
        <v>#REF!</v>
      </c>
    </row>
    <row r="39" spans="1:14" x14ac:dyDescent="0.35">
      <c r="A39" s="13">
        <v>45108</v>
      </c>
      <c r="B39" t="s">
        <v>231</v>
      </c>
      <c r="C39" s="1">
        <v>10000</v>
      </c>
      <c r="D39" s="74" t="e">
        <f>(C39/SUM(#REF!))</f>
        <v>#REF!</v>
      </c>
    </row>
    <row r="40" spans="1:14" x14ac:dyDescent="0.35">
      <c r="A40" s="13">
        <v>45108</v>
      </c>
      <c r="B40" t="s">
        <v>183</v>
      </c>
      <c r="C40" s="1">
        <v>20000</v>
      </c>
      <c r="D40" s="74" t="e">
        <f>(C40/SUM(#REF!))</f>
        <v>#REF!</v>
      </c>
    </row>
    <row r="42" spans="1:14" x14ac:dyDescent="0.35">
      <c r="B42" t="s">
        <v>500</v>
      </c>
      <c r="C42" s="1">
        <f>SUM(C33:C40)</f>
        <v>269840</v>
      </c>
    </row>
    <row r="46" spans="1:14" x14ac:dyDescent="0.35">
      <c r="E46" s="32"/>
    </row>
    <row r="47" spans="1:14" x14ac:dyDescent="0.35">
      <c r="E47" s="32"/>
    </row>
    <row r="48" spans="1:14" x14ac:dyDescent="0.35">
      <c r="E48" s="32"/>
    </row>
    <row r="49" spans="5:9" x14ac:dyDescent="0.35">
      <c r="E49" s="32"/>
    </row>
    <row r="50" spans="5:9" x14ac:dyDescent="0.35">
      <c r="E50" s="32"/>
    </row>
    <row r="51" spans="5:9" x14ac:dyDescent="0.35">
      <c r="E51" s="32"/>
    </row>
    <row r="52" spans="5:9" x14ac:dyDescent="0.35">
      <c r="E52" s="32"/>
      <c r="G52"/>
      <c r="H52" s="27"/>
      <c r="I52" s="32"/>
    </row>
    <row r="53" spans="5:9" x14ac:dyDescent="0.35">
      <c r="E53" s="32"/>
      <c r="G53"/>
      <c r="H53" s="27"/>
      <c r="I53" s="32"/>
    </row>
    <row r="54" spans="5:9" x14ac:dyDescent="0.35">
      <c r="E54" s="32"/>
      <c r="F54" s="1"/>
      <c r="G54"/>
      <c r="H54" s="27"/>
      <c r="I54" s="32"/>
    </row>
    <row r="55" spans="5:9" x14ac:dyDescent="0.35">
      <c r="E55" s="32"/>
      <c r="F55" s="1"/>
      <c r="G55"/>
      <c r="H55" s="27"/>
      <c r="I55" s="32"/>
    </row>
    <row r="56" spans="5:9" x14ac:dyDescent="0.35">
      <c r="E56" s="32"/>
      <c r="G56"/>
      <c r="H56" s="27"/>
      <c r="I56" s="32"/>
    </row>
    <row r="57" spans="5:9" x14ac:dyDescent="0.35">
      <c r="E57" s="32"/>
      <c r="G57"/>
      <c r="H57" s="27"/>
      <c r="I57" s="32"/>
    </row>
    <row r="58" spans="5:9" x14ac:dyDescent="0.35">
      <c r="E58" s="32"/>
      <c r="G58"/>
      <c r="H58" s="27"/>
      <c r="I58" s="32"/>
    </row>
    <row r="59" spans="5:9" x14ac:dyDescent="0.35">
      <c r="E59" s="32"/>
      <c r="G59"/>
      <c r="H59" s="27"/>
      <c r="I59" s="32"/>
    </row>
    <row r="60" spans="5:9" x14ac:dyDescent="0.35">
      <c r="E60" s="32"/>
      <c r="G60"/>
      <c r="H60" s="27"/>
      <c r="I60" s="32"/>
    </row>
    <row r="61" spans="5:9" x14ac:dyDescent="0.35">
      <c r="E61" s="32"/>
      <c r="G61"/>
      <c r="H61" s="27"/>
      <c r="I61" s="32"/>
    </row>
    <row r="62" spans="5:9" x14ac:dyDescent="0.35">
      <c r="E62" s="32"/>
      <c r="G62"/>
      <c r="H62" s="27"/>
      <c r="I62" s="32"/>
    </row>
    <row r="63" spans="5:9" x14ac:dyDescent="0.35">
      <c r="E63" s="32"/>
      <c r="G63"/>
      <c r="H63" s="27"/>
      <c r="I63" s="32"/>
    </row>
    <row r="64" spans="5:9" x14ac:dyDescent="0.35">
      <c r="E64" s="32"/>
      <c r="G64"/>
      <c r="H64" s="27"/>
      <c r="I64" s="32"/>
    </row>
    <row r="65" spans="7:9" x14ac:dyDescent="0.35">
      <c r="G65"/>
      <c r="H65" s="24"/>
      <c r="I65"/>
    </row>
    <row r="66" spans="7:9" x14ac:dyDescent="0.35">
      <c r="G66"/>
      <c r="H66" s="24"/>
      <c r="I66"/>
    </row>
  </sheetData>
  <mergeCells count="1">
    <mergeCell ref="A1:D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FE28"/>
  <sheetViews>
    <sheetView topLeftCell="ES7" workbookViewId="0">
      <selection activeCell="FD16" sqref="FD16"/>
    </sheetView>
  </sheetViews>
  <sheetFormatPr defaultRowHeight="14.5" x14ac:dyDescent="0.35"/>
  <cols>
    <col min="3" max="3" width="17.453125" bestFit="1" customWidth="1"/>
    <col min="4" max="5" width="12.54296875" bestFit="1" customWidth="1"/>
    <col min="8" max="8" width="12.54296875" bestFit="1" customWidth="1"/>
    <col min="9" max="9" width="18" bestFit="1" customWidth="1"/>
    <col min="10" max="10" width="12.54296875" bestFit="1" customWidth="1"/>
    <col min="11" max="11" width="11" bestFit="1" customWidth="1"/>
    <col min="12" max="12" width="40.08984375" customWidth="1"/>
    <col min="14" max="14" width="10.7265625" bestFit="1" customWidth="1"/>
    <col min="15" max="15" width="18" bestFit="1" customWidth="1"/>
    <col min="16" max="16" width="12.54296875" bestFit="1" customWidth="1"/>
    <col min="17" max="17" width="11" bestFit="1" customWidth="1"/>
    <col min="20" max="20" width="10.7265625" bestFit="1" customWidth="1"/>
    <col min="21" max="21" width="18" bestFit="1" customWidth="1"/>
    <col min="22" max="22" width="14.26953125" bestFit="1" customWidth="1"/>
    <col min="23" max="23" width="11" bestFit="1" customWidth="1"/>
    <col min="25" max="25" width="11.54296875" bestFit="1" customWidth="1"/>
    <col min="26" max="27" width="18" bestFit="1" customWidth="1"/>
    <col min="28" max="28" width="12.54296875" bestFit="1" customWidth="1"/>
    <col min="29" max="29" width="11" bestFit="1" customWidth="1"/>
    <col min="32" max="32" width="9.90625" bestFit="1" customWidth="1"/>
    <col min="33" max="33" width="21.36328125" bestFit="1" customWidth="1"/>
    <col min="34" max="34" width="13.7265625" bestFit="1" customWidth="1"/>
    <col min="37" max="37" width="9.90625" bestFit="1" customWidth="1"/>
    <col min="38" max="38" width="18.54296875" bestFit="1" customWidth="1"/>
    <col min="39" max="39" width="13.7265625" bestFit="1" customWidth="1"/>
    <col min="42" max="42" width="9.6328125" bestFit="1" customWidth="1"/>
    <col min="43" max="43" width="18" bestFit="1" customWidth="1"/>
    <col min="44" max="44" width="12.54296875" bestFit="1" customWidth="1"/>
    <col min="45" max="45" width="16.54296875" customWidth="1"/>
    <col min="47" max="47" width="9.6328125" bestFit="1" customWidth="1"/>
    <col min="48" max="48" width="29.36328125" bestFit="1" customWidth="1"/>
    <col min="49" max="49" width="12.54296875" bestFit="1" customWidth="1"/>
    <col min="50" max="50" width="11" bestFit="1" customWidth="1"/>
    <col min="53" max="53" width="9.6328125" bestFit="1" customWidth="1"/>
    <col min="54" max="54" width="18" bestFit="1" customWidth="1"/>
    <col min="55" max="55" width="12.54296875" bestFit="1" customWidth="1"/>
    <col min="56" max="56" width="21.81640625" customWidth="1"/>
    <col min="58" max="58" width="9.453125" bestFit="1" customWidth="1"/>
    <col min="59" max="59" width="17.1796875" customWidth="1"/>
    <col min="60" max="60" width="21.6328125" customWidth="1"/>
    <col min="61" max="61" width="18.453125" customWidth="1"/>
    <col min="63" max="63" width="9.453125" bestFit="1" customWidth="1"/>
    <col min="64" max="64" width="18.453125" customWidth="1"/>
    <col min="65" max="65" width="21.26953125" customWidth="1"/>
    <col min="66" max="66" width="25.1796875" customWidth="1"/>
    <col min="68" max="68" width="9.453125" bestFit="1" customWidth="1"/>
    <col min="69" max="69" width="16.54296875" bestFit="1" customWidth="1"/>
    <col min="70" max="70" width="12.08984375" bestFit="1" customWidth="1"/>
    <col min="71" max="71" width="16.1796875" customWidth="1"/>
    <col min="73" max="73" width="9.453125" bestFit="1" customWidth="1"/>
    <col min="74" max="74" width="16.54296875" bestFit="1" customWidth="1"/>
    <col min="75" max="75" width="12.08984375" bestFit="1" customWidth="1"/>
    <col min="76" max="76" width="10" bestFit="1" customWidth="1"/>
    <col min="78" max="78" width="10.453125" bestFit="1" customWidth="1"/>
    <col min="79" max="79" width="16.54296875" bestFit="1" customWidth="1"/>
    <col min="80" max="80" width="12.08984375" bestFit="1" customWidth="1"/>
    <col min="83" max="83" width="10.453125" bestFit="1" customWidth="1"/>
    <col min="85" max="85" width="12.08984375" bestFit="1" customWidth="1"/>
    <col min="86" max="86" width="17.54296875" customWidth="1"/>
    <col min="88" max="88" width="10.453125" bestFit="1" customWidth="1"/>
    <col min="89" max="89" width="16.54296875" bestFit="1" customWidth="1"/>
    <col min="90" max="90" width="12.08984375" bestFit="1" customWidth="1"/>
    <col min="91" max="91" width="10" bestFit="1" customWidth="1"/>
    <col min="93" max="93" width="13.7265625" customWidth="1"/>
    <col min="94" max="94" width="12.54296875" customWidth="1"/>
    <col min="95" max="95" width="13.26953125" customWidth="1"/>
    <col min="96" max="96" width="10.54296875" customWidth="1"/>
    <col min="100" max="100" width="14.26953125" customWidth="1"/>
    <col min="105" max="105" width="12.08984375" bestFit="1" customWidth="1"/>
    <col min="106" max="106" width="10" bestFit="1" customWidth="1"/>
    <col min="108" max="108" width="9.453125" bestFit="1" customWidth="1"/>
    <col min="109" max="109" width="16.54296875" bestFit="1" customWidth="1"/>
    <col min="110" max="110" width="12.08984375" bestFit="1" customWidth="1"/>
    <col min="114" max="114" width="16.54296875" bestFit="1" customWidth="1"/>
    <col min="115" max="115" width="12.08984375" bestFit="1" customWidth="1"/>
    <col min="116" max="116" width="10" bestFit="1" customWidth="1"/>
    <col min="124" max="124" width="16.54296875" bestFit="1" customWidth="1"/>
    <col min="125" max="125" width="12.08984375" bestFit="1" customWidth="1"/>
    <col min="128" max="128" width="9.453125" bestFit="1" customWidth="1"/>
    <col min="129" max="129" width="15.81640625" bestFit="1" customWidth="1"/>
    <col min="130" max="130" width="12.08984375" bestFit="1" customWidth="1"/>
    <col min="133" max="133" width="8.453125" bestFit="1" customWidth="1"/>
    <col min="134" max="134" width="15.81640625" bestFit="1" customWidth="1"/>
    <col min="135" max="135" width="12.08984375" style="1" bestFit="1" customWidth="1"/>
    <col min="136" max="136" width="11.81640625" style="74" bestFit="1" customWidth="1"/>
    <col min="139" max="139" width="15.81640625" bestFit="1" customWidth="1"/>
    <col min="140" max="140" width="12.08984375" bestFit="1" customWidth="1"/>
    <col min="145" max="145" width="12.08984375" bestFit="1" customWidth="1"/>
    <col min="149" max="149" width="19.81640625" bestFit="1" customWidth="1"/>
    <col min="150" max="150" width="12.08984375" bestFit="1" customWidth="1"/>
    <col min="155" max="155" width="12.08984375" bestFit="1" customWidth="1"/>
    <col min="158" max="158" width="8.90625" customWidth="1"/>
    <col min="159" max="159" width="15.81640625" bestFit="1" customWidth="1"/>
    <col min="160" max="160" width="12.08984375" bestFit="1" customWidth="1"/>
    <col min="161" max="161" width="8.90625" customWidth="1"/>
  </cols>
  <sheetData>
    <row r="2" spans="2:161" x14ac:dyDescent="0.35">
      <c r="B2" s="108" t="s">
        <v>85</v>
      </c>
      <c r="C2" s="108"/>
      <c r="D2" s="108"/>
      <c r="E2" s="108"/>
      <c r="H2" s="108" t="s">
        <v>81</v>
      </c>
      <c r="I2" s="108"/>
      <c r="J2" s="108"/>
      <c r="K2" s="108"/>
      <c r="N2" s="108" t="s">
        <v>81</v>
      </c>
      <c r="O2" s="108"/>
      <c r="P2" s="108"/>
      <c r="Q2" s="108"/>
      <c r="T2" s="108" t="s">
        <v>81</v>
      </c>
      <c r="U2" s="108"/>
      <c r="V2" s="108"/>
      <c r="W2" s="108"/>
      <c r="Z2" s="108" t="s">
        <v>81</v>
      </c>
      <c r="AA2" s="108"/>
      <c r="AB2" s="108"/>
      <c r="AC2" s="108"/>
      <c r="AF2" s="108" t="s">
        <v>81</v>
      </c>
      <c r="AG2" s="108"/>
      <c r="AH2" s="108"/>
      <c r="AI2" s="108"/>
      <c r="AK2" s="108" t="s">
        <v>81</v>
      </c>
      <c r="AL2" s="108"/>
      <c r="AM2" s="108"/>
      <c r="AN2" s="108"/>
    </row>
    <row r="3" spans="2:161" x14ac:dyDescent="0.35">
      <c r="B3" s="21" t="s">
        <v>70</v>
      </c>
      <c r="C3" s="21" t="s">
        <v>71</v>
      </c>
      <c r="D3" s="21" t="s">
        <v>17</v>
      </c>
      <c r="E3" s="21" t="s">
        <v>72</v>
      </c>
      <c r="H3" s="21" t="s">
        <v>70</v>
      </c>
      <c r="I3" s="21" t="s">
        <v>71</v>
      </c>
      <c r="J3" s="21" t="s">
        <v>17</v>
      </c>
      <c r="K3" s="21" t="s">
        <v>72</v>
      </c>
      <c r="N3" s="21" t="s">
        <v>70</v>
      </c>
      <c r="O3" s="21" t="s">
        <v>71</v>
      </c>
      <c r="P3" s="21" t="s">
        <v>17</v>
      </c>
      <c r="Q3" s="21" t="s">
        <v>72</v>
      </c>
      <c r="T3" s="21" t="s">
        <v>70</v>
      </c>
      <c r="U3" s="21" t="s">
        <v>71</v>
      </c>
      <c r="V3" s="21" t="s">
        <v>17</v>
      </c>
      <c r="W3" s="21" t="s">
        <v>72</v>
      </c>
      <c r="Z3" s="21" t="s">
        <v>70</v>
      </c>
      <c r="AA3" s="21" t="s">
        <v>71</v>
      </c>
      <c r="AB3" s="21" t="s">
        <v>17</v>
      </c>
      <c r="AC3" s="21" t="s">
        <v>72</v>
      </c>
      <c r="AF3" s="21" t="s">
        <v>70</v>
      </c>
      <c r="AG3" s="21" t="s">
        <v>71</v>
      </c>
      <c r="AH3" s="21" t="s">
        <v>17</v>
      </c>
      <c r="AI3" s="21" t="s">
        <v>72</v>
      </c>
      <c r="AK3" s="21" t="s">
        <v>70</v>
      </c>
      <c r="AL3" s="21" t="s">
        <v>71</v>
      </c>
      <c r="AM3" s="21" t="s">
        <v>17</v>
      </c>
      <c r="AN3" s="21" t="s">
        <v>72</v>
      </c>
      <c r="AP3" s="21" t="s">
        <v>70</v>
      </c>
      <c r="AQ3" s="21" t="s">
        <v>71</v>
      </c>
      <c r="AR3" s="21" t="s">
        <v>17</v>
      </c>
      <c r="AS3" s="21" t="s">
        <v>72</v>
      </c>
      <c r="AU3" s="21" t="s">
        <v>70</v>
      </c>
      <c r="AV3" s="21" t="s">
        <v>71</v>
      </c>
      <c r="AW3" s="21" t="s">
        <v>17</v>
      </c>
      <c r="AX3" s="21" t="s">
        <v>72</v>
      </c>
      <c r="BA3" s="21" t="s">
        <v>70</v>
      </c>
      <c r="BB3" s="21" t="s">
        <v>71</v>
      </c>
      <c r="BC3" s="21" t="s">
        <v>17</v>
      </c>
      <c r="BD3" s="21" t="s">
        <v>72</v>
      </c>
      <c r="BF3" s="21" t="s">
        <v>70</v>
      </c>
      <c r="BG3" s="21" t="s">
        <v>71</v>
      </c>
      <c r="BH3" s="21" t="s">
        <v>17</v>
      </c>
      <c r="BI3" s="21" t="s">
        <v>72</v>
      </c>
      <c r="BK3" s="21" t="s">
        <v>70</v>
      </c>
      <c r="BL3" s="21" t="s">
        <v>71</v>
      </c>
      <c r="BM3" s="21" t="s">
        <v>17</v>
      </c>
      <c r="BN3" s="21" t="s">
        <v>72</v>
      </c>
      <c r="BP3" s="21" t="s">
        <v>70</v>
      </c>
      <c r="BQ3" s="21" t="s">
        <v>71</v>
      </c>
      <c r="BR3" s="21" t="s">
        <v>17</v>
      </c>
      <c r="BS3" s="21" t="s">
        <v>72</v>
      </c>
      <c r="BU3" s="21" t="s">
        <v>70</v>
      </c>
      <c r="BV3" s="21" t="s">
        <v>71</v>
      </c>
      <c r="BW3" s="21" t="s">
        <v>17</v>
      </c>
      <c r="BX3" s="21" t="s">
        <v>72</v>
      </c>
      <c r="BZ3" s="21" t="s">
        <v>70</v>
      </c>
      <c r="CA3" s="21" t="s">
        <v>71</v>
      </c>
      <c r="CB3" s="21" t="s">
        <v>17</v>
      </c>
      <c r="CC3" s="21" t="s">
        <v>72</v>
      </c>
      <c r="CE3" s="21" t="s">
        <v>70</v>
      </c>
      <c r="CF3" s="21" t="s">
        <v>71</v>
      </c>
      <c r="CG3" s="21" t="s">
        <v>17</v>
      </c>
      <c r="CH3" s="21" t="s">
        <v>72</v>
      </c>
      <c r="CJ3" s="21" t="s">
        <v>70</v>
      </c>
      <c r="CK3" s="21" t="s">
        <v>71</v>
      </c>
      <c r="CL3" s="21" t="s">
        <v>17</v>
      </c>
      <c r="CM3" s="21" t="s">
        <v>72</v>
      </c>
      <c r="CO3" s="21" t="s">
        <v>70</v>
      </c>
      <c r="CP3" s="21" t="s">
        <v>71</v>
      </c>
      <c r="CQ3" s="21" t="s">
        <v>17</v>
      </c>
      <c r="CR3" s="21" t="s">
        <v>72</v>
      </c>
      <c r="CT3" s="21" t="s">
        <v>70</v>
      </c>
      <c r="CU3" s="21" t="s">
        <v>71</v>
      </c>
      <c r="CV3" s="21" t="s">
        <v>17</v>
      </c>
      <c r="CW3" s="21" t="s">
        <v>72</v>
      </c>
      <c r="CY3" s="21" t="s">
        <v>70</v>
      </c>
      <c r="CZ3" s="21" t="s">
        <v>71</v>
      </c>
      <c r="DA3" s="21" t="s">
        <v>17</v>
      </c>
      <c r="DB3" s="21" t="s">
        <v>72</v>
      </c>
      <c r="DD3" s="21" t="s">
        <v>70</v>
      </c>
      <c r="DE3" s="21" t="s">
        <v>71</v>
      </c>
      <c r="DF3" s="21" t="s">
        <v>17</v>
      </c>
      <c r="DG3" s="21" t="s">
        <v>72</v>
      </c>
      <c r="DI3" s="21" t="s">
        <v>70</v>
      </c>
      <c r="DJ3" s="21" t="s">
        <v>71</v>
      </c>
      <c r="DK3" s="21" t="s">
        <v>17</v>
      </c>
      <c r="DL3" s="21" t="s">
        <v>72</v>
      </c>
      <c r="DN3" s="21" t="s">
        <v>70</v>
      </c>
      <c r="DO3" s="21" t="s">
        <v>71</v>
      </c>
      <c r="DP3" s="21" t="s">
        <v>17</v>
      </c>
      <c r="DQ3" s="21" t="s">
        <v>72</v>
      </c>
      <c r="DS3" s="21" t="s">
        <v>70</v>
      </c>
      <c r="DT3" s="21" t="s">
        <v>71</v>
      </c>
      <c r="DU3" s="21" t="s">
        <v>17</v>
      </c>
      <c r="DV3" s="21" t="s">
        <v>72</v>
      </c>
      <c r="DX3" s="21" t="s">
        <v>70</v>
      </c>
      <c r="DY3" s="21" t="s">
        <v>71</v>
      </c>
      <c r="DZ3" s="21" t="s">
        <v>17</v>
      </c>
      <c r="EA3" s="21" t="s">
        <v>72</v>
      </c>
      <c r="EC3" s="21" t="s">
        <v>70</v>
      </c>
      <c r="ED3" s="21" t="s">
        <v>71</v>
      </c>
      <c r="EE3" s="21" t="s">
        <v>17</v>
      </c>
      <c r="EF3" s="21" t="s">
        <v>72</v>
      </c>
      <c r="EH3" s="21" t="s">
        <v>70</v>
      </c>
      <c r="EI3" s="21" t="s">
        <v>71</v>
      </c>
      <c r="EJ3" s="21" t="s">
        <v>17</v>
      </c>
      <c r="EK3" s="21" t="s">
        <v>72</v>
      </c>
      <c r="EM3" s="21" t="s">
        <v>70</v>
      </c>
      <c r="EN3" s="21" t="s">
        <v>71</v>
      </c>
      <c r="EO3" s="21" t="s">
        <v>17</v>
      </c>
      <c r="EP3" s="21" t="s">
        <v>72</v>
      </c>
      <c r="ER3" s="21" t="s">
        <v>70</v>
      </c>
      <c r="ES3" s="21" t="s">
        <v>71</v>
      </c>
      <c r="ET3" s="21" t="s">
        <v>17</v>
      </c>
      <c r="EU3" s="21" t="s">
        <v>72</v>
      </c>
      <c r="EW3" s="21" t="s">
        <v>70</v>
      </c>
      <c r="EX3" s="21" t="s">
        <v>71</v>
      </c>
      <c r="EY3" s="21" t="s">
        <v>17</v>
      </c>
      <c r="EZ3" s="21" t="s">
        <v>72</v>
      </c>
      <c r="FB3" s="21" t="s">
        <v>70</v>
      </c>
      <c r="FC3" s="21" t="s">
        <v>71</v>
      </c>
      <c r="FD3" s="21" t="s">
        <v>17</v>
      </c>
      <c r="FE3" s="21" t="s">
        <v>72</v>
      </c>
    </row>
    <row r="4" spans="2:161" x14ac:dyDescent="0.35">
      <c r="C4" t="s">
        <v>20</v>
      </c>
      <c r="D4" s="1">
        <v>120000</v>
      </c>
      <c r="E4" s="22">
        <f>(D4/SUM(D4:D13))</f>
        <v>0.5279998310400541</v>
      </c>
      <c r="H4" s="13">
        <v>44440</v>
      </c>
      <c r="I4" s="11" t="s">
        <v>20</v>
      </c>
      <c r="J4" s="19">
        <v>120000</v>
      </c>
      <c r="K4" s="26">
        <f>(J4/SUM(J4:J14))</f>
        <v>0.61855670103092786</v>
      </c>
      <c r="N4" s="13">
        <v>44470</v>
      </c>
      <c r="O4" s="11" t="s">
        <v>20</v>
      </c>
      <c r="P4" s="19">
        <v>120000</v>
      </c>
      <c r="Q4" s="26">
        <f>(P4/SUM(P4:P13))</f>
        <v>0.5279998310400541</v>
      </c>
      <c r="T4" s="13">
        <v>44501</v>
      </c>
      <c r="U4" s="11" t="s">
        <v>20</v>
      </c>
      <c r="V4" s="19">
        <v>80000</v>
      </c>
      <c r="W4" s="26">
        <f>(V4/SUM(V4:V13))</f>
        <v>0.35118525021949076</v>
      </c>
      <c r="Z4" s="13">
        <v>44531</v>
      </c>
      <c r="AA4" s="11" t="s">
        <v>20</v>
      </c>
      <c r="AB4" s="19">
        <v>23500</v>
      </c>
      <c r="AC4" s="26">
        <f>(AB4/SUM(AB4:AB17))</f>
        <v>8.1030721815463322E-2</v>
      </c>
      <c r="AF4" s="13">
        <v>44562</v>
      </c>
      <c r="AG4" s="11" t="s">
        <v>20</v>
      </c>
      <c r="AH4" s="19">
        <v>0</v>
      </c>
      <c r="AI4" s="26">
        <f>(AH4/SUM(AH4:AH16))</f>
        <v>0</v>
      </c>
      <c r="AK4" s="13">
        <v>44593</v>
      </c>
      <c r="AL4" s="11" t="s">
        <v>20</v>
      </c>
      <c r="AM4" s="19">
        <v>100000</v>
      </c>
      <c r="AN4" s="26">
        <f>(AM4/SUM(AM4:AM17))</f>
        <v>0.49504950495049505</v>
      </c>
      <c r="AP4" s="13">
        <v>44621</v>
      </c>
      <c r="AQ4" s="11" t="s">
        <v>20</v>
      </c>
      <c r="AR4" s="19">
        <f>0</f>
        <v>0</v>
      </c>
      <c r="AS4" s="26">
        <f>(AR4/SUM(AR4:AR19))</f>
        <v>0</v>
      </c>
      <c r="AU4" s="13">
        <v>44652</v>
      </c>
      <c r="AV4" s="11" t="s">
        <v>20</v>
      </c>
      <c r="AW4" s="19">
        <f>0</f>
        <v>0</v>
      </c>
      <c r="AX4" s="26">
        <f>(AW4/SUM($AW$4:$AW$19))</f>
        <v>0</v>
      </c>
      <c r="BA4" s="13">
        <v>44682</v>
      </c>
      <c r="BB4" s="11" t="s">
        <v>20</v>
      </c>
      <c r="BC4" s="19">
        <f>0</f>
        <v>0</v>
      </c>
      <c r="BD4" s="54">
        <f>(BC4/SUM($BC$4:$BC$16))</f>
        <v>0</v>
      </c>
      <c r="BF4" s="13">
        <v>44713</v>
      </c>
      <c r="BG4" s="11" t="s">
        <v>20</v>
      </c>
      <c r="BH4" s="19">
        <f>0</f>
        <v>0</v>
      </c>
      <c r="BI4" s="26">
        <f>(BH4/SUM($BH$4:$BH$19))</f>
        <v>0</v>
      </c>
      <c r="BK4" s="13">
        <v>44743</v>
      </c>
      <c r="BL4" s="11" t="s">
        <v>20</v>
      </c>
      <c r="BM4" s="19">
        <f>0</f>
        <v>0</v>
      </c>
      <c r="BN4" s="26">
        <f>(BM4/SUM($BM$3:$BM$22))</f>
        <v>0</v>
      </c>
      <c r="BP4" s="13">
        <v>44774</v>
      </c>
      <c r="BQ4" s="11" t="s">
        <v>20</v>
      </c>
      <c r="BR4" s="19">
        <f>0</f>
        <v>0</v>
      </c>
      <c r="BS4" s="26">
        <f>(BR4/SUM($BR$4:$BR$20))</f>
        <v>0</v>
      </c>
      <c r="BU4" s="13">
        <v>44805</v>
      </c>
      <c r="BV4" s="11" t="s">
        <v>20</v>
      </c>
      <c r="BW4" s="19">
        <f>0</f>
        <v>0</v>
      </c>
      <c r="BX4" s="26">
        <f>(BW4/SUM($BW$3:$BW$21))</f>
        <v>0</v>
      </c>
      <c r="BZ4" s="13">
        <v>44835</v>
      </c>
      <c r="CA4" s="11" t="s">
        <v>20</v>
      </c>
      <c r="CB4" s="19">
        <f>0</f>
        <v>0</v>
      </c>
      <c r="CC4" s="26">
        <f>(CB4/SUM($CB$4:$CB$21))</f>
        <v>0</v>
      </c>
      <c r="CE4" s="13">
        <v>44869</v>
      </c>
      <c r="CF4" s="11" t="s">
        <v>105</v>
      </c>
      <c r="CG4" s="19">
        <v>10000</v>
      </c>
      <c r="CH4" s="26">
        <f>(CG4/SUM($CG$4:$CG$20))</f>
        <v>4.6860356138706656E-2</v>
      </c>
      <c r="CJ4" s="13">
        <v>44896</v>
      </c>
      <c r="CK4" s="11" t="s">
        <v>20</v>
      </c>
      <c r="CL4" s="19">
        <f>0</f>
        <v>0</v>
      </c>
      <c r="CM4" s="26">
        <f>(CL4/SUM($CL$4:$CL$23))</f>
        <v>0</v>
      </c>
      <c r="CO4" s="13">
        <v>44927</v>
      </c>
      <c r="CP4" s="11" t="s">
        <v>20</v>
      </c>
      <c r="CQ4" s="19">
        <f>0</f>
        <v>0</v>
      </c>
      <c r="CR4" s="26">
        <f>(CQ4/SUM($CQ$4:$CQ$21))</f>
        <v>0</v>
      </c>
      <c r="CT4" s="13">
        <v>44958</v>
      </c>
      <c r="CU4" s="11" t="s">
        <v>20</v>
      </c>
      <c r="CV4" s="19">
        <f>0</f>
        <v>0</v>
      </c>
      <c r="CW4" s="26">
        <f>(CV4/SUM($CV$4:$CV$22))</f>
        <v>0</v>
      </c>
      <c r="CY4" s="13">
        <v>44986</v>
      </c>
      <c r="CZ4" s="11" t="s">
        <v>20</v>
      </c>
      <c r="DA4" s="19">
        <f>0</f>
        <v>0</v>
      </c>
      <c r="DB4" s="26">
        <f>(DA4/SUM($DA$4:$DA$22))</f>
        <v>0</v>
      </c>
      <c r="DD4" s="13">
        <v>45017</v>
      </c>
      <c r="DE4" s="11" t="s">
        <v>20</v>
      </c>
      <c r="DF4" s="19">
        <f>0</f>
        <v>0</v>
      </c>
      <c r="DG4" s="26" t="e">
        <f>(DF4/SUM($C$3:$C$19))</f>
        <v>#DIV/0!</v>
      </c>
      <c r="DI4" s="13">
        <v>45047</v>
      </c>
      <c r="DJ4" s="11" t="s">
        <v>20</v>
      </c>
      <c r="DK4" s="19">
        <f>0</f>
        <v>0</v>
      </c>
      <c r="DL4" s="26" t="e">
        <f>(DK4/SUM($C$3:$C$19))</f>
        <v>#DIV/0!</v>
      </c>
      <c r="DN4" s="13">
        <v>45078</v>
      </c>
      <c r="DO4" s="11" t="s">
        <v>20</v>
      </c>
      <c r="DP4" s="19">
        <f>0</f>
        <v>0</v>
      </c>
      <c r="DQ4" s="26" t="e">
        <f>(DP4/SUM($C$3:$C$19))</f>
        <v>#DIV/0!</v>
      </c>
      <c r="DS4" s="13">
        <v>45108</v>
      </c>
      <c r="DT4" s="11" t="s">
        <v>20</v>
      </c>
      <c r="DU4" s="19">
        <f>0</f>
        <v>0</v>
      </c>
      <c r="DV4" s="26" t="e">
        <f>(DU4/SUM($C$3:$C$19))</f>
        <v>#DIV/0!</v>
      </c>
      <c r="DX4" s="13">
        <v>45323</v>
      </c>
      <c r="DY4" s="11" t="s">
        <v>20</v>
      </c>
      <c r="DZ4" s="19">
        <f>0</f>
        <v>0</v>
      </c>
      <c r="EA4" s="26">
        <f>(DZ4/SUM($DZ$4:$DZ$21))</f>
        <v>0</v>
      </c>
      <c r="EC4" s="13">
        <v>45352</v>
      </c>
      <c r="ED4" s="11" t="s">
        <v>20</v>
      </c>
      <c r="EE4" s="19">
        <v>0</v>
      </c>
      <c r="EF4" s="54">
        <v>0</v>
      </c>
      <c r="EH4" s="13">
        <v>45383</v>
      </c>
      <c r="EI4" s="11" t="s">
        <v>20</v>
      </c>
      <c r="EJ4" s="19">
        <f>0</f>
        <v>0</v>
      </c>
      <c r="EK4" s="54">
        <v>0</v>
      </c>
      <c r="EM4" s="13">
        <v>45413</v>
      </c>
      <c r="EN4" s="11" t="s">
        <v>20</v>
      </c>
      <c r="EO4" s="19">
        <f>0</f>
        <v>0</v>
      </c>
      <c r="EP4" s="26">
        <v>0</v>
      </c>
      <c r="ER4" s="13">
        <v>45444</v>
      </c>
      <c r="ES4" s="11" t="s">
        <v>20</v>
      </c>
      <c r="ET4" s="19">
        <f>0</f>
        <v>0</v>
      </c>
      <c r="EU4" s="54">
        <v>0</v>
      </c>
      <c r="EW4" s="13">
        <v>45474</v>
      </c>
      <c r="EX4" s="11" t="s">
        <v>20</v>
      </c>
      <c r="EY4" s="19">
        <f>0</f>
        <v>0</v>
      </c>
      <c r="EZ4" s="54">
        <v>0</v>
      </c>
      <c r="FB4" s="13">
        <v>45505</v>
      </c>
      <c r="FC4" s="11" t="s">
        <v>20</v>
      </c>
      <c r="FD4" s="19">
        <f>0</f>
        <v>0</v>
      </c>
      <c r="FE4" s="26">
        <f>(FD4/SUM($FD$4:$FD$20))</f>
        <v>0</v>
      </c>
    </row>
    <row r="5" spans="2:161" x14ac:dyDescent="0.35">
      <c r="C5" t="s">
        <v>74</v>
      </c>
      <c r="D5" s="1">
        <v>20000</v>
      </c>
      <c r="E5" s="22">
        <f t="shared" ref="E5:E13" si="0">(D5/SUM(D5:D14))</f>
        <v>0.18644055156572775</v>
      </c>
      <c r="H5" s="28">
        <v>44441</v>
      </c>
      <c r="I5" s="29" t="s">
        <v>74</v>
      </c>
      <c r="J5" s="20">
        <v>20000</v>
      </c>
      <c r="K5" s="30">
        <f t="shared" ref="K5:K14" si="1">(J5/SUM(J5:J15))</f>
        <v>0.27027027027027029</v>
      </c>
      <c r="L5" t="s">
        <v>84</v>
      </c>
      <c r="N5" s="13">
        <v>44471</v>
      </c>
      <c r="O5" s="11" t="s">
        <v>74</v>
      </c>
      <c r="P5" s="19">
        <v>26000</v>
      </c>
      <c r="Q5" s="26">
        <f t="shared" ref="Q5:Q13" si="2">(P5/SUM(P5:P14))</f>
        <v>0.22658820904679569</v>
      </c>
      <c r="T5" s="13">
        <v>44502</v>
      </c>
      <c r="U5" s="11" t="s">
        <v>110</v>
      </c>
      <c r="V5" s="19">
        <v>36000</v>
      </c>
      <c r="W5" s="26">
        <f t="shared" ref="W5:W13" si="3">(V5/SUM(V5:V14))</f>
        <v>0.24357239512855211</v>
      </c>
      <c r="Y5" s="24">
        <f>V5-(5000+14500)</f>
        <v>16500</v>
      </c>
      <c r="Z5" s="13">
        <v>44532</v>
      </c>
      <c r="AA5" s="11" t="s">
        <v>74</v>
      </c>
      <c r="AB5" s="19">
        <v>0</v>
      </c>
      <c r="AC5" s="26">
        <f t="shared" ref="AC5:AC17" si="4">(AB5/SUM(AB5:AB18))</f>
        <v>0</v>
      </c>
      <c r="AF5" s="13">
        <v>44563</v>
      </c>
      <c r="AG5" s="11" t="s">
        <v>74</v>
      </c>
      <c r="AH5" s="19">
        <v>0</v>
      </c>
      <c r="AI5" s="26">
        <f t="shared" ref="AI5:AI16" si="5">(AH5/SUM(AH5:AH17))</f>
        <v>0</v>
      </c>
      <c r="AK5" s="13">
        <v>44594</v>
      </c>
      <c r="AL5" s="11" t="s">
        <v>74</v>
      </c>
      <c r="AM5" s="19">
        <v>0</v>
      </c>
      <c r="AN5" s="26">
        <f t="shared" ref="AN5:AN17" si="6">(AM5/SUM(AM5:AM18))</f>
        <v>0</v>
      </c>
      <c r="AP5" s="13">
        <v>44622</v>
      </c>
      <c r="AQ5" s="11" t="s">
        <v>74</v>
      </c>
      <c r="AR5" s="19">
        <f>0</f>
        <v>0</v>
      </c>
      <c r="AS5" s="26">
        <f t="shared" ref="AS5:AS19" si="7">(AR5/SUM(AR5:AR20))</f>
        <v>0</v>
      </c>
      <c r="AU5" s="13">
        <v>44653</v>
      </c>
      <c r="AV5" s="11" t="s">
        <v>74</v>
      </c>
      <c r="AW5" s="19">
        <f>0</f>
        <v>0</v>
      </c>
      <c r="AX5" s="26">
        <f t="shared" ref="AX5:AX19" si="8">(AW5/SUM($AW$4:$AW$19))</f>
        <v>0</v>
      </c>
      <c r="BA5" s="13">
        <v>44683</v>
      </c>
      <c r="BB5" s="11" t="s">
        <v>74</v>
      </c>
      <c r="BC5" s="19">
        <f>0</f>
        <v>0</v>
      </c>
      <c r="BD5" s="54">
        <f t="shared" ref="BD5:BD17" si="9">(BC5/SUM($BC$4:$BC$16))</f>
        <v>0</v>
      </c>
      <c r="BF5" s="13">
        <v>44714</v>
      </c>
      <c r="BG5" s="11" t="s">
        <v>74</v>
      </c>
      <c r="BH5" s="19">
        <f>0</f>
        <v>0</v>
      </c>
      <c r="BI5" s="26">
        <f t="shared" ref="BI5:BI19" si="10">(BH5/SUM($BH$4:$BH$19))</f>
        <v>0</v>
      </c>
      <c r="BK5" s="13">
        <v>44744</v>
      </c>
      <c r="BL5" s="11" t="s">
        <v>74</v>
      </c>
      <c r="BM5" s="19">
        <f>0</f>
        <v>0</v>
      </c>
      <c r="BN5" s="26">
        <f t="shared" ref="BN5:BN22" si="11">(BM5/SUM($BM$3:$BM$22))</f>
        <v>0</v>
      </c>
      <c r="BP5" s="13">
        <v>44775</v>
      </c>
      <c r="BQ5" s="11" t="s">
        <v>74</v>
      </c>
      <c r="BR5" s="19">
        <f>0</f>
        <v>0</v>
      </c>
      <c r="BS5" s="26">
        <f t="shared" ref="BS5:BS20" si="12">(BR5/SUM($BR$4:$BR$20))</f>
        <v>0</v>
      </c>
      <c r="BU5" s="13">
        <v>44806</v>
      </c>
      <c r="BV5" s="11" t="s">
        <v>74</v>
      </c>
      <c r="BW5" s="19"/>
      <c r="BX5" s="26">
        <f t="shared" ref="BX5:BX21" si="13">(BW5/SUM($BW$3:$BW$21))</f>
        <v>0</v>
      </c>
      <c r="BZ5" s="13">
        <v>44836</v>
      </c>
      <c r="CA5" s="11" t="s">
        <v>74</v>
      </c>
      <c r="CB5" s="19"/>
      <c r="CC5" s="26">
        <f t="shared" ref="CC5:CC21" si="14">(CB5/SUM($CB$4:$CB$21))</f>
        <v>0</v>
      </c>
      <c r="CE5" s="13">
        <v>44870</v>
      </c>
      <c r="CF5" s="11" t="s">
        <v>49</v>
      </c>
      <c r="CG5" s="19">
        <v>15000</v>
      </c>
      <c r="CH5" s="26">
        <f t="shared" ref="CH5:CH20" si="15">(CG5/SUM($CG$4:$CG$20))</f>
        <v>7.0290534208059988E-2</v>
      </c>
      <c r="CJ5" s="13">
        <v>44897</v>
      </c>
      <c r="CK5" s="11" t="s">
        <v>74</v>
      </c>
      <c r="CL5" s="19">
        <f>0</f>
        <v>0</v>
      </c>
      <c r="CM5" s="26">
        <f t="shared" ref="CM5:CM21" si="16">(CL5/SUM($CL$4:$CL$22))</f>
        <v>0</v>
      </c>
      <c r="CO5" s="13">
        <v>44928</v>
      </c>
      <c r="CP5" s="11" t="s">
        <v>74</v>
      </c>
      <c r="CQ5" s="19">
        <f>0</f>
        <v>0</v>
      </c>
      <c r="CR5" s="26">
        <f t="shared" ref="CR5:CR21" si="17">(CQ5/SUM($CQ$4:$CQ$21))</f>
        <v>0</v>
      </c>
      <c r="CT5" s="13">
        <v>44958</v>
      </c>
      <c r="CU5" s="11" t="s">
        <v>74</v>
      </c>
      <c r="CV5" s="19">
        <f>0</f>
        <v>0</v>
      </c>
      <c r="CW5" s="26">
        <f t="shared" ref="CW5:CW22" si="18">(CV5/SUM($CV$4:$CV$22))</f>
        <v>0</v>
      </c>
      <c r="CY5" s="13">
        <v>44986</v>
      </c>
      <c r="CZ5" s="11" t="s">
        <v>74</v>
      </c>
      <c r="DA5" s="19">
        <f>0</f>
        <v>0</v>
      </c>
      <c r="DB5" s="26">
        <f t="shared" ref="DB5:DB22" si="19">(DA5/SUM($DA$4:$DA$22))</f>
        <v>0</v>
      </c>
      <c r="DD5" s="13">
        <v>45018</v>
      </c>
      <c r="DE5" s="11" t="s">
        <v>74</v>
      </c>
      <c r="DF5" s="19">
        <f>0</f>
        <v>0</v>
      </c>
      <c r="DG5" s="26" t="e">
        <f t="shared" ref="DG5:DG21" si="20">(DF5/SUM($C$3:$C$19))</f>
        <v>#DIV/0!</v>
      </c>
      <c r="DI5" s="13">
        <v>45047</v>
      </c>
      <c r="DJ5" s="11" t="s">
        <v>74</v>
      </c>
      <c r="DK5" s="19">
        <f>0</f>
        <v>0</v>
      </c>
      <c r="DL5" s="26" t="e">
        <f t="shared" ref="DL5:DL21" si="21">(DK5/SUM($C$3:$C$19))</f>
        <v>#DIV/0!</v>
      </c>
      <c r="DN5" s="13">
        <v>45078</v>
      </c>
      <c r="DO5" s="11" t="s">
        <v>74</v>
      </c>
      <c r="DP5" s="19">
        <f>0</f>
        <v>0</v>
      </c>
      <c r="DQ5" s="26" t="e">
        <f t="shared" ref="DQ5:DQ21" si="22">(DP5/SUM($C$3:$C$19))</f>
        <v>#DIV/0!</v>
      </c>
      <c r="DS5" s="13">
        <v>45108</v>
      </c>
      <c r="DT5" s="11" t="s">
        <v>74</v>
      </c>
      <c r="DU5" s="19">
        <f>0</f>
        <v>0</v>
      </c>
      <c r="DV5" s="26" t="e">
        <f t="shared" ref="DV5:DV21" si="23">(DU5/SUM($C$3:$C$19))</f>
        <v>#DIV/0!</v>
      </c>
      <c r="DX5" s="13">
        <v>45324</v>
      </c>
      <c r="DY5" s="11" t="s">
        <v>74</v>
      </c>
      <c r="DZ5" s="19">
        <f>0</f>
        <v>0</v>
      </c>
      <c r="EA5" s="26">
        <f t="shared" ref="EA5:EA21" si="24">(DZ5/SUM($DZ$4:$DZ$21))</f>
        <v>0</v>
      </c>
      <c r="EC5" s="13">
        <v>45352</v>
      </c>
      <c r="ED5" s="11" t="s">
        <v>74</v>
      </c>
      <c r="EE5" s="19">
        <v>0</v>
      </c>
      <c r="EF5" s="54">
        <v>0</v>
      </c>
      <c r="EH5" s="13">
        <v>45383</v>
      </c>
      <c r="EI5" s="11" t="s">
        <v>74</v>
      </c>
      <c r="EJ5" s="19">
        <f>0</f>
        <v>0</v>
      </c>
      <c r="EK5" s="54">
        <v>0</v>
      </c>
      <c r="EM5" s="13">
        <v>45413</v>
      </c>
      <c r="EN5" s="11" t="s">
        <v>74</v>
      </c>
      <c r="EO5" s="19">
        <f>0</f>
        <v>0</v>
      </c>
      <c r="EP5" s="26">
        <v>0</v>
      </c>
      <c r="ER5" s="13">
        <v>45444</v>
      </c>
      <c r="ES5" s="11" t="s">
        <v>74</v>
      </c>
      <c r="ET5" s="19">
        <f>0</f>
        <v>0</v>
      </c>
      <c r="EU5" s="54">
        <v>0</v>
      </c>
      <c r="EW5" s="13">
        <v>45474</v>
      </c>
      <c r="EX5" s="11" t="s">
        <v>74</v>
      </c>
      <c r="EY5" s="19">
        <f>0</f>
        <v>0</v>
      </c>
      <c r="EZ5" s="54">
        <v>0</v>
      </c>
      <c r="FB5" s="13">
        <v>45505</v>
      </c>
      <c r="FC5" s="11" t="s">
        <v>74</v>
      </c>
      <c r="FD5" s="19">
        <f>0</f>
        <v>0</v>
      </c>
      <c r="FE5" s="26">
        <f t="shared" ref="FE5:FE20" si="25">(FD5/SUM($FD$4:$FD$20))</f>
        <v>0</v>
      </c>
    </row>
    <row r="6" spans="2:161" x14ac:dyDescent="0.35">
      <c r="C6" t="s">
        <v>79</v>
      </c>
      <c r="D6" s="1">
        <v>20000</v>
      </c>
      <c r="E6" s="22">
        <f t="shared" si="0"/>
        <v>6.3583785625995093E-2</v>
      </c>
      <c r="H6" s="13">
        <v>44442</v>
      </c>
      <c r="I6" s="11" t="s">
        <v>79</v>
      </c>
      <c r="J6" s="19">
        <v>14000</v>
      </c>
      <c r="K6" s="26">
        <f t="shared" si="1"/>
        <v>5.6451612903225805E-2</v>
      </c>
      <c r="N6" s="13">
        <v>44472</v>
      </c>
      <c r="O6" s="11" t="s">
        <v>79</v>
      </c>
      <c r="P6" s="19">
        <v>20000</v>
      </c>
      <c r="Q6" s="26">
        <f t="shared" si="2"/>
        <v>6.3287454148239469E-2</v>
      </c>
      <c r="T6" s="13">
        <v>44503</v>
      </c>
      <c r="U6" s="11" t="s">
        <v>79</v>
      </c>
      <c r="V6" s="19">
        <v>52000</v>
      </c>
      <c r="W6" s="26">
        <f t="shared" si="3"/>
        <v>0.15312131919905772</v>
      </c>
      <c r="Z6" s="13">
        <v>44533</v>
      </c>
      <c r="AA6" s="11" t="s">
        <v>79</v>
      </c>
      <c r="AB6" s="19">
        <v>0</v>
      </c>
      <c r="AC6" s="26">
        <f t="shared" si="4"/>
        <v>0</v>
      </c>
      <c r="AF6" s="13">
        <v>44564</v>
      </c>
      <c r="AG6" s="11" t="s">
        <v>79</v>
      </c>
      <c r="AH6" s="19">
        <v>0</v>
      </c>
      <c r="AI6" s="26">
        <f t="shared" si="5"/>
        <v>0</v>
      </c>
      <c r="AK6" s="13">
        <v>44595</v>
      </c>
      <c r="AL6" s="11" t="s">
        <v>79</v>
      </c>
      <c r="AM6" s="19">
        <v>0</v>
      </c>
      <c r="AN6" s="26">
        <f t="shared" si="6"/>
        <v>0</v>
      </c>
      <c r="AP6" s="2">
        <v>44623</v>
      </c>
      <c r="AQ6" t="s">
        <v>79</v>
      </c>
      <c r="AR6" s="27">
        <v>10000</v>
      </c>
      <c r="AS6" s="32">
        <f t="shared" si="7"/>
        <v>1.7886175953467323E-2</v>
      </c>
      <c r="AU6" s="13">
        <v>44654</v>
      </c>
      <c r="AV6" s="11" t="s">
        <v>79</v>
      </c>
      <c r="AW6" s="19">
        <v>10000</v>
      </c>
      <c r="AX6" s="26">
        <f t="shared" si="8"/>
        <v>4.4286979627989373E-2</v>
      </c>
      <c r="BA6" s="13">
        <v>44684</v>
      </c>
      <c r="BB6" s="11" t="s">
        <v>79</v>
      </c>
      <c r="BC6" s="19">
        <v>0</v>
      </c>
      <c r="BD6" s="54">
        <f t="shared" si="9"/>
        <v>0</v>
      </c>
      <c r="BF6" s="13">
        <v>44715</v>
      </c>
      <c r="BG6" s="11" t="s">
        <v>79</v>
      </c>
      <c r="BH6" s="19">
        <v>0</v>
      </c>
      <c r="BI6" s="26">
        <f t="shared" si="10"/>
        <v>0</v>
      </c>
      <c r="BK6" s="13">
        <v>44745</v>
      </c>
      <c r="BL6" s="11" t="s">
        <v>79</v>
      </c>
      <c r="BM6" s="19">
        <v>0</v>
      </c>
      <c r="BN6" s="26">
        <f t="shared" si="11"/>
        <v>0</v>
      </c>
      <c r="BP6" s="13">
        <v>44776</v>
      </c>
      <c r="BQ6" s="11" t="s">
        <v>79</v>
      </c>
      <c r="BR6" s="19">
        <v>0</v>
      </c>
      <c r="BS6" s="26">
        <f t="shared" si="12"/>
        <v>0</v>
      </c>
      <c r="BU6" s="13">
        <v>44807</v>
      </c>
      <c r="BV6" s="11" t="s">
        <v>79</v>
      </c>
      <c r="BW6" s="19">
        <v>1600</v>
      </c>
      <c r="BX6" s="26">
        <f t="shared" si="13"/>
        <v>6.2745098039215684E-3</v>
      </c>
      <c r="BZ6" s="13">
        <v>44837</v>
      </c>
      <c r="CA6" s="11" t="s">
        <v>79</v>
      </c>
      <c r="CB6" s="19">
        <v>1000</v>
      </c>
      <c r="CC6" s="26">
        <f t="shared" si="14"/>
        <v>4.1322314049586778E-3</v>
      </c>
      <c r="CE6" s="13">
        <v>44871</v>
      </c>
      <c r="CF6" s="11" t="s">
        <v>42</v>
      </c>
      <c r="CG6" s="19">
        <v>7800</v>
      </c>
      <c r="CH6" s="26">
        <f t="shared" si="15"/>
        <v>3.6551077788191187E-2</v>
      </c>
      <c r="CJ6" s="13">
        <v>44898</v>
      </c>
      <c r="CK6" s="11" t="s">
        <v>79</v>
      </c>
      <c r="CL6" s="19">
        <v>0</v>
      </c>
      <c r="CM6" s="26">
        <f t="shared" si="16"/>
        <v>0</v>
      </c>
      <c r="CO6" s="13">
        <v>44929</v>
      </c>
      <c r="CP6" s="11" t="s">
        <v>79</v>
      </c>
      <c r="CQ6" s="19">
        <v>0</v>
      </c>
      <c r="CR6" s="26">
        <f t="shared" si="17"/>
        <v>0</v>
      </c>
      <c r="CT6" s="13">
        <v>44958</v>
      </c>
      <c r="CU6" s="11" t="s">
        <v>79</v>
      </c>
      <c r="CV6" s="19">
        <v>0</v>
      </c>
      <c r="CW6" s="26">
        <f t="shared" si="18"/>
        <v>0</v>
      </c>
      <c r="CY6" s="13">
        <v>44986</v>
      </c>
      <c r="CZ6" s="11" t="s">
        <v>79</v>
      </c>
      <c r="DA6" s="19">
        <v>0</v>
      </c>
      <c r="DB6" s="26">
        <f t="shared" si="19"/>
        <v>0</v>
      </c>
      <c r="DD6" s="13">
        <v>45019</v>
      </c>
      <c r="DE6" s="11" t="s">
        <v>79</v>
      </c>
      <c r="DF6" s="19">
        <v>0</v>
      </c>
      <c r="DG6" s="26" t="e">
        <f t="shared" si="20"/>
        <v>#DIV/0!</v>
      </c>
      <c r="DI6" s="13">
        <v>45047</v>
      </c>
      <c r="DJ6" s="11" t="s">
        <v>79</v>
      </c>
      <c r="DK6" s="19">
        <v>0</v>
      </c>
      <c r="DL6" s="26" t="e">
        <f t="shared" si="21"/>
        <v>#DIV/0!</v>
      </c>
      <c r="DN6" s="13">
        <v>45078</v>
      </c>
      <c r="DO6" s="11" t="s">
        <v>79</v>
      </c>
      <c r="DP6" s="19">
        <v>0</v>
      </c>
      <c r="DQ6" s="26" t="e">
        <f t="shared" si="22"/>
        <v>#DIV/0!</v>
      </c>
      <c r="DS6" s="13">
        <v>45108</v>
      </c>
      <c r="DT6" s="11" t="s">
        <v>79</v>
      </c>
      <c r="DU6" s="19">
        <v>0</v>
      </c>
      <c r="DV6" s="26" t="e">
        <f t="shared" si="23"/>
        <v>#DIV/0!</v>
      </c>
      <c r="DX6" s="13">
        <v>45325</v>
      </c>
      <c r="DY6" s="11" t="s">
        <v>79</v>
      </c>
      <c r="DZ6" s="19">
        <v>0</v>
      </c>
      <c r="EA6" s="26">
        <f t="shared" si="24"/>
        <v>0</v>
      </c>
      <c r="EC6" s="13">
        <v>45352</v>
      </c>
      <c r="ED6" s="11" t="s">
        <v>79</v>
      </c>
      <c r="EE6" s="19">
        <v>0</v>
      </c>
      <c r="EF6" s="54">
        <v>0</v>
      </c>
      <c r="EH6" s="13">
        <v>45383</v>
      </c>
      <c r="EI6" s="11" t="s">
        <v>79</v>
      </c>
      <c r="EJ6" s="19">
        <v>0</v>
      </c>
      <c r="EK6" s="54">
        <v>0</v>
      </c>
      <c r="EM6" s="13">
        <v>45413</v>
      </c>
      <c r="EN6" s="11" t="s">
        <v>79</v>
      </c>
      <c r="EO6" s="19">
        <v>0</v>
      </c>
      <c r="EP6" s="26">
        <v>0</v>
      </c>
      <c r="ER6" s="13">
        <v>45444</v>
      </c>
      <c r="ES6" s="11" t="s">
        <v>79</v>
      </c>
      <c r="ET6" s="19">
        <v>0</v>
      </c>
      <c r="EU6" s="54">
        <v>0</v>
      </c>
      <c r="EW6" s="13">
        <v>45474</v>
      </c>
      <c r="EX6" s="11" t="s">
        <v>634</v>
      </c>
      <c r="EY6" s="19">
        <v>40000</v>
      </c>
      <c r="EZ6" s="54">
        <v>0.11534025374855825</v>
      </c>
      <c r="FB6" s="13">
        <v>45505</v>
      </c>
      <c r="FC6" s="11" t="s">
        <v>105</v>
      </c>
      <c r="FD6" s="19">
        <v>0</v>
      </c>
      <c r="FE6" s="26">
        <f t="shared" si="25"/>
        <v>0</v>
      </c>
    </row>
    <row r="7" spans="2:161" ht="29" x14ac:dyDescent="0.35">
      <c r="C7" t="s">
        <v>73</v>
      </c>
      <c r="D7" s="1">
        <v>10000</v>
      </c>
      <c r="E7" s="22">
        <f t="shared" si="0"/>
        <v>3.395060051822197E-2</v>
      </c>
      <c r="F7" t="s">
        <v>87</v>
      </c>
      <c r="H7" s="13">
        <v>44443</v>
      </c>
      <c r="I7" s="25" t="s">
        <v>82</v>
      </c>
      <c r="J7" s="19">
        <v>6000</v>
      </c>
      <c r="K7" s="26">
        <f t="shared" si="1"/>
        <v>2.4691358024691357E-2</v>
      </c>
      <c r="L7" t="s">
        <v>83</v>
      </c>
      <c r="N7" s="13">
        <v>44473</v>
      </c>
      <c r="O7" s="11" t="s">
        <v>95</v>
      </c>
      <c r="P7" s="19">
        <v>10000</v>
      </c>
      <c r="Q7" s="26">
        <f t="shared" si="2"/>
        <v>3.378168384127473E-2</v>
      </c>
      <c r="T7" s="13">
        <v>44504</v>
      </c>
      <c r="U7" s="11" t="s">
        <v>105</v>
      </c>
      <c r="V7" s="19">
        <v>10000</v>
      </c>
      <c r="W7" s="26">
        <f t="shared" si="3"/>
        <v>3.4770514603616132E-2</v>
      </c>
      <c r="Z7" s="13">
        <v>44534</v>
      </c>
      <c r="AA7" s="11" t="s">
        <v>105</v>
      </c>
      <c r="AB7" s="19">
        <v>10000</v>
      </c>
      <c r="AC7" s="26">
        <f t="shared" si="4"/>
        <v>1.2059250668070429E-2</v>
      </c>
      <c r="AF7" s="13">
        <v>44565</v>
      </c>
      <c r="AG7" s="11" t="s">
        <v>131</v>
      </c>
      <c r="AH7" s="19">
        <v>30000</v>
      </c>
      <c r="AI7" s="26">
        <f t="shared" si="5"/>
        <v>4.3677022974114084E-2</v>
      </c>
      <c r="AK7" s="13">
        <v>44596</v>
      </c>
      <c r="AL7" s="11" t="s">
        <v>105</v>
      </c>
      <c r="AM7" s="19">
        <v>10000</v>
      </c>
      <c r="AN7" s="26">
        <f t="shared" si="6"/>
        <v>1.9664368557461252E-2</v>
      </c>
      <c r="AP7" s="13">
        <v>44624</v>
      </c>
      <c r="AQ7" s="11" t="s">
        <v>105</v>
      </c>
      <c r="AR7" s="19">
        <v>10000</v>
      </c>
      <c r="AS7" s="26">
        <f t="shared" si="7"/>
        <v>1.2134582224535883E-2</v>
      </c>
      <c r="AU7" s="13">
        <v>44655</v>
      </c>
      <c r="AV7" s="11" t="s">
        <v>105</v>
      </c>
      <c r="AW7" s="19">
        <v>10000</v>
      </c>
      <c r="AX7" s="26">
        <f t="shared" si="8"/>
        <v>4.4286979627989373E-2</v>
      </c>
      <c r="BA7" s="13">
        <v>44685</v>
      </c>
      <c r="BB7" s="11" t="s">
        <v>105</v>
      </c>
      <c r="BC7" s="19">
        <v>10000</v>
      </c>
      <c r="BD7" s="54">
        <f t="shared" si="9"/>
        <v>4.6339202965708988E-2</v>
      </c>
      <c r="BF7" s="13">
        <v>44716</v>
      </c>
      <c r="BG7" s="11" t="s">
        <v>105</v>
      </c>
      <c r="BH7" s="19">
        <v>10000</v>
      </c>
      <c r="BI7" s="26">
        <f t="shared" si="10"/>
        <v>4.0265753976243206E-2</v>
      </c>
      <c r="BK7" s="13">
        <v>44746</v>
      </c>
      <c r="BL7" s="11" t="s">
        <v>105</v>
      </c>
      <c r="BM7" s="19">
        <v>10000</v>
      </c>
      <c r="BN7" s="26">
        <f t="shared" si="11"/>
        <v>3.9472645456698506E-2</v>
      </c>
      <c r="BP7" s="13">
        <v>44777</v>
      </c>
      <c r="BQ7" s="11" t="s">
        <v>105</v>
      </c>
      <c r="BR7" s="19">
        <v>10000</v>
      </c>
      <c r="BS7" s="26">
        <f t="shared" si="12"/>
        <v>4.1858518208455424E-2</v>
      </c>
      <c r="BU7" s="13">
        <v>44808</v>
      </c>
      <c r="BV7" s="11" t="s">
        <v>105</v>
      </c>
      <c r="BW7" s="19">
        <v>10000</v>
      </c>
      <c r="BX7" s="26">
        <f t="shared" si="13"/>
        <v>3.9215686274509803E-2</v>
      </c>
      <c r="BZ7" s="13">
        <v>44838</v>
      </c>
      <c r="CA7" s="11" t="s">
        <v>105</v>
      </c>
      <c r="CB7" s="19">
        <v>10000</v>
      </c>
      <c r="CC7" s="26">
        <f t="shared" si="14"/>
        <v>4.1322314049586778E-2</v>
      </c>
      <c r="CE7" s="13">
        <v>44872</v>
      </c>
      <c r="CF7" s="11" t="s">
        <v>239</v>
      </c>
      <c r="CG7" s="19">
        <v>40500</v>
      </c>
      <c r="CH7" s="26">
        <f t="shared" si="15"/>
        <v>0.18978444236176195</v>
      </c>
      <c r="CJ7" s="13">
        <v>44899</v>
      </c>
      <c r="CK7" s="11" t="s">
        <v>105</v>
      </c>
      <c r="CL7" s="19">
        <v>10000</v>
      </c>
      <c r="CM7" s="26">
        <f t="shared" si="16"/>
        <v>2.7713113845471676E-2</v>
      </c>
      <c r="CO7" s="13">
        <v>44930</v>
      </c>
      <c r="CP7" s="11" t="s">
        <v>105</v>
      </c>
      <c r="CQ7" s="19">
        <v>10000</v>
      </c>
      <c r="CR7" s="26">
        <f t="shared" si="17"/>
        <v>3.733572281959379E-2</v>
      </c>
      <c r="CT7" s="13">
        <v>44958</v>
      </c>
      <c r="CU7" s="11" t="s">
        <v>105</v>
      </c>
      <c r="CV7" s="19">
        <v>10000</v>
      </c>
      <c r="CW7" s="26">
        <f t="shared" si="18"/>
        <v>4.389044943820225E-2</v>
      </c>
      <c r="CY7" s="13">
        <v>44986</v>
      </c>
      <c r="CZ7" s="11" t="s">
        <v>105</v>
      </c>
      <c r="DA7" s="19">
        <v>10000</v>
      </c>
      <c r="DB7" s="26">
        <f t="shared" si="19"/>
        <v>4.389044943820225E-2</v>
      </c>
      <c r="DD7" s="13">
        <v>45020</v>
      </c>
      <c r="DE7" s="11" t="s">
        <v>105</v>
      </c>
      <c r="DF7" s="19">
        <v>10000</v>
      </c>
      <c r="DG7" s="26" t="e">
        <f t="shared" si="20"/>
        <v>#DIV/0!</v>
      </c>
      <c r="DI7" s="13">
        <v>45047</v>
      </c>
      <c r="DJ7" s="11" t="s">
        <v>105</v>
      </c>
      <c r="DK7" s="19">
        <v>10000</v>
      </c>
      <c r="DL7" s="26" t="e">
        <f t="shared" si="21"/>
        <v>#DIV/0!</v>
      </c>
      <c r="DN7" s="13">
        <v>45078</v>
      </c>
      <c r="DO7" s="11" t="s">
        <v>105</v>
      </c>
      <c r="DP7" s="19">
        <v>10000</v>
      </c>
      <c r="DQ7" s="26" t="e">
        <f t="shared" si="22"/>
        <v>#DIV/0!</v>
      </c>
      <c r="DS7" s="13">
        <v>45108</v>
      </c>
      <c r="DT7" s="11" t="s">
        <v>105</v>
      </c>
      <c r="DU7" s="19">
        <v>10000</v>
      </c>
      <c r="DV7" s="26" t="e">
        <f t="shared" si="23"/>
        <v>#DIV/0!</v>
      </c>
      <c r="DX7" s="13">
        <v>45326</v>
      </c>
      <c r="DY7" s="11" t="s">
        <v>105</v>
      </c>
      <c r="DZ7" s="19">
        <v>0</v>
      </c>
      <c r="EA7" s="26">
        <f t="shared" si="24"/>
        <v>0</v>
      </c>
      <c r="EC7" s="13">
        <v>45352</v>
      </c>
      <c r="ED7" s="11" t="s">
        <v>105</v>
      </c>
      <c r="EE7" s="19">
        <v>0</v>
      </c>
      <c r="EF7" s="54">
        <v>0</v>
      </c>
      <c r="EH7" s="13">
        <v>45383</v>
      </c>
      <c r="EI7" s="11" t="s">
        <v>105</v>
      </c>
      <c r="EJ7" s="19">
        <v>0</v>
      </c>
      <c r="EK7" s="54">
        <v>0</v>
      </c>
      <c r="EM7" s="13">
        <v>45413</v>
      </c>
      <c r="EN7" s="11" t="s">
        <v>105</v>
      </c>
      <c r="EO7" s="19">
        <v>0</v>
      </c>
      <c r="EP7" s="26">
        <v>0</v>
      </c>
      <c r="ER7" s="13">
        <v>45444</v>
      </c>
      <c r="ES7" s="11" t="s">
        <v>105</v>
      </c>
      <c r="ET7" s="19">
        <v>0</v>
      </c>
      <c r="EU7" s="54">
        <v>0</v>
      </c>
      <c r="EW7" s="13">
        <v>45474</v>
      </c>
      <c r="EX7" s="11" t="s">
        <v>105</v>
      </c>
      <c r="EY7" s="19">
        <v>0</v>
      </c>
      <c r="EZ7" s="54">
        <v>0</v>
      </c>
      <c r="FB7" s="13">
        <v>45505</v>
      </c>
      <c r="FC7" s="11" t="s">
        <v>618</v>
      </c>
      <c r="FD7" s="19">
        <v>10000</v>
      </c>
      <c r="FE7" s="26">
        <f t="shared" si="25"/>
        <v>5.08130081300813E-2</v>
      </c>
    </row>
    <row r="8" spans="2:161" x14ac:dyDescent="0.35">
      <c r="C8" t="s">
        <v>75</v>
      </c>
      <c r="D8" s="1">
        <v>12000</v>
      </c>
      <c r="E8" s="22">
        <f t="shared" si="0"/>
        <v>4.2172502403832642E-2</v>
      </c>
      <c r="H8" s="13">
        <v>44443</v>
      </c>
      <c r="I8" s="11" t="s">
        <v>73</v>
      </c>
      <c r="J8" s="19">
        <v>10000</v>
      </c>
      <c r="K8" s="26">
        <f t="shared" si="1"/>
        <v>4.2194092827004218E-2</v>
      </c>
      <c r="L8" t="s">
        <v>84</v>
      </c>
      <c r="N8" s="13">
        <v>44474</v>
      </c>
      <c r="O8" s="11" t="s">
        <v>75</v>
      </c>
      <c r="P8" s="19">
        <v>6000</v>
      </c>
      <c r="Q8" s="26">
        <f t="shared" si="2"/>
        <v>1.288055602784261E-2</v>
      </c>
      <c r="T8" s="13">
        <v>44505</v>
      </c>
      <c r="U8" s="11" t="s">
        <v>75</v>
      </c>
      <c r="V8" s="19">
        <v>12000</v>
      </c>
      <c r="W8" s="26">
        <f t="shared" si="3"/>
        <v>3.3021463951568519E-2</v>
      </c>
      <c r="Z8" s="13">
        <v>44535</v>
      </c>
      <c r="AA8" s="11" t="s">
        <v>75</v>
      </c>
      <c r="AB8" s="19">
        <v>12000</v>
      </c>
      <c r="AC8" s="26">
        <f t="shared" si="4"/>
        <v>1.4647741589230162E-2</v>
      </c>
      <c r="AF8" s="13">
        <v>44566</v>
      </c>
      <c r="AG8" s="11" t="s">
        <v>75</v>
      </c>
      <c r="AH8" s="19">
        <v>12000</v>
      </c>
      <c r="AI8" s="26">
        <f t="shared" si="5"/>
        <v>1.8268733063362057E-2</v>
      </c>
      <c r="AK8" s="13">
        <v>44597</v>
      </c>
      <c r="AL8" s="11" t="s">
        <v>75</v>
      </c>
      <c r="AM8" s="19">
        <v>12000</v>
      </c>
      <c r="AN8" s="26">
        <f t="shared" si="6"/>
        <v>2.4070574925682101E-2</v>
      </c>
      <c r="AP8" s="13">
        <v>44625</v>
      </c>
      <c r="AQ8" s="11" t="s">
        <v>75</v>
      </c>
      <c r="AR8" s="19">
        <v>12000</v>
      </c>
      <c r="AS8" s="26">
        <f t="shared" si="7"/>
        <v>1.457757822692916E-2</v>
      </c>
      <c r="AU8" s="13">
        <v>44656</v>
      </c>
      <c r="AV8" s="11" t="s">
        <v>75</v>
      </c>
      <c r="AW8" s="19">
        <v>12000</v>
      </c>
      <c r="AX8" s="26">
        <f t="shared" si="8"/>
        <v>5.3144375553587246E-2</v>
      </c>
      <c r="BA8" s="13">
        <v>44686</v>
      </c>
      <c r="BB8" s="11" t="s">
        <v>75</v>
      </c>
      <c r="BC8" s="19">
        <v>12000</v>
      </c>
      <c r="BD8" s="54">
        <f t="shared" si="9"/>
        <v>5.5607043558850787E-2</v>
      </c>
      <c r="BF8" s="13">
        <v>44717</v>
      </c>
      <c r="BG8" s="11" t="s">
        <v>75</v>
      </c>
      <c r="BH8" s="19">
        <v>15000</v>
      </c>
      <c r="BI8" s="26">
        <f t="shared" si="10"/>
        <v>6.0398630964364805E-2</v>
      </c>
      <c r="BK8" s="13">
        <v>44747</v>
      </c>
      <c r="BL8" s="11" t="s">
        <v>75</v>
      </c>
      <c r="BM8" s="19">
        <v>15000</v>
      </c>
      <c r="BN8" s="26">
        <f t="shared" si="11"/>
        <v>5.9208968185047763E-2</v>
      </c>
      <c r="BP8" s="13">
        <v>44778</v>
      </c>
      <c r="BQ8" s="11" t="s">
        <v>75</v>
      </c>
      <c r="BR8" s="19">
        <v>12000</v>
      </c>
      <c r="BS8" s="26">
        <f t="shared" si="12"/>
        <v>5.0230221850146507E-2</v>
      </c>
      <c r="BU8" s="13">
        <v>44809</v>
      </c>
      <c r="BV8" s="11" t="s">
        <v>75</v>
      </c>
      <c r="BW8" s="19">
        <v>12000</v>
      </c>
      <c r="BX8" s="26">
        <f t="shared" si="13"/>
        <v>4.7058823529411764E-2</v>
      </c>
      <c r="BZ8" s="13">
        <v>44839</v>
      </c>
      <c r="CA8" s="11" t="s">
        <v>75</v>
      </c>
      <c r="CB8" s="19">
        <v>0</v>
      </c>
      <c r="CC8" s="26">
        <f t="shared" si="14"/>
        <v>0</v>
      </c>
      <c r="CE8" s="13">
        <v>44873</v>
      </c>
      <c r="CF8" s="11" t="s">
        <v>136</v>
      </c>
      <c r="CG8" s="19">
        <v>35000</v>
      </c>
      <c r="CH8" s="26">
        <f t="shared" si="15"/>
        <v>0.1640112464854733</v>
      </c>
      <c r="CJ8" s="13">
        <v>44900</v>
      </c>
      <c r="CK8" s="11" t="s">
        <v>75</v>
      </c>
      <c r="CL8" s="19">
        <v>0</v>
      </c>
      <c r="CM8" s="26">
        <f t="shared" si="16"/>
        <v>0</v>
      </c>
      <c r="CO8" s="13">
        <v>44931</v>
      </c>
      <c r="CP8" s="11" t="s">
        <v>75</v>
      </c>
      <c r="CQ8" s="19">
        <v>0</v>
      </c>
      <c r="CR8" s="26">
        <f t="shared" si="17"/>
        <v>0</v>
      </c>
      <c r="CT8" s="13">
        <v>44958</v>
      </c>
      <c r="CU8" s="11" t="s">
        <v>75</v>
      </c>
      <c r="CV8" s="19">
        <v>0</v>
      </c>
      <c r="CW8" s="26">
        <f t="shared" si="18"/>
        <v>0</v>
      </c>
      <c r="CY8" s="13">
        <v>44986</v>
      </c>
      <c r="CZ8" s="11" t="s">
        <v>75</v>
      </c>
      <c r="DA8" s="19">
        <v>0</v>
      </c>
      <c r="DB8" s="26">
        <f t="shared" si="19"/>
        <v>0</v>
      </c>
      <c r="DD8" s="13">
        <v>45021</v>
      </c>
      <c r="DE8" s="11" t="s">
        <v>75</v>
      </c>
      <c r="DF8" s="19">
        <v>0</v>
      </c>
      <c r="DG8" s="26" t="e">
        <f t="shared" si="20"/>
        <v>#DIV/0!</v>
      </c>
      <c r="DI8" s="13">
        <v>45047</v>
      </c>
      <c r="DJ8" s="11" t="s">
        <v>75</v>
      </c>
      <c r="DK8" s="19">
        <v>0</v>
      </c>
      <c r="DL8" s="26" t="e">
        <f t="shared" si="21"/>
        <v>#DIV/0!</v>
      </c>
      <c r="DN8" s="13">
        <v>45078</v>
      </c>
      <c r="DO8" s="11" t="s">
        <v>75</v>
      </c>
      <c r="DP8" s="19">
        <v>0</v>
      </c>
      <c r="DQ8" s="26" t="e">
        <f t="shared" si="22"/>
        <v>#DIV/0!</v>
      </c>
      <c r="DS8" s="13">
        <v>45108</v>
      </c>
      <c r="DT8" s="11" t="s">
        <v>75</v>
      </c>
      <c r="DU8" s="19">
        <v>0</v>
      </c>
      <c r="DV8" s="26" t="e">
        <f t="shared" si="23"/>
        <v>#DIV/0!</v>
      </c>
      <c r="DX8" s="13">
        <v>45327</v>
      </c>
      <c r="DY8" s="11" t="s">
        <v>503</v>
      </c>
      <c r="DZ8" s="20">
        <v>3200</v>
      </c>
      <c r="EA8" s="26">
        <f t="shared" si="24"/>
        <v>1.2353304508956145E-2</v>
      </c>
      <c r="EC8" s="13">
        <v>45352</v>
      </c>
      <c r="ED8" s="11" t="s">
        <v>503</v>
      </c>
      <c r="EE8" s="19">
        <v>6400</v>
      </c>
      <c r="EF8" s="54">
        <v>2.403846153846154E-2</v>
      </c>
      <c r="EH8" s="13">
        <v>45383</v>
      </c>
      <c r="EI8" s="11" t="s">
        <v>503</v>
      </c>
      <c r="EJ8" s="19">
        <v>3200</v>
      </c>
      <c r="EK8" s="54">
        <v>1.2449424214130096E-2</v>
      </c>
      <c r="EM8" s="13">
        <v>45413</v>
      </c>
      <c r="EN8" s="11" t="s">
        <v>369</v>
      </c>
      <c r="EO8" s="19">
        <v>20000</v>
      </c>
      <c r="EP8" s="26">
        <v>6.1005368472425575E-2</v>
      </c>
      <c r="ER8" s="13">
        <v>45444</v>
      </c>
      <c r="ES8" s="11" t="s">
        <v>369</v>
      </c>
      <c r="ET8" s="19">
        <v>5600</v>
      </c>
      <c r="EU8" s="54">
        <v>1.8701576275714667E-2</v>
      </c>
      <c r="EW8" s="13">
        <v>45474</v>
      </c>
      <c r="EX8" s="11" t="s">
        <v>618</v>
      </c>
      <c r="EY8" s="19">
        <v>10000</v>
      </c>
      <c r="EZ8" s="54">
        <v>2.8835063437139562E-2</v>
      </c>
      <c r="FB8" s="13">
        <v>45505</v>
      </c>
      <c r="FC8" s="11" t="s">
        <v>49</v>
      </c>
      <c r="FD8" s="19">
        <v>25000</v>
      </c>
      <c r="FE8" s="26">
        <f t="shared" si="25"/>
        <v>0.12703252032520326</v>
      </c>
    </row>
    <row r="9" spans="2:161" x14ac:dyDescent="0.35">
      <c r="C9" t="s">
        <v>49</v>
      </c>
      <c r="D9" s="1">
        <v>15000</v>
      </c>
      <c r="E9" s="22">
        <f t="shared" si="0"/>
        <v>5.5036661754950367E-2</v>
      </c>
      <c r="H9" s="13">
        <v>44444</v>
      </c>
      <c r="I9" s="11" t="s">
        <v>75</v>
      </c>
      <c r="J9" s="19">
        <v>9000</v>
      </c>
      <c r="K9" s="26">
        <f t="shared" si="1"/>
        <v>3.643724696356275E-2</v>
      </c>
      <c r="N9" s="13">
        <v>44475</v>
      </c>
      <c r="O9" s="11" t="s">
        <v>49</v>
      </c>
      <c r="P9" s="19">
        <v>15000</v>
      </c>
      <c r="Q9" s="26">
        <f t="shared" si="2"/>
        <v>3.007270376863104E-2</v>
      </c>
      <c r="T9" s="13">
        <v>44506</v>
      </c>
      <c r="U9" s="11" t="s">
        <v>49</v>
      </c>
      <c r="V9" s="19">
        <v>15000</v>
      </c>
      <c r="W9" s="26">
        <f t="shared" si="3"/>
        <v>4.2686397268070574E-2</v>
      </c>
      <c r="Z9" s="13">
        <v>44536</v>
      </c>
      <c r="AA9" s="11" t="s">
        <v>49</v>
      </c>
      <c r="AB9" s="19">
        <v>15000</v>
      </c>
      <c r="AC9" s="26">
        <f t="shared" si="4"/>
        <v>1.8581859259214111E-2</v>
      </c>
      <c r="AF9" s="13">
        <v>44567</v>
      </c>
      <c r="AG9" s="11" t="s">
        <v>49</v>
      </c>
      <c r="AH9" s="19">
        <v>15000</v>
      </c>
      <c r="AI9" s="26">
        <f t="shared" si="5"/>
        <v>2.3169601482854494E-2</v>
      </c>
      <c r="AK9" s="13">
        <v>44598</v>
      </c>
      <c r="AL9" s="11" t="s">
        <v>49</v>
      </c>
      <c r="AM9" s="19">
        <v>15000</v>
      </c>
      <c r="AN9" s="26">
        <f t="shared" si="6"/>
        <v>3.0830322238528038E-2</v>
      </c>
      <c r="AP9" s="13">
        <v>44626</v>
      </c>
      <c r="AQ9" s="11" t="s">
        <v>49</v>
      </c>
      <c r="AR9" s="19">
        <v>15000</v>
      </c>
      <c r="AS9" s="26">
        <f t="shared" si="7"/>
        <v>1.8491534575471348E-2</v>
      </c>
      <c r="AU9" s="13">
        <v>44657</v>
      </c>
      <c r="AV9" s="11" t="s">
        <v>49</v>
      </c>
      <c r="AW9" s="19">
        <v>20000</v>
      </c>
      <c r="AX9" s="26">
        <f t="shared" si="8"/>
        <v>8.8573959255978746E-2</v>
      </c>
      <c r="BA9" s="13">
        <v>44687</v>
      </c>
      <c r="BB9" s="11" t="s">
        <v>49</v>
      </c>
      <c r="BC9" s="19">
        <v>15000</v>
      </c>
      <c r="BD9" s="54">
        <f t="shared" si="9"/>
        <v>6.9508804448563485E-2</v>
      </c>
      <c r="BF9" s="13">
        <v>44718</v>
      </c>
      <c r="BG9" s="11" t="s">
        <v>49</v>
      </c>
      <c r="BH9" s="19">
        <v>15000</v>
      </c>
      <c r="BI9" s="26">
        <f t="shared" si="10"/>
        <v>6.0398630964364805E-2</v>
      </c>
      <c r="BK9" s="13">
        <v>44748</v>
      </c>
      <c r="BL9" s="11" t="s">
        <v>49</v>
      </c>
      <c r="BM9" s="19">
        <v>15000</v>
      </c>
      <c r="BN9" s="26">
        <f t="shared" si="11"/>
        <v>5.9208968185047763E-2</v>
      </c>
      <c r="BP9" s="13">
        <v>44779</v>
      </c>
      <c r="BQ9" s="11" t="s">
        <v>49</v>
      </c>
      <c r="BR9" s="19">
        <v>15000</v>
      </c>
      <c r="BS9" s="26">
        <f t="shared" si="12"/>
        <v>6.2787777312683132E-2</v>
      </c>
      <c r="BU9" s="13">
        <v>44810</v>
      </c>
      <c r="BV9" s="11" t="s">
        <v>49</v>
      </c>
      <c r="BW9" s="19">
        <v>15000</v>
      </c>
      <c r="BX9" s="26">
        <f t="shared" si="13"/>
        <v>5.8823529411764705E-2</v>
      </c>
      <c r="BZ9" s="13">
        <v>44840</v>
      </c>
      <c r="CA9" s="11" t="s">
        <v>49</v>
      </c>
      <c r="CB9" s="19">
        <v>15000</v>
      </c>
      <c r="CC9" s="26">
        <f t="shared" si="14"/>
        <v>6.1983471074380167E-2</v>
      </c>
      <c r="CE9" s="13">
        <v>44874</v>
      </c>
      <c r="CF9" s="11" t="s">
        <v>142</v>
      </c>
      <c r="CG9" s="19">
        <v>55100</v>
      </c>
      <c r="CH9" s="26">
        <f t="shared" si="15"/>
        <v>0.25820056232427369</v>
      </c>
      <c r="CJ9" s="13">
        <v>44901</v>
      </c>
      <c r="CK9" s="11" t="s">
        <v>49</v>
      </c>
      <c r="CL9" s="19">
        <v>15000</v>
      </c>
      <c r="CM9" s="26">
        <f t="shared" si="16"/>
        <v>4.1569670768207514E-2</v>
      </c>
      <c r="CO9" s="13">
        <v>44932</v>
      </c>
      <c r="CP9" s="11" t="s">
        <v>49</v>
      </c>
      <c r="CQ9" s="19">
        <v>15000</v>
      </c>
      <c r="CR9" s="26">
        <f t="shared" si="17"/>
        <v>5.6003584229390682E-2</v>
      </c>
      <c r="CT9" s="13">
        <v>44958</v>
      </c>
      <c r="CU9" s="11" t="s">
        <v>49</v>
      </c>
      <c r="CV9" s="19">
        <v>15000</v>
      </c>
      <c r="CW9" s="26">
        <f t="shared" si="18"/>
        <v>6.5835674157303375E-2</v>
      </c>
      <c r="CY9" s="13">
        <v>44986</v>
      </c>
      <c r="CZ9" s="11" t="s">
        <v>49</v>
      </c>
      <c r="DA9" s="19">
        <v>15000</v>
      </c>
      <c r="DB9" s="26">
        <f t="shared" si="19"/>
        <v>6.5835674157303375E-2</v>
      </c>
      <c r="DD9" s="13">
        <v>45022</v>
      </c>
      <c r="DE9" s="11" t="s">
        <v>49</v>
      </c>
      <c r="DF9" s="19">
        <v>15000</v>
      </c>
      <c r="DG9" s="26" t="e">
        <f t="shared" si="20"/>
        <v>#DIV/0!</v>
      </c>
      <c r="DI9" s="13">
        <v>45047</v>
      </c>
      <c r="DJ9" s="11" t="s">
        <v>49</v>
      </c>
      <c r="DK9" s="19">
        <v>0</v>
      </c>
      <c r="DL9" s="26" t="e">
        <f t="shared" si="21"/>
        <v>#DIV/0!</v>
      </c>
      <c r="DN9" s="13">
        <v>45078</v>
      </c>
      <c r="DO9" s="11" t="s">
        <v>49</v>
      </c>
      <c r="DP9" s="19">
        <v>15000</v>
      </c>
      <c r="DQ9" s="26" t="e">
        <f t="shared" si="22"/>
        <v>#DIV/0!</v>
      </c>
      <c r="DS9" s="13">
        <v>45108</v>
      </c>
      <c r="DT9" s="11" t="s">
        <v>49</v>
      </c>
      <c r="DU9" s="19">
        <v>15000</v>
      </c>
      <c r="DV9" s="26" t="e">
        <f t="shared" si="23"/>
        <v>#DIV/0!</v>
      </c>
      <c r="DX9" s="13">
        <v>45328</v>
      </c>
      <c r="DY9" s="11" t="s">
        <v>49</v>
      </c>
      <c r="DZ9" s="20">
        <v>25000</v>
      </c>
      <c r="EA9" s="26">
        <f t="shared" si="24"/>
        <v>9.6510191476219892E-2</v>
      </c>
      <c r="EC9" s="13">
        <v>45352</v>
      </c>
      <c r="ED9" s="11" t="s">
        <v>49</v>
      </c>
      <c r="EE9" s="19">
        <v>25000</v>
      </c>
      <c r="EF9" s="54">
        <v>9.3900240384615391E-2</v>
      </c>
      <c r="EH9" s="13">
        <v>45383</v>
      </c>
      <c r="EI9" s="11" t="s">
        <v>49</v>
      </c>
      <c r="EJ9" s="19">
        <v>25000</v>
      </c>
      <c r="EK9" s="54">
        <v>9.7261126672891385E-2</v>
      </c>
      <c r="EM9" s="13">
        <v>45413</v>
      </c>
      <c r="EN9" s="11" t="s">
        <v>49</v>
      </c>
      <c r="EO9" s="19">
        <v>25000</v>
      </c>
      <c r="EP9" s="26">
        <v>7.6256710590531962E-2</v>
      </c>
      <c r="ER9" s="13">
        <v>45444</v>
      </c>
      <c r="ES9" s="11" t="s">
        <v>49</v>
      </c>
      <c r="ET9" s="19">
        <v>25000</v>
      </c>
      <c r="EU9" s="54">
        <v>8.3489179802297628E-2</v>
      </c>
      <c r="EW9" s="13">
        <v>45474</v>
      </c>
      <c r="EX9" s="11" t="s">
        <v>49</v>
      </c>
      <c r="EY9" s="19">
        <v>25000</v>
      </c>
      <c r="EZ9" s="54">
        <v>7.2087658592848908E-2</v>
      </c>
      <c r="FB9" s="13">
        <v>45505</v>
      </c>
      <c r="FC9" s="11" t="s">
        <v>323</v>
      </c>
      <c r="FD9" s="19">
        <v>4000</v>
      </c>
      <c r="FE9" s="26">
        <f t="shared" si="25"/>
        <v>2.032520325203252E-2</v>
      </c>
    </row>
    <row r="10" spans="2:161" x14ac:dyDescent="0.35">
      <c r="C10" t="s">
        <v>76</v>
      </c>
      <c r="D10" s="1">
        <v>5000</v>
      </c>
      <c r="E10" s="22">
        <f t="shared" si="0"/>
        <v>1.9414037747101875E-2</v>
      </c>
      <c r="H10" s="13">
        <v>44445</v>
      </c>
      <c r="I10" s="11" t="s">
        <v>49</v>
      </c>
      <c r="J10" s="19">
        <v>15000</v>
      </c>
      <c r="K10" s="26">
        <f t="shared" si="1"/>
        <v>6.3025210084033612E-2</v>
      </c>
      <c r="N10" s="13">
        <v>44476</v>
      </c>
      <c r="O10" s="11" t="s">
        <v>76</v>
      </c>
      <c r="P10" s="19">
        <v>5000</v>
      </c>
      <c r="Q10" s="26">
        <f t="shared" si="2"/>
        <v>1.033503709864917E-2</v>
      </c>
      <c r="T10" s="13">
        <v>44507</v>
      </c>
      <c r="U10" s="11" t="s">
        <v>76</v>
      </c>
      <c r="V10" s="19">
        <v>5000</v>
      </c>
      <c r="W10" s="26">
        <f t="shared" si="3"/>
        <v>1.4863258026159334E-2</v>
      </c>
      <c r="Z10" s="13">
        <v>44537</v>
      </c>
      <c r="AA10" s="11" t="s">
        <v>76</v>
      </c>
      <c r="AB10" s="19">
        <v>5000</v>
      </c>
      <c r="AC10" s="26">
        <f>(AB10/SUM(AB10:AB23))</f>
        <v>6.1763441621034386E-3</v>
      </c>
      <c r="AF10" s="13">
        <v>44568</v>
      </c>
      <c r="AG10" s="11" t="s">
        <v>76</v>
      </c>
      <c r="AH10" s="19">
        <v>5000</v>
      </c>
      <c r="AI10" s="26">
        <f t="shared" si="5"/>
        <v>7.906388361796331E-3</v>
      </c>
      <c r="AK10" s="13">
        <v>44599</v>
      </c>
      <c r="AL10" s="11" t="s">
        <v>76</v>
      </c>
      <c r="AM10" s="19">
        <v>5000</v>
      </c>
      <c r="AN10" s="26">
        <f t="shared" si="6"/>
        <v>1.0603689235558836E-2</v>
      </c>
      <c r="AP10" s="13">
        <v>44627</v>
      </c>
      <c r="AQ10" s="11" t="s">
        <v>76</v>
      </c>
      <c r="AR10" s="19">
        <v>5000</v>
      </c>
      <c r="AS10" s="26">
        <f t="shared" si="7"/>
        <v>6.2799711623724224E-3</v>
      </c>
      <c r="AU10" s="13">
        <v>44658</v>
      </c>
      <c r="AV10" s="11" t="s">
        <v>76</v>
      </c>
      <c r="AW10" s="19">
        <v>5000</v>
      </c>
      <c r="AX10" s="26">
        <f t="shared" si="8"/>
        <v>2.2143489813994686E-2</v>
      </c>
      <c r="BA10" s="13">
        <v>44688</v>
      </c>
      <c r="BB10" s="11" t="s">
        <v>76</v>
      </c>
      <c r="BC10" s="19">
        <v>5000</v>
      </c>
      <c r="BD10" s="54">
        <f t="shared" si="9"/>
        <v>2.3169601482854494E-2</v>
      </c>
      <c r="BF10" s="13">
        <v>44719</v>
      </c>
      <c r="BG10" s="11" t="s">
        <v>76</v>
      </c>
      <c r="BH10" s="19">
        <v>5000</v>
      </c>
      <c r="BI10" s="26">
        <f t="shared" si="10"/>
        <v>2.0132876988121603E-2</v>
      </c>
      <c r="BK10" s="13">
        <v>44749</v>
      </c>
      <c r="BL10" s="11" t="s">
        <v>76</v>
      </c>
      <c r="BM10" s="19">
        <v>5000</v>
      </c>
      <c r="BN10" s="26">
        <f t="shared" si="11"/>
        <v>1.9736322728349253E-2</v>
      </c>
      <c r="BP10" s="13">
        <v>44780</v>
      </c>
      <c r="BQ10" s="11" t="s">
        <v>76</v>
      </c>
      <c r="BR10" s="19">
        <v>5000</v>
      </c>
      <c r="BS10" s="26">
        <f t="shared" si="12"/>
        <v>2.0929259104227712E-2</v>
      </c>
      <c r="BU10" s="13">
        <v>44811</v>
      </c>
      <c r="BV10" s="11" t="s">
        <v>76</v>
      </c>
      <c r="BW10" s="19">
        <v>8400</v>
      </c>
      <c r="BX10" s="26">
        <f t="shared" si="13"/>
        <v>3.2941176470588238E-2</v>
      </c>
      <c r="BZ10" s="13">
        <v>44841</v>
      </c>
      <c r="CA10" s="11" t="s">
        <v>76</v>
      </c>
      <c r="CB10" s="19">
        <v>9000</v>
      </c>
      <c r="CC10" s="26">
        <f t="shared" si="14"/>
        <v>3.71900826446281E-2</v>
      </c>
      <c r="CE10" s="13">
        <v>44875</v>
      </c>
      <c r="CF10" s="11" t="s">
        <v>238</v>
      </c>
      <c r="CG10" s="19">
        <v>12000</v>
      </c>
      <c r="CH10" s="26">
        <f t="shared" si="15"/>
        <v>5.6232427366447985E-2</v>
      </c>
      <c r="CJ10" s="13">
        <v>44902</v>
      </c>
      <c r="CK10" s="11" t="s">
        <v>76</v>
      </c>
      <c r="CL10" s="19"/>
      <c r="CM10" s="26">
        <f t="shared" si="16"/>
        <v>0</v>
      </c>
      <c r="CO10" s="13">
        <v>44933</v>
      </c>
      <c r="CP10" s="11" t="s">
        <v>76</v>
      </c>
      <c r="CQ10" s="19"/>
      <c r="CR10" s="26">
        <f t="shared" si="17"/>
        <v>0</v>
      </c>
      <c r="CT10" s="13">
        <v>44958</v>
      </c>
      <c r="CU10" s="11" t="s">
        <v>76</v>
      </c>
      <c r="CV10" s="19"/>
      <c r="CW10" s="26">
        <f t="shared" si="18"/>
        <v>0</v>
      </c>
      <c r="CY10" s="13">
        <v>44986</v>
      </c>
      <c r="CZ10" s="11" t="s">
        <v>76</v>
      </c>
      <c r="DA10" s="19"/>
      <c r="DB10" s="26">
        <f t="shared" si="19"/>
        <v>0</v>
      </c>
      <c r="DD10" s="13">
        <v>45023</v>
      </c>
      <c r="DE10" s="11" t="s">
        <v>76</v>
      </c>
      <c r="DF10" s="19"/>
      <c r="DG10" s="26" t="e">
        <f t="shared" si="20"/>
        <v>#DIV/0!</v>
      </c>
      <c r="DI10" s="13">
        <v>45047</v>
      </c>
      <c r="DJ10" s="11" t="s">
        <v>76</v>
      </c>
      <c r="DK10" s="19"/>
      <c r="DL10" s="26" t="e">
        <f t="shared" si="21"/>
        <v>#DIV/0!</v>
      </c>
      <c r="DN10" s="13">
        <v>45078</v>
      </c>
      <c r="DO10" s="11" t="s">
        <v>76</v>
      </c>
      <c r="DP10" s="19"/>
      <c r="DQ10" s="26" t="e">
        <f t="shared" si="22"/>
        <v>#DIV/0!</v>
      </c>
      <c r="DS10" s="13">
        <v>45108</v>
      </c>
      <c r="DT10" s="11" t="s">
        <v>76</v>
      </c>
      <c r="DU10" s="19"/>
      <c r="DV10" s="26" t="e">
        <f t="shared" si="23"/>
        <v>#DIV/0!</v>
      </c>
      <c r="DX10" s="13">
        <v>45329</v>
      </c>
      <c r="DY10" s="11" t="s">
        <v>76</v>
      </c>
      <c r="DZ10" s="19"/>
      <c r="EA10" s="26">
        <f t="shared" si="24"/>
        <v>0</v>
      </c>
      <c r="EC10" s="13">
        <v>45352</v>
      </c>
      <c r="ED10" s="11" t="s">
        <v>76</v>
      </c>
      <c r="EE10" s="19"/>
      <c r="EF10" s="54">
        <v>0</v>
      </c>
      <c r="EH10" s="13">
        <v>45383</v>
      </c>
      <c r="EI10" s="11" t="s">
        <v>323</v>
      </c>
      <c r="EJ10" s="19">
        <v>4000</v>
      </c>
      <c r="EK10" s="54">
        <v>1.556178026766262E-2</v>
      </c>
      <c r="EM10" s="13">
        <v>45413</v>
      </c>
      <c r="EN10" s="11" t="s">
        <v>323</v>
      </c>
      <c r="EO10" s="19">
        <v>4000</v>
      </c>
      <c r="EP10" s="26">
        <v>1.2201073694485115E-2</v>
      </c>
      <c r="ER10" s="13">
        <v>45444</v>
      </c>
      <c r="ES10" s="11" t="s">
        <v>323</v>
      </c>
      <c r="ET10" s="19">
        <v>4000</v>
      </c>
      <c r="EU10" s="54">
        <v>1.3358268768367619E-2</v>
      </c>
      <c r="EW10" s="13">
        <v>45474</v>
      </c>
      <c r="EX10" s="11" t="s">
        <v>323</v>
      </c>
      <c r="EY10" s="19">
        <v>4000</v>
      </c>
      <c r="EZ10" s="54">
        <v>1.1534025374855825E-2</v>
      </c>
      <c r="FB10" s="13">
        <v>45505</v>
      </c>
      <c r="FC10" s="11" t="s">
        <v>78</v>
      </c>
      <c r="FD10" s="19">
        <v>0</v>
      </c>
      <c r="FE10" s="26">
        <f t="shared" si="25"/>
        <v>0</v>
      </c>
    </row>
    <row r="11" spans="2:161" x14ac:dyDescent="0.35">
      <c r="C11" t="s">
        <v>78</v>
      </c>
      <c r="D11" s="1">
        <v>5000</v>
      </c>
      <c r="E11" s="22">
        <f t="shared" si="0"/>
        <v>1.9798404723740982E-2</v>
      </c>
      <c r="H11" s="2">
        <v>44446</v>
      </c>
      <c r="I11" t="s">
        <v>76</v>
      </c>
      <c r="J11" s="1">
        <v>0</v>
      </c>
      <c r="K11" s="22">
        <f t="shared" si="1"/>
        <v>0</v>
      </c>
      <c r="N11" s="13">
        <v>44477</v>
      </c>
      <c r="O11" s="11" t="s">
        <v>78</v>
      </c>
      <c r="P11" s="19">
        <v>5000</v>
      </c>
      <c r="Q11" s="26">
        <f t="shared" si="2"/>
        <v>7.0815110244963628E-3</v>
      </c>
      <c r="T11" s="13">
        <v>44508</v>
      </c>
      <c r="U11" s="11" t="s">
        <v>78</v>
      </c>
      <c r="V11" s="19">
        <v>5000</v>
      </c>
      <c r="W11" s="26">
        <f t="shared" si="3"/>
        <v>1.3036449913959431E-2</v>
      </c>
      <c r="Z11" s="13">
        <v>44538</v>
      </c>
      <c r="AA11" s="11" t="s">
        <v>78</v>
      </c>
      <c r="AB11" s="19">
        <v>5000</v>
      </c>
      <c r="AC11" s="26">
        <f t="shared" si="4"/>
        <v>6.2147284639709434E-3</v>
      </c>
      <c r="AF11" s="13">
        <v>44569</v>
      </c>
      <c r="AG11" s="11" t="s">
        <v>78</v>
      </c>
      <c r="AH11" s="19">
        <v>5000</v>
      </c>
      <c r="AI11" s="26">
        <f t="shared" si="5"/>
        <v>7.9693975135479763E-3</v>
      </c>
      <c r="AK11" s="13">
        <v>44600</v>
      </c>
      <c r="AL11" s="11" t="s">
        <v>78</v>
      </c>
      <c r="AM11" s="19">
        <v>0</v>
      </c>
      <c r="AN11" s="26">
        <f t="shared" si="6"/>
        <v>0</v>
      </c>
      <c r="AP11" s="13">
        <v>44628</v>
      </c>
      <c r="AQ11" s="11" t="s">
        <v>78</v>
      </c>
      <c r="AR11" s="19">
        <v>5000</v>
      </c>
      <c r="AS11" s="26">
        <f t="shared" si="7"/>
        <v>6.3196584351008995E-3</v>
      </c>
      <c r="AU11" s="13">
        <v>44659</v>
      </c>
      <c r="AV11" s="11" t="s">
        <v>78</v>
      </c>
      <c r="AW11" s="19">
        <v>6000</v>
      </c>
      <c r="AX11" s="26">
        <f t="shared" si="8"/>
        <v>2.6572187776793623E-2</v>
      </c>
      <c r="BA11" s="13">
        <v>44689</v>
      </c>
      <c r="BB11" s="11" t="s">
        <v>78</v>
      </c>
      <c r="BC11" s="19">
        <v>0</v>
      </c>
      <c r="BD11" s="54">
        <f t="shared" si="9"/>
        <v>0</v>
      </c>
      <c r="BF11" s="13">
        <v>44720</v>
      </c>
      <c r="BG11" s="11" t="s">
        <v>78</v>
      </c>
      <c r="BH11" s="19">
        <v>0</v>
      </c>
      <c r="BI11" s="26">
        <f t="shared" si="10"/>
        <v>0</v>
      </c>
      <c r="BK11" s="13">
        <v>44750</v>
      </c>
      <c r="BL11" s="11" t="s">
        <v>78</v>
      </c>
      <c r="BM11" s="19">
        <v>0</v>
      </c>
      <c r="BN11" s="26">
        <f t="shared" si="11"/>
        <v>0</v>
      </c>
      <c r="BP11" s="13">
        <v>44781</v>
      </c>
      <c r="BQ11" s="11" t="s">
        <v>78</v>
      </c>
      <c r="BR11" s="19">
        <v>0</v>
      </c>
      <c r="BS11" s="26">
        <f t="shared" si="12"/>
        <v>0</v>
      </c>
      <c r="BU11" s="13">
        <v>44812</v>
      </c>
      <c r="BV11" s="11" t="s">
        <v>78</v>
      </c>
      <c r="BW11" s="19">
        <v>0</v>
      </c>
      <c r="BX11" s="26">
        <f t="shared" si="13"/>
        <v>0</v>
      </c>
      <c r="BZ11" s="13">
        <v>44842</v>
      </c>
      <c r="CA11" s="11" t="s">
        <v>78</v>
      </c>
      <c r="CB11" s="19">
        <v>0</v>
      </c>
      <c r="CC11" s="26">
        <f t="shared" si="14"/>
        <v>0</v>
      </c>
      <c r="CE11" s="13">
        <v>44876</v>
      </c>
      <c r="CF11" s="11" t="s">
        <v>204</v>
      </c>
      <c r="CG11" s="19">
        <v>12000</v>
      </c>
      <c r="CH11" s="26">
        <f t="shared" si="15"/>
        <v>5.6232427366447985E-2</v>
      </c>
      <c r="CJ11" s="13">
        <v>44903</v>
      </c>
      <c r="CK11" s="11" t="s">
        <v>78</v>
      </c>
      <c r="CL11" s="19">
        <v>0</v>
      </c>
      <c r="CM11" s="26">
        <f t="shared" si="16"/>
        <v>0</v>
      </c>
      <c r="CO11" s="13">
        <v>44934</v>
      </c>
      <c r="CP11" s="11" t="s">
        <v>78</v>
      </c>
      <c r="CQ11" s="19">
        <v>0</v>
      </c>
      <c r="CR11" s="26">
        <f t="shared" si="17"/>
        <v>0</v>
      </c>
      <c r="CT11" s="13">
        <v>44958</v>
      </c>
      <c r="CU11" s="11" t="s">
        <v>78</v>
      </c>
      <c r="CV11" s="19">
        <v>0</v>
      </c>
      <c r="CW11" s="26">
        <f t="shared" si="18"/>
        <v>0</v>
      </c>
      <c r="CY11" s="13">
        <v>44986</v>
      </c>
      <c r="CZ11" s="11" t="s">
        <v>78</v>
      </c>
      <c r="DA11" s="19">
        <v>0</v>
      </c>
      <c r="DB11" s="26">
        <f t="shared" si="19"/>
        <v>0</v>
      </c>
      <c r="DD11" s="13">
        <v>45024</v>
      </c>
      <c r="DE11" s="11" t="s">
        <v>78</v>
      </c>
      <c r="DF11" s="19">
        <v>0</v>
      </c>
      <c r="DG11" s="26" t="e">
        <f t="shared" si="20"/>
        <v>#DIV/0!</v>
      </c>
      <c r="DI11" s="13">
        <v>45047</v>
      </c>
      <c r="DJ11" s="11" t="s">
        <v>78</v>
      </c>
      <c r="DK11" s="19">
        <v>0</v>
      </c>
      <c r="DL11" s="26" t="e">
        <f t="shared" si="21"/>
        <v>#DIV/0!</v>
      </c>
      <c r="DN11" s="13">
        <v>45078</v>
      </c>
      <c r="DO11" s="11" t="s">
        <v>78</v>
      </c>
      <c r="DP11" s="19">
        <v>0</v>
      </c>
      <c r="DQ11" s="26" t="e">
        <f t="shared" si="22"/>
        <v>#DIV/0!</v>
      </c>
      <c r="DS11" s="13">
        <v>45108</v>
      </c>
      <c r="DT11" s="11" t="s">
        <v>78</v>
      </c>
      <c r="DU11" s="19">
        <v>0</v>
      </c>
      <c r="DV11" s="26" t="e">
        <f t="shared" si="23"/>
        <v>#DIV/0!</v>
      </c>
      <c r="DX11" s="13">
        <v>45330</v>
      </c>
      <c r="DY11" s="11" t="s">
        <v>78</v>
      </c>
      <c r="DZ11" s="19">
        <v>0</v>
      </c>
      <c r="EA11" s="26">
        <f t="shared" si="24"/>
        <v>0</v>
      </c>
      <c r="EC11" s="13">
        <v>45352</v>
      </c>
      <c r="ED11" s="11" t="s">
        <v>78</v>
      </c>
      <c r="EE11" s="19">
        <v>0</v>
      </c>
      <c r="EF11" s="54">
        <v>0</v>
      </c>
      <c r="EH11" s="13">
        <v>45383</v>
      </c>
      <c r="EI11" s="11" t="s">
        <v>78</v>
      </c>
      <c r="EJ11" s="19">
        <v>0</v>
      </c>
      <c r="EK11" s="54">
        <v>0</v>
      </c>
      <c r="EM11" s="13">
        <v>45413</v>
      </c>
      <c r="EN11" s="11" t="s">
        <v>78</v>
      </c>
      <c r="EO11" s="19">
        <v>0</v>
      </c>
      <c r="EP11" s="26">
        <v>0</v>
      </c>
      <c r="ER11" s="13">
        <v>45444</v>
      </c>
      <c r="ES11" s="11" t="s">
        <v>78</v>
      </c>
      <c r="ET11" s="19">
        <v>0</v>
      </c>
      <c r="EU11" s="54">
        <v>0</v>
      </c>
      <c r="EW11" s="13">
        <v>45474</v>
      </c>
      <c r="EX11" s="11" t="s">
        <v>78</v>
      </c>
      <c r="EY11" s="19">
        <v>0</v>
      </c>
      <c r="EZ11" s="54">
        <v>0</v>
      </c>
      <c r="FB11" s="13">
        <v>45505</v>
      </c>
      <c r="FC11" s="11" t="s">
        <v>42</v>
      </c>
      <c r="FD11" s="19">
        <v>7800</v>
      </c>
      <c r="FE11" s="26">
        <f t="shared" si="25"/>
        <v>3.9634146341463415E-2</v>
      </c>
    </row>
    <row r="12" spans="2:161" x14ac:dyDescent="0.35">
      <c r="C12" t="s">
        <v>42</v>
      </c>
      <c r="D12" s="1">
        <v>7800</v>
      </c>
      <c r="E12" s="22">
        <f t="shared" si="0"/>
        <v>3.1509346156829293E-2</v>
      </c>
      <c r="H12" s="2">
        <v>44447</v>
      </c>
      <c r="I12" t="s">
        <v>78</v>
      </c>
      <c r="J12" s="1">
        <v>0</v>
      </c>
      <c r="K12" s="22">
        <f t="shared" si="1"/>
        <v>0</v>
      </c>
      <c r="N12" s="13">
        <v>44478</v>
      </c>
      <c r="O12" s="11" t="s">
        <v>42</v>
      </c>
      <c r="P12" s="19">
        <v>7800</v>
      </c>
      <c r="Q12" s="26">
        <f t="shared" si="2"/>
        <v>1.1125945705384957E-2</v>
      </c>
      <c r="T12" s="13">
        <v>44509</v>
      </c>
      <c r="U12" s="11" t="s">
        <v>42</v>
      </c>
      <c r="V12" s="19">
        <v>7800</v>
      </c>
      <c r="W12" s="26">
        <f t="shared" si="3"/>
        <v>1.8293111939773447E-2</v>
      </c>
      <c r="Z12" s="13">
        <v>44539</v>
      </c>
      <c r="AA12" s="11" t="s">
        <v>42</v>
      </c>
      <c r="AB12" s="19">
        <v>7800</v>
      </c>
      <c r="AC12" s="26">
        <f t="shared" si="4"/>
        <v>9.7556048388700509E-3</v>
      </c>
      <c r="AF12" s="13">
        <v>44570</v>
      </c>
      <c r="AG12" s="11" t="s">
        <v>42</v>
      </c>
      <c r="AH12" s="19">
        <v>7800</v>
      </c>
      <c r="AI12" s="26">
        <f t="shared" si="5"/>
        <v>1.2532133676092546E-2</v>
      </c>
      <c r="AK12" s="13">
        <v>44601</v>
      </c>
      <c r="AL12" s="11" t="s">
        <v>42</v>
      </c>
      <c r="AM12" s="19">
        <v>7800</v>
      </c>
      <c r="AN12" s="26">
        <f t="shared" si="6"/>
        <v>1.6719038698144187E-2</v>
      </c>
      <c r="AP12" s="13">
        <v>44629</v>
      </c>
      <c r="AQ12" s="11" t="s">
        <v>42</v>
      </c>
      <c r="AR12" s="19">
        <v>7800</v>
      </c>
      <c r="AS12" s="26">
        <f t="shared" si="7"/>
        <v>9.92136680819454E-3</v>
      </c>
      <c r="AU12" s="13">
        <v>44660</v>
      </c>
      <c r="AV12" s="11" t="s">
        <v>42</v>
      </c>
      <c r="AW12" s="19">
        <v>7800</v>
      </c>
      <c r="AX12" s="26">
        <f t="shared" si="8"/>
        <v>3.454384410983171E-2</v>
      </c>
      <c r="BA12" s="13">
        <v>44690</v>
      </c>
      <c r="BB12" s="11" t="s">
        <v>42</v>
      </c>
      <c r="BC12" s="19">
        <v>7800</v>
      </c>
      <c r="BD12" s="54">
        <f t="shared" si="9"/>
        <v>3.614457831325301E-2</v>
      </c>
      <c r="BF12" s="13">
        <v>44721</v>
      </c>
      <c r="BG12" s="11" t="s">
        <v>42</v>
      </c>
      <c r="BH12" s="19">
        <v>7800</v>
      </c>
      <c r="BI12" s="26">
        <f t="shared" si="10"/>
        <v>3.1407288101469699E-2</v>
      </c>
      <c r="BK12" s="13">
        <v>44751</v>
      </c>
      <c r="BL12" s="11" t="s">
        <v>42</v>
      </c>
      <c r="BM12" s="19">
        <v>7800</v>
      </c>
      <c r="BN12" s="26">
        <f t="shared" si="11"/>
        <v>3.0788663456224837E-2</v>
      </c>
      <c r="BP12" s="13">
        <v>44782</v>
      </c>
      <c r="BQ12" s="11" t="s">
        <v>42</v>
      </c>
      <c r="BR12" s="19">
        <v>7800</v>
      </c>
      <c r="BS12" s="26">
        <f t="shared" si="12"/>
        <v>3.2649644202595231E-2</v>
      </c>
      <c r="BU12" s="13">
        <v>44813</v>
      </c>
      <c r="BV12" s="11" t="s">
        <v>42</v>
      </c>
      <c r="BW12" s="19">
        <v>7800</v>
      </c>
      <c r="BX12" s="26">
        <f t="shared" si="13"/>
        <v>3.0588235294117649E-2</v>
      </c>
      <c r="BZ12" s="13">
        <v>44843</v>
      </c>
      <c r="CA12" s="11" t="s">
        <v>42</v>
      </c>
      <c r="CB12" s="19">
        <v>7800</v>
      </c>
      <c r="CC12" s="26">
        <f t="shared" si="14"/>
        <v>3.2231404958677684E-2</v>
      </c>
      <c r="CE12" s="13">
        <v>44877</v>
      </c>
      <c r="CF12" s="11" t="s">
        <v>183</v>
      </c>
      <c r="CG12" s="19">
        <v>16000</v>
      </c>
      <c r="CH12" s="26">
        <f t="shared" si="15"/>
        <v>7.4976569821930641E-2</v>
      </c>
      <c r="CJ12" s="13">
        <v>44904</v>
      </c>
      <c r="CK12" s="11" t="s">
        <v>42</v>
      </c>
      <c r="CL12" s="19">
        <v>7800</v>
      </c>
      <c r="CM12" s="26">
        <f t="shared" si="16"/>
        <v>2.161622879946791E-2</v>
      </c>
      <c r="CO12" s="13">
        <v>44935</v>
      </c>
      <c r="CP12" s="11" t="s">
        <v>42</v>
      </c>
      <c r="CQ12" s="19">
        <v>7800</v>
      </c>
      <c r="CR12" s="26">
        <f t="shared" si="17"/>
        <v>2.9121863799283155E-2</v>
      </c>
      <c r="CT12" s="13">
        <v>44958</v>
      </c>
      <c r="CU12" s="11" t="s">
        <v>42</v>
      </c>
      <c r="CV12" s="19">
        <v>7800</v>
      </c>
      <c r="CW12" s="26">
        <f t="shared" si="18"/>
        <v>3.423455056179775E-2</v>
      </c>
      <c r="CY12" s="13">
        <v>44986</v>
      </c>
      <c r="CZ12" s="11" t="s">
        <v>42</v>
      </c>
      <c r="DA12" s="19">
        <v>7800</v>
      </c>
      <c r="DB12" s="26">
        <f t="shared" si="19"/>
        <v>3.423455056179775E-2</v>
      </c>
      <c r="DD12" s="13">
        <v>45025</v>
      </c>
      <c r="DE12" s="11" t="s">
        <v>42</v>
      </c>
      <c r="DF12" s="19">
        <v>7800</v>
      </c>
      <c r="DG12" s="26" t="e">
        <f t="shared" si="20"/>
        <v>#DIV/0!</v>
      </c>
      <c r="DI12" s="13">
        <v>45047</v>
      </c>
      <c r="DJ12" s="11" t="s">
        <v>42</v>
      </c>
      <c r="DK12" s="19">
        <v>7800</v>
      </c>
      <c r="DL12" s="26" t="e">
        <f t="shared" si="21"/>
        <v>#DIV/0!</v>
      </c>
      <c r="DN12" s="13">
        <v>45078</v>
      </c>
      <c r="DO12" s="11" t="s">
        <v>42</v>
      </c>
      <c r="DP12" s="19">
        <v>7800</v>
      </c>
      <c r="DQ12" s="26" t="e">
        <f t="shared" si="22"/>
        <v>#DIV/0!</v>
      </c>
      <c r="DS12" s="13">
        <v>45108</v>
      </c>
      <c r="DT12" s="11" t="s">
        <v>42</v>
      </c>
      <c r="DU12" s="19">
        <v>7800</v>
      </c>
      <c r="DV12" s="26" t="e">
        <f t="shared" si="23"/>
        <v>#DIV/0!</v>
      </c>
      <c r="DX12" s="13">
        <v>45331</v>
      </c>
      <c r="DY12" s="11" t="s">
        <v>42</v>
      </c>
      <c r="DZ12" s="20">
        <v>7800</v>
      </c>
      <c r="EA12" s="26">
        <f t="shared" si="24"/>
        <v>3.0111179740580606E-2</v>
      </c>
      <c r="EC12" s="13">
        <v>45352</v>
      </c>
      <c r="ED12" s="11" t="s">
        <v>42</v>
      </c>
      <c r="EE12" s="19">
        <v>7800</v>
      </c>
      <c r="EF12" s="54">
        <v>2.9296875E-2</v>
      </c>
      <c r="EH12" s="13">
        <v>45383</v>
      </c>
      <c r="EI12" s="11" t="s">
        <v>42</v>
      </c>
      <c r="EJ12" s="19">
        <v>7800</v>
      </c>
      <c r="EK12" s="54">
        <v>3.034547152194211E-2</v>
      </c>
      <c r="EM12" s="13">
        <v>45413</v>
      </c>
      <c r="EN12" s="11" t="s">
        <v>42</v>
      </c>
      <c r="EO12" s="19">
        <v>7800</v>
      </c>
      <c r="EP12" s="26">
        <v>2.3792093704245974E-2</v>
      </c>
      <c r="ER12" s="13">
        <v>45444</v>
      </c>
      <c r="ES12" s="11" t="s">
        <v>291</v>
      </c>
      <c r="ET12" s="19">
        <v>30000</v>
      </c>
      <c r="EU12" s="54">
        <v>0.10018701576275715</v>
      </c>
      <c r="EW12" s="13">
        <v>45474</v>
      </c>
      <c r="EX12" s="11" t="s">
        <v>42</v>
      </c>
      <c r="EY12" s="19">
        <v>7800</v>
      </c>
      <c r="EZ12" s="54">
        <v>2.2491349480968859E-2</v>
      </c>
      <c r="FB12" s="13">
        <v>45505</v>
      </c>
      <c r="FC12" s="11" t="s">
        <v>135</v>
      </c>
      <c r="FD12" s="19">
        <v>100000</v>
      </c>
      <c r="FE12" s="26">
        <f t="shared" si="25"/>
        <v>0.50813008130081305</v>
      </c>
    </row>
    <row r="13" spans="2:161" x14ac:dyDescent="0.35">
      <c r="C13" t="s">
        <v>77</v>
      </c>
      <c r="D13" s="1">
        <v>12472.8</v>
      </c>
      <c r="E13" s="22">
        <f t="shared" si="0"/>
        <v>5.2025146655454782E-2</v>
      </c>
      <c r="H13" s="2">
        <v>44448</v>
      </c>
      <c r="I13" t="s">
        <v>42</v>
      </c>
      <c r="J13" s="1">
        <v>0</v>
      </c>
      <c r="K13" s="22">
        <f t="shared" si="1"/>
        <v>0</v>
      </c>
      <c r="N13" s="13">
        <v>44479</v>
      </c>
      <c r="O13" s="11" t="s">
        <v>77</v>
      </c>
      <c r="P13" s="19">
        <v>12472.8</v>
      </c>
      <c r="Q13" s="26">
        <f t="shared" si="2"/>
        <v>1.7991414526067992E-2</v>
      </c>
      <c r="T13" s="13">
        <v>44510</v>
      </c>
      <c r="U13" s="11" t="s">
        <v>77</v>
      </c>
      <c r="V13" s="19">
        <v>5000</v>
      </c>
      <c r="W13" s="26">
        <f t="shared" si="3"/>
        <v>1.1944862514632457E-2</v>
      </c>
      <c r="Z13" s="13">
        <v>44540</v>
      </c>
      <c r="AA13" s="11" t="s">
        <v>120</v>
      </c>
      <c r="AB13" s="19">
        <v>15000</v>
      </c>
      <c r="AC13" s="26">
        <f t="shared" si="4"/>
        <v>1.8945604365916007E-2</v>
      </c>
      <c r="AF13" s="13">
        <v>44571</v>
      </c>
      <c r="AG13" s="11" t="s">
        <v>130</v>
      </c>
      <c r="AH13" s="19">
        <v>30000</v>
      </c>
      <c r="AI13" s="26">
        <f t="shared" si="5"/>
        <v>4.8812235600390497E-2</v>
      </c>
      <c r="AK13" s="13">
        <v>44602</v>
      </c>
      <c r="AL13" s="11" t="s">
        <v>119</v>
      </c>
      <c r="AM13" s="19">
        <v>25000</v>
      </c>
      <c r="AN13" s="26">
        <f t="shared" si="6"/>
        <v>5.4497813547720465E-2</v>
      </c>
      <c r="AP13" s="13">
        <v>44630</v>
      </c>
      <c r="AQ13" s="11" t="s">
        <v>135</v>
      </c>
      <c r="AR13" s="19">
        <v>30000</v>
      </c>
      <c r="AS13" s="26">
        <f t="shared" si="7"/>
        <v>3.8541487341690842E-2</v>
      </c>
      <c r="AU13" s="13">
        <v>44661</v>
      </c>
      <c r="AV13" s="11" t="s">
        <v>135</v>
      </c>
      <c r="AW13" s="19">
        <v>0</v>
      </c>
      <c r="AX13" s="26">
        <f t="shared" si="8"/>
        <v>0</v>
      </c>
      <c r="BA13" s="13">
        <v>44691</v>
      </c>
      <c r="BB13" s="11" t="s">
        <v>135</v>
      </c>
      <c r="BC13" s="19">
        <v>30000</v>
      </c>
      <c r="BD13" s="54">
        <f t="shared" si="9"/>
        <v>0.13901760889712697</v>
      </c>
      <c r="BF13" s="13">
        <v>44722</v>
      </c>
      <c r="BG13" s="11" t="s">
        <v>135</v>
      </c>
      <c r="BH13" s="19">
        <v>20000</v>
      </c>
      <c r="BI13" s="26">
        <f t="shared" si="10"/>
        <v>8.0531507952486411E-2</v>
      </c>
      <c r="BK13" s="13">
        <v>44752</v>
      </c>
      <c r="BL13" s="11" t="s">
        <v>135</v>
      </c>
      <c r="BM13" s="19">
        <v>10000</v>
      </c>
      <c r="BN13" s="26">
        <f t="shared" si="11"/>
        <v>3.9472645456698506E-2</v>
      </c>
      <c r="BP13" s="13">
        <v>44783</v>
      </c>
      <c r="BQ13" s="11" t="s">
        <v>135</v>
      </c>
      <c r="BR13" s="19">
        <v>20000</v>
      </c>
      <c r="BS13" s="26">
        <f t="shared" si="12"/>
        <v>8.3717036416910848E-2</v>
      </c>
      <c r="BU13" s="13">
        <v>44814</v>
      </c>
      <c r="BV13" s="11" t="s">
        <v>135</v>
      </c>
      <c r="BW13" s="19">
        <v>36500</v>
      </c>
      <c r="BX13" s="26">
        <f t="shared" si="13"/>
        <v>0.14313725490196078</v>
      </c>
      <c r="BZ13" s="13">
        <v>44844</v>
      </c>
      <c r="CA13" s="11" t="s">
        <v>135</v>
      </c>
      <c r="CB13" s="19">
        <v>20000</v>
      </c>
      <c r="CC13" s="26">
        <f t="shared" si="14"/>
        <v>8.2644628099173556E-2</v>
      </c>
      <c r="CE13" s="13">
        <v>44878</v>
      </c>
      <c r="CF13" s="11" t="s">
        <v>230</v>
      </c>
      <c r="CG13" s="19">
        <v>5000</v>
      </c>
      <c r="CH13" s="26">
        <f t="shared" si="15"/>
        <v>2.3430178069353328E-2</v>
      </c>
      <c r="CJ13" s="13">
        <v>44905</v>
      </c>
      <c r="CK13" s="11" t="s">
        <v>135</v>
      </c>
      <c r="CL13" s="19">
        <v>20000</v>
      </c>
      <c r="CM13" s="26">
        <f t="shared" si="16"/>
        <v>5.5426227690943353E-2</v>
      </c>
      <c r="CO13" s="13">
        <v>44936</v>
      </c>
      <c r="CP13" s="11" t="s">
        <v>135</v>
      </c>
      <c r="CQ13" s="19">
        <v>20000</v>
      </c>
      <c r="CR13" s="26">
        <f t="shared" si="17"/>
        <v>7.4671445639187581E-2</v>
      </c>
      <c r="CT13" s="13">
        <v>44958</v>
      </c>
      <c r="CU13" s="11" t="s">
        <v>135</v>
      </c>
      <c r="CV13" s="19">
        <v>20000</v>
      </c>
      <c r="CW13" s="26">
        <f t="shared" si="18"/>
        <v>8.7780898876404501E-2</v>
      </c>
      <c r="CY13" s="13">
        <v>44986</v>
      </c>
      <c r="CZ13" s="11" t="s">
        <v>135</v>
      </c>
      <c r="DA13" s="19"/>
      <c r="DB13" s="26">
        <f t="shared" si="19"/>
        <v>0</v>
      </c>
      <c r="DD13" s="13">
        <v>45026</v>
      </c>
      <c r="DE13" s="11" t="s">
        <v>135</v>
      </c>
      <c r="DF13" s="19">
        <v>20000</v>
      </c>
      <c r="DG13" s="26" t="e">
        <f t="shared" si="20"/>
        <v>#DIV/0!</v>
      </c>
      <c r="DI13" s="13">
        <v>45047</v>
      </c>
      <c r="DJ13" s="11" t="s">
        <v>135</v>
      </c>
      <c r="DK13" s="19">
        <v>20000</v>
      </c>
      <c r="DL13" s="26" t="e">
        <f t="shared" si="21"/>
        <v>#DIV/0!</v>
      </c>
      <c r="DN13" s="13">
        <v>45078</v>
      </c>
      <c r="DO13" s="11" t="s">
        <v>135</v>
      </c>
      <c r="DP13" s="19">
        <v>20000</v>
      </c>
      <c r="DQ13" s="26" t="e">
        <f t="shared" si="22"/>
        <v>#DIV/0!</v>
      </c>
      <c r="DS13" s="13">
        <v>45108</v>
      </c>
      <c r="DT13" s="11" t="s">
        <v>135</v>
      </c>
      <c r="DU13" s="19">
        <v>20000</v>
      </c>
      <c r="DV13" s="26" t="e">
        <f t="shared" si="23"/>
        <v>#DIV/0!</v>
      </c>
      <c r="DX13" s="13">
        <v>45332</v>
      </c>
      <c r="DY13" s="11" t="s">
        <v>135</v>
      </c>
      <c r="DZ13" s="19">
        <v>0</v>
      </c>
      <c r="EA13" s="26">
        <f t="shared" si="24"/>
        <v>0</v>
      </c>
      <c r="EC13" s="13">
        <v>45352</v>
      </c>
      <c r="ED13" s="11" t="s">
        <v>135</v>
      </c>
      <c r="EE13" s="19">
        <v>0</v>
      </c>
      <c r="EF13" s="54">
        <v>0</v>
      </c>
      <c r="EH13" s="13">
        <v>45383</v>
      </c>
      <c r="EI13" s="11" t="s">
        <v>135</v>
      </c>
      <c r="EJ13" s="19">
        <v>0</v>
      </c>
      <c r="EK13" s="54">
        <v>0</v>
      </c>
      <c r="EM13" s="13">
        <v>45413</v>
      </c>
      <c r="EN13" s="11" t="s">
        <v>135</v>
      </c>
      <c r="EO13" s="19">
        <v>0</v>
      </c>
      <c r="EP13" s="26">
        <v>0</v>
      </c>
      <c r="ER13" s="13">
        <v>45444</v>
      </c>
      <c r="ES13" s="11" t="s">
        <v>607</v>
      </c>
      <c r="ET13" s="19">
        <v>15000</v>
      </c>
      <c r="EU13" s="54">
        <v>5.0093507881378577E-2</v>
      </c>
      <c r="EW13" s="13">
        <v>45474</v>
      </c>
      <c r="EX13" s="11" t="s">
        <v>135</v>
      </c>
      <c r="EY13" s="19">
        <v>100000</v>
      </c>
      <c r="EZ13" s="54">
        <v>0.28835063437139563</v>
      </c>
      <c r="FB13" s="13">
        <v>45505</v>
      </c>
      <c r="FC13" s="11" t="s">
        <v>136</v>
      </c>
      <c r="FD13" s="19">
        <v>0</v>
      </c>
      <c r="FE13" s="26">
        <f t="shared" si="25"/>
        <v>0</v>
      </c>
    </row>
    <row r="14" spans="2:161" x14ac:dyDescent="0.35">
      <c r="D14" s="24"/>
      <c r="H14" s="13">
        <v>44449</v>
      </c>
      <c r="I14" s="11" t="s">
        <v>77</v>
      </c>
      <c r="J14" s="19">
        <v>0</v>
      </c>
      <c r="K14" s="26">
        <f t="shared" si="1"/>
        <v>0</v>
      </c>
      <c r="O14" t="s">
        <v>98</v>
      </c>
      <c r="P14" s="24">
        <f>P13-5000</f>
        <v>7472.7999999999993</v>
      </c>
      <c r="Z14" s="13">
        <v>44541</v>
      </c>
      <c r="AA14" s="11" t="s">
        <v>107</v>
      </c>
      <c r="AB14" s="19">
        <v>76500</v>
      </c>
      <c r="AC14" s="26">
        <f t="shared" si="4"/>
        <v>9.8488506545777871E-2</v>
      </c>
      <c r="AF14" s="13">
        <v>44572</v>
      </c>
      <c r="AG14" s="11" t="s">
        <v>128</v>
      </c>
      <c r="AH14" s="19">
        <v>10000</v>
      </c>
      <c r="AI14" s="26">
        <f t="shared" si="5"/>
        <v>1.7105713308244955E-2</v>
      </c>
      <c r="AK14" s="13">
        <v>44603</v>
      </c>
      <c r="AL14" s="11" t="s">
        <v>153</v>
      </c>
      <c r="AM14" s="19">
        <v>15000</v>
      </c>
      <c r="AN14" s="26">
        <f t="shared" si="6"/>
        <v>3.4583408264051242E-2</v>
      </c>
      <c r="AP14" s="13">
        <v>44631</v>
      </c>
      <c r="AQ14" s="11" t="s">
        <v>136</v>
      </c>
      <c r="AR14" s="19">
        <v>25000</v>
      </c>
      <c r="AS14" s="26">
        <f t="shared" si="7"/>
        <v>3.3405399916085633E-2</v>
      </c>
      <c r="AU14" s="13">
        <v>44662</v>
      </c>
      <c r="AV14" s="46" t="s">
        <v>136</v>
      </c>
      <c r="AW14" s="47">
        <v>25000</v>
      </c>
      <c r="AX14" s="26">
        <f t="shared" si="8"/>
        <v>0.11071744906997343</v>
      </c>
      <c r="AY14" t="s">
        <v>170</v>
      </c>
      <c r="BA14" s="13">
        <v>44692</v>
      </c>
      <c r="BB14" s="11" t="s">
        <v>136</v>
      </c>
      <c r="BC14" s="19">
        <v>25000</v>
      </c>
      <c r="BD14" s="54">
        <f t="shared" si="9"/>
        <v>0.11584800741427248</v>
      </c>
      <c r="BF14" s="13">
        <v>44723</v>
      </c>
      <c r="BG14" s="11" t="s">
        <v>136</v>
      </c>
      <c r="BH14" s="19">
        <v>25000</v>
      </c>
      <c r="BI14" s="26">
        <f t="shared" si="10"/>
        <v>0.10066438494060802</v>
      </c>
      <c r="BK14" s="13">
        <v>44753</v>
      </c>
      <c r="BL14" s="11" t="s">
        <v>136</v>
      </c>
      <c r="BM14" s="19">
        <v>5000</v>
      </c>
      <c r="BN14" s="26">
        <f t="shared" si="11"/>
        <v>1.9736322728349253E-2</v>
      </c>
      <c r="BP14" s="13">
        <v>44784</v>
      </c>
      <c r="BQ14" s="11" t="s">
        <v>136</v>
      </c>
      <c r="BR14" s="19">
        <v>25000</v>
      </c>
      <c r="BS14" s="26">
        <f t="shared" si="12"/>
        <v>0.10464629552113855</v>
      </c>
      <c r="BU14" s="13">
        <v>44815</v>
      </c>
      <c r="BV14" s="11" t="s">
        <v>136</v>
      </c>
      <c r="BW14" s="19">
        <f>25000-8500</f>
        <v>16500</v>
      </c>
      <c r="BX14" s="26">
        <f t="shared" si="13"/>
        <v>6.4705882352941183E-2</v>
      </c>
      <c r="BZ14" s="13">
        <v>44845</v>
      </c>
      <c r="CA14" s="11" t="s">
        <v>136</v>
      </c>
      <c r="CB14" s="19">
        <v>25000</v>
      </c>
      <c r="CC14" s="26">
        <f t="shared" si="14"/>
        <v>0.10330578512396695</v>
      </c>
      <c r="CE14" s="13">
        <v>44879</v>
      </c>
      <c r="CF14" s="11" t="s">
        <v>231</v>
      </c>
      <c r="CG14" s="19">
        <v>5000</v>
      </c>
      <c r="CH14" s="26">
        <f t="shared" si="15"/>
        <v>2.3430178069353328E-2</v>
      </c>
      <c r="CJ14" s="13">
        <v>44906</v>
      </c>
      <c r="CK14" s="11" t="s">
        <v>136</v>
      </c>
      <c r="CL14" s="19">
        <v>25000</v>
      </c>
      <c r="CM14" s="26">
        <f t="shared" si="16"/>
        <v>6.9282784613679191E-2</v>
      </c>
      <c r="CO14" s="58">
        <v>44937</v>
      </c>
      <c r="CP14" s="41" t="s">
        <v>136</v>
      </c>
      <c r="CQ14" s="59">
        <v>25000</v>
      </c>
      <c r="CR14" s="26">
        <f t="shared" si="17"/>
        <v>9.3339307048984466E-2</v>
      </c>
      <c r="CT14" s="13">
        <v>44958</v>
      </c>
      <c r="CU14" s="11" t="s">
        <v>136</v>
      </c>
      <c r="CV14" s="19">
        <v>20000</v>
      </c>
      <c r="CW14" s="26">
        <f t="shared" si="18"/>
        <v>8.7780898876404501E-2</v>
      </c>
      <c r="CY14" s="13">
        <v>44986</v>
      </c>
      <c r="CZ14" s="11" t="s">
        <v>136</v>
      </c>
      <c r="DA14" s="19">
        <v>20000</v>
      </c>
      <c r="DB14" s="26">
        <f t="shared" si="19"/>
        <v>8.7780898876404501E-2</v>
      </c>
      <c r="DD14" s="13">
        <v>45027</v>
      </c>
      <c r="DE14" s="11" t="s">
        <v>136</v>
      </c>
      <c r="DF14" s="19">
        <v>20000</v>
      </c>
      <c r="DG14" s="26" t="e">
        <f t="shared" si="20"/>
        <v>#DIV/0!</v>
      </c>
      <c r="DI14" s="13">
        <v>45047</v>
      </c>
      <c r="DJ14" s="11" t="s">
        <v>136</v>
      </c>
      <c r="DK14" s="19">
        <v>23000</v>
      </c>
      <c r="DL14" s="26" t="e">
        <f t="shared" si="21"/>
        <v>#DIV/0!</v>
      </c>
      <c r="DN14" s="13">
        <v>45078</v>
      </c>
      <c r="DO14" s="11" t="s">
        <v>136</v>
      </c>
      <c r="DP14" s="19">
        <v>20000</v>
      </c>
      <c r="DQ14" s="26" t="e">
        <f t="shared" si="22"/>
        <v>#DIV/0!</v>
      </c>
      <c r="DS14" s="13">
        <v>45108</v>
      </c>
      <c r="DT14" s="11" t="s">
        <v>136</v>
      </c>
      <c r="DU14" s="19">
        <v>20000</v>
      </c>
      <c r="DV14" s="26" t="e">
        <f t="shared" si="23"/>
        <v>#DIV/0!</v>
      </c>
      <c r="DX14" s="13">
        <v>45333</v>
      </c>
      <c r="DY14" s="11" t="s">
        <v>136</v>
      </c>
      <c r="DZ14" s="20">
        <v>50000</v>
      </c>
      <c r="EA14" s="26">
        <f t="shared" si="24"/>
        <v>0.19302038295243978</v>
      </c>
      <c r="EC14" s="13">
        <v>45352</v>
      </c>
      <c r="ED14" s="11" t="s">
        <v>136</v>
      </c>
      <c r="EE14" s="19">
        <v>50000</v>
      </c>
      <c r="EF14" s="54">
        <v>0.18780048076923078</v>
      </c>
      <c r="EH14" s="13">
        <v>45383</v>
      </c>
      <c r="EI14" s="11" t="s">
        <v>136</v>
      </c>
      <c r="EJ14" s="19">
        <v>50000</v>
      </c>
      <c r="EK14" s="54">
        <v>0.19452225334578277</v>
      </c>
      <c r="EM14" s="13">
        <v>45413</v>
      </c>
      <c r="EN14" s="11" t="s">
        <v>136</v>
      </c>
      <c r="EO14" s="19">
        <v>0</v>
      </c>
      <c r="EP14" s="26">
        <v>0</v>
      </c>
      <c r="ER14" s="13">
        <v>45444</v>
      </c>
      <c r="ES14" s="11" t="s">
        <v>42</v>
      </c>
      <c r="ET14" s="19">
        <v>7800</v>
      </c>
      <c r="EU14" s="54">
        <v>2.6048624098316858E-2</v>
      </c>
      <c r="EW14" s="13">
        <v>45474</v>
      </c>
      <c r="EX14" s="11" t="s">
        <v>136</v>
      </c>
      <c r="EY14" s="19">
        <v>0</v>
      </c>
      <c r="EZ14" s="54">
        <v>0</v>
      </c>
      <c r="FB14" s="13">
        <v>45505</v>
      </c>
      <c r="FC14" s="11" t="s">
        <v>19</v>
      </c>
      <c r="FD14" s="19"/>
      <c r="FE14" s="26">
        <f t="shared" si="25"/>
        <v>0</v>
      </c>
    </row>
    <row r="15" spans="2:161" x14ac:dyDescent="0.35">
      <c r="C15" t="s">
        <v>22</v>
      </c>
      <c r="D15" s="1">
        <f>SUM(D4:D13)</f>
        <v>227272.8</v>
      </c>
      <c r="F15" s="23">
        <f>SUM(E4:E7)</f>
        <v>0.81197476874999897</v>
      </c>
      <c r="O15" t="s">
        <v>22</v>
      </c>
      <c r="P15" s="1">
        <f>SUM(P4:P13)</f>
        <v>227272.8</v>
      </c>
      <c r="U15" t="s">
        <v>22</v>
      </c>
      <c r="V15" s="1">
        <f>SUM(V4:V13)</f>
        <v>227800</v>
      </c>
      <c r="Z15" s="13">
        <v>44542</v>
      </c>
      <c r="AA15" s="11" t="s">
        <v>108</v>
      </c>
      <c r="AB15" s="19">
        <v>82841.509999999995</v>
      </c>
      <c r="AC15" s="26">
        <f t="shared" si="4"/>
        <v>0.11830438855868325</v>
      </c>
      <c r="AF15" s="13">
        <v>44573</v>
      </c>
      <c r="AG15" s="11" t="s">
        <v>122</v>
      </c>
      <c r="AH15" s="19">
        <v>90000</v>
      </c>
      <c r="AI15" s="26">
        <f t="shared" si="5"/>
        <v>0.15663069961712495</v>
      </c>
      <c r="AK15" s="13">
        <v>44604</v>
      </c>
      <c r="AL15" s="11" t="s">
        <v>128</v>
      </c>
      <c r="AM15" s="19">
        <v>5000</v>
      </c>
      <c r="AN15" s="26">
        <f t="shared" si="6"/>
        <v>1.1940754751226315E-2</v>
      </c>
      <c r="AP15" s="13">
        <v>44632</v>
      </c>
      <c r="AQ15" s="11" t="s">
        <v>19</v>
      </c>
      <c r="AR15" s="19">
        <v>70000</v>
      </c>
      <c r="AS15" s="26">
        <f t="shared" si="7"/>
        <v>9.6767682911656633E-2</v>
      </c>
      <c r="AU15" s="13">
        <v>44663</v>
      </c>
      <c r="AV15" s="11" t="s">
        <v>19</v>
      </c>
      <c r="AW15" s="19">
        <v>25000</v>
      </c>
      <c r="AX15" s="26">
        <f t="shared" si="8"/>
        <v>0.11071744906997343</v>
      </c>
      <c r="BA15" s="13">
        <v>44693</v>
      </c>
      <c r="BB15" s="11" t="s">
        <v>19</v>
      </c>
      <c r="BC15" s="19">
        <v>64000</v>
      </c>
      <c r="BD15" s="54">
        <f t="shared" si="9"/>
        <v>0.29657089898053751</v>
      </c>
      <c r="BF15" s="13">
        <v>44724</v>
      </c>
      <c r="BG15" s="11" t="s">
        <v>19</v>
      </c>
      <c r="BH15" s="19">
        <v>60000</v>
      </c>
      <c r="BI15" s="26">
        <f t="shared" si="10"/>
        <v>0.24159452385745922</v>
      </c>
      <c r="BK15" s="13">
        <v>44754</v>
      </c>
      <c r="BL15" s="11" t="s">
        <v>19</v>
      </c>
      <c r="BM15" s="19">
        <v>70000</v>
      </c>
      <c r="BN15" s="26">
        <f t="shared" si="11"/>
        <v>0.27630851819688956</v>
      </c>
      <c r="BP15" s="13">
        <v>44785</v>
      </c>
      <c r="BQ15" s="11" t="s">
        <v>19</v>
      </c>
      <c r="BR15" s="19">
        <v>60000</v>
      </c>
      <c r="BS15" s="26">
        <f t="shared" si="12"/>
        <v>0.25115110925073253</v>
      </c>
      <c r="BU15" s="13">
        <v>44816</v>
      </c>
      <c r="BV15" s="11" t="s">
        <v>19</v>
      </c>
      <c r="BW15" s="19">
        <v>60000</v>
      </c>
      <c r="BX15" s="26">
        <f t="shared" si="13"/>
        <v>0.23529411764705882</v>
      </c>
      <c r="BZ15" s="13">
        <v>44846</v>
      </c>
      <c r="CA15" s="11" t="s">
        <v>19</v>
      </c>
      <c r="CB15" s="19">
        <v>60000</v>
      </c>
      <c r="CC15" s="26">
        <f t="shared" si="14"/>
        <v>0.24793388429752067</v>
      </c>
      <c r="CE15" s="13">
        <v>44880</v>
      </c>
      <c r="CF15" s="11" t="s">
        <v>20</v>
      </c>
      <c r="CG15" s="19">
        <v>0</v>
      </c>
      <c r="CH15" s="26">
        <f t="shared" si="15"/>
        <v>0</v>
      </c>
      <c r="CJ15" s="13">
        <v>44907</v>
      </c>
      <c r="CK15" s="11" t="s">
        <v>19</v>
      </c>
      <c r="CL15" s="19">
        <v>70000</v>
      </c>
      <c r="CM15" s="26">
        <f t="shared" si="16"/>
        <v>0.19399179691830173</v>
      </c>
      <c r="CO15" s="13">
        <v>44938</v>
      </c>
      <c r="CP15" s="11" t="s">
        <v>19</v>
      </c>
      <c r="CQ15" s="19">
        <v>90000</v>
      </c>
      <c r="CR15" s="26">
        <f t="shared" si="17"/>
        <v>0.33602150537634407</v>
      </c>
      <c r="CT15" s="13">
        <v>44958</v>
      </c>
      <c r="CU15" s="11" t="s">
        <v>19</v>
      </c>
      <c r="CV15" s="19">
        <v>60000</v>
      </c>
      <c r="CW15" s="26">
        <f t="shared" si="18"/>
        <v>0.2633426966292135</v>
      </c>
      <c r="CY15" s="13">
        <v>44986</v>
      </c>
      <c r="CZ15" s="11" t="s">
        <v>19</v>
      </c>
      <c r="DA15" s="19"/>
      <c r="DB15" s="26">
        <f t="shared" si="19"/>
        <v>0</v>
      </c>
      <c r="DD15" s="13">
        <v>45028</v>
      </c>
      <c r="DE15" s="11" t="s">
        <v>19</v>
      </c>
      <c r="DF15" s="19">
        <v>60000</v>
      </c>
      <c r="DG15" s="26" t="e">
        <f t="shared" si="20"/>
        <v>#DIV/0!</v>
      </c>
      <c r="DI15" s="13">
        <v>45047</v>
      </c>
      <c r="DJ15" s="11" t="s">
        <v>19</v>
      </c>
      <c r="DK15" s="19">
        <v>70000</v>
      </c>
      <c r="DL15" s="26" t="e">
        <f t="shared" si="21"/>
        <v>#DIV/0!</v>
      </c>
      <c r="DN15" s="13">
        <v>45078</v>
      </c>
      <c r="DO15" s="11" t="s">
        <v>19</v>
      </c>
      <c r="DP15" s="19">
        <v>60000</v>
      </c>
      <c r="DQ15" s="26" t="e">
        <f t="shared" si="22"/>
        <v>#DIV/0!</v>
      </c>
      <c r="DS15" s="13">
        <v>45108</v>
      </c>
      <c r="DT15" s="11" t="s">
        <v>19</v>
      </c>
      <c r="DU15" s="19">
        <v>150000</v>
      </c>
      <c r="DV15" s="26" t="e">
        <f t="shared" si="23"/>
        <v>#DIV/0!</v>
      </c>
      <c r="DX15" s="13">
        <v>45334</v>
      </c>
      <c r="DY15" s="11" t="s">
        <v>19</v>
      </c>
      <c r="DZ15" s="20">
        <v>50000</v>
      </c>
      <c r="EA15" s="26">
        <f t="shared" si="24"/>
        <v>0.19302038295243978</v>
      </c>
      <c r="EC15" s="13">
        <v>45352</v>
      </c>
      <c r="ED15" s="11" t="s">
        <v>19</v>
      </c>
      <c r="EE15" s="19">
        <v>50000</v>
      </c>
      <c r="EF15" s="54">
        <v>0.18780048076923078</v>
      </c>
      <c r="EH15" s="13">
        <v>45383</v>
      </c>
      <c r="EI15" s="11" t="s">
        <v>19</v>
      </c>
      <c r="EJ15" s="19">
        <v>50000</v>
      </c>
      <c r="EK15" s="54">
        <v>0.19452225334578277</v>
      </c>
      <c r="EM15" s="13">
        <v>45413</v>
      </c>
      <c r="EN15" s="11" t="s">
        <v>19</v>
      </c>
      <c r="EO15" s="19">
        <v>0</v>
      </c>
      <c r="EP15" s="26">
        <v>0</v>
      </c>
      <c r="ER15" s="13">
        <v>45444</v>
      </c>
      <c r="ES15" s="11" t="s">
        <v>135</v>
      </c>
      <c r="ET15" s="19">
        <v>0</v>
      </c>
      <c r="EU15" s="54">
        <v>0</v>
      </c>
      <c r="EW15" s="13">
        <v>45474</v>
      </c>
      <c r="EX15" s="11" t="s">
        <v>19</v>
      </c>
      <c r="EY15" s="19">
        <v>80000</v>
      </c>
      <c r="EZ15" s="54">
        <v>0.23068050749711649</v>
      </c>
      <c r="FB15" s="13">
        <v>45505</v>
      </c>
      <c r="FC15" s="11" t="s">
        <v>142</v>
      </c>
      <c r="FD15" s="19"/>
      <c r="FE15" s="26">
        <f t="shared" si="25"/>
        <v>0</v>
      </c>
    </row>
    <row r="16" spans="2:161" x14ac:dyDescent="0.35">
      <c r="D16" s="38"/>
      <c r="I16" t="s">
        <v>22</v>
      </c>
      <c r="J16" s="24">
        <f>SUM(J4:J14)</f>
        <v>194000</v>
      </c>
      <c r="L16" s="1">
        <v>261000</v>
      </c>
      <c r="Z16" s="13">
        <v>44543</v>
      </c>
      <c r="AA16" s="11" t="s">
        <v>119</v>
      </c>
      <c r="AB16" s="19">
        <v>35000</v>
      </c>
      <c r="AC16" s="26">
        <f t="shared" si="4"/>
        <v>5.6689446159822084E-2</v>
      </c>
      <c r="AF16" s="13">
        <v>44574</v>
      </c>
      <c r="AG16" s="11" t="s">
        <v>119</v>
      </c>
      <c r="AH16" s="19">
        <v>25000</v>
      </c>
      <c r="AI16" s="26">
        <f t="shared" si="5"/>
        <v>5.1588939331407346E-2</v>
      </c>
      <c r="AK16" s="13">
        <v>44605</v>
      </c>
      <c r="AL16" s="11" t="s">
        <v>67</v>
      </c>
      <c r="AM16" s="19">
        <v>2200</v>
      </c>
      <c r="AN16" s="26">
        <f t="shared" si="6"/>
        <v>5.3174261723716205E-3</v>
      </c>
      <c r="AP16" s="13">
        <v>44633</v>
      </c>
      <c r="AQ16" s="11" t="s">
        <v>142</v>
      </c>
      <c r="AR16" s="19">
        <v>35000</v>
      </c>
      <c r="AS16" s="26">
        <f t="shared" si="7"/>
        <v>5.3567438343878469E-2</v>
      </c>
      <c r="AU16" s="13">
        <v>44664</v>
      </c>
      <c r="AV16" s="11" t="s">
        <v>142</v>
      </c>
      <c r="AW16" s="19">
        <v>0</v>
      </c>
      <c r="AX16" s="26">
        <f t="shared" si="8"/>
        <v>0</v>
      </c>
      <c r="BA16" s="13">
        <v>44694</v>
      </c>
      <c r="BB16" s="11" t="s">
        <v>142</v>
      </c>
      <c r="BC16" s="19">
        <v>47000</v>
      </c>
      <c r="BD16" s="54">
        <f t="shared" si="9"/>
        <v>0.21779425393883226</v>
      </c>
      <c r="BF16" s="13">
        <v>44725</v>
      </c>
      <c r="BG16" s="11" t="s">
        <v>142</v>
      </c>
      <c r="BH16" s="19">
        <v>40000</v>
      </c>
      <c r="BI16" s="26">
        <f t="shared" si="10"/>
        <v>0.16106301590497282</v>
      </c>
      <c r="BK16" s="13">
        <v>44755</v>
      </c>
      <c r="BL16" s="11" t="s">
        <v>142</v>
      </c>
      <c r="BM16" s="19">
        <v>55040</v>
      </c>
      <c r="BN16" s="26">
        <f t="shared" si="11"/>
        <v>0.21725744059366858</v>
      </c>
      <c r="BP16" s="13">
        <v>44786</v>
      </c>
      <c r="BQ16" s="11" t="s">
        <v>142</v>
      </c>
      <c r="BR16" s="19">
        <v>55100</v>
      </c>
      <c r="BS16" s="26">
        <f t="shared" si="12"/>
        <v>0.23064043532858935</v>
      </c>
      <c r="BU16" s="13">
        <v>44817</v>
      </c>
      <c r="BV16" s="11" t="s">
        <v>142</v>
      </c>
      <c r="BW16" s="19">
        <v>55100</v>
      </c>
      <c r="BX16" s="26">
        <f t="shared" si="13"/>
        <v>0.21607843137254901</v>
      </c>
      <c r="BZ16" s="13">
        <v>44847</v>
      </c>
      <c r="CA16" s="11" t="s">
        <v>142</v>
      </c>
      <c r="CB16" s="19">
        <v>55100</v>
      </c>
      <c r="CC16" s="26">
        <f t="shared" si="14"/>
        <v>0.22768595041322315</v>
      </c>
      <c r="CE16" s="13">
        <v>44881</v>
      </c>
      <c r="CF16" s="11" t="s">
        <v>79</v>
      </c>
      <c r="CG16" s="19">
        <v>0</v>
      </c>
      <c r="CH16" s="26">
        <f t="shared" si="15"/>
        <v>0</v>
      </c>
      <c r="CJ16" s="13">
        <v>44908</v>
      </c>
      <c r="CK16" s="11" t="s">
        <v>142</v>
      </c>
      <c r="CL16" s="19">
        <v>55040</v>
      </c>
      <c r="CM16" s="26">
        <f t="shared" si="16"/>
        <v>0.1525329786054761</v>
      </c>
      <c r="CO16" s="13">
        <v>44939</v>
      </c>
      <c r="CP16" s="11" t="s">
        <v>142</v>
      </c>
      <c r="CQ16" s="19">
        <v>55040</v>
      </c>
      <c r="CR16" s="26">
        <f t="shared" si="17"/>
        <v>0.20549581839904421</v>
      </c>
      <c r="CT16" s="13">
        <v>44958</v>
      </c>
      <c r="CU16" s="11" t="s">
        <v>142</v>
      </c>
      <c r="CV16" s="19">
        <v>57040</v>
      </c>
      <c r="CW16" s="26">
        <f t="shared" si="18"/>
        <v>0.2503511235955056</v>
      </c>
      <c r="CY16" s="13">
        <v>44986</v>
      </c>
      <c r="CZ16" s="11" t="s">
        <v>142</v>
      </c>
      <c r="DA16" s="19">
        <v>57040</v>
      </c>
      <c r="DB16" s="26">
        <f t="shared" si="19"/>
        <v>0.2503511235955056</v>
      </c>
      <c r="DD16" s="13">
        <v>45029</v>
      </c>
      <c r="DE16" s="11" t="s">
        <v>142</v>
      </c>
      <c r="DF16" s="19">
        <v>57040</v>
      </c>
      <c r="DG16" s="26" t="e">
        <f t="shared" si="20"/>
        <v>#DIV/0!</v>
      </c>
      <c r="DI16" s="13">
        <v>45047</v>
      </c>
      <c r="DJ16" s="11" t="s">
        <v>142</v>
      </c>
      <c r="DK16" s="19">
        <v>57040</v>
      </c>
      <c r="DL16" s="26" t="e">
        <f t="shared" si="21"/>
        <v>#DIV/0!</v>
      </c>
      <c r="DN16" s="13">
        <v>45078</v>
      </c>
      <c r="DO16" s="11" t="s">
        <v>142</v>
      </c>
      <c r="DP16" s="19">
        <v>57040</v>
      </c>
      <c r="DQ16" s="26" t="e">
        <f t="shared" si="22"/>
        <v>#DIV/0!</v>
      </c>
      <c r="DS16" s="13">
        <v>45108</v>
      </c>
      <c r="DT16" s="11" t="s">
        <v>142</v>
      </c>
      <c r="DU16" s="19"/>
      <c r="DV16" s="26" t="e">
        <f t="shared" si="23"/>
        <v>#DIV/0!</v>
      </c>
      <c r="DX16" s="13">
        <v>45335</v>
      </c>
      <c r="DY16" s="11" t="s">
        <v>142</v>
      </c>
      <c r="DZ16" s="20">
        <v>57040</v>
      </c>
      <c r="EA16" s="26">
        <f t="shared" si="24"/>
        <v>0.2201976528721433</v>
      </c>
      <c r="EC16" s="13">
        <v>45352</v>
      </c>
      <c r="ED16" s="11" t="s">
        <v>142</v>
      </c>
      <c r="EE16" s="19">
        <v>57040</v>
      </c>
      <c r="EF16" s="54">
        <v>0.21424278846153846</v>
      </c>
      <c r="EH16" s="13">
        <v>45383</v>
      </c>
      <c r="EI16" s="11" t="s">
        <v>142</v>
      </c>
      <c r="EJ16" s="19">
        <v>57040</v>
      </c>
      <c r="EK16" s="54">
        <v>0.22191098661686898</v>
      </c>
      <c r="EM16" s="13">
        <v>45413</v>
      </c>
      <c r="EN16" s="11" t="s">
        <v>142</v>
      </c>
      <c r="EO16" s="19">
        <v>57040</v>
      </c>
      <c r="EP16" s="26">
        <v>0.17398731088335773</v>
      </c>
      <c r="ER16" s="13">
        <v>45444</v>
      </c>
      <c r="ES16" s="11" t="s">
        <v>136</v>
      </c>
      <c r="ET16" s="19">
        <v>50000</v>
      </c>
      <c r="EU16" s="54">
        <v>0.16697835960459526</v>
      </c>
      <c r="EW16" s="13">
        <v>45474</v>
      </c>
      <c r="EX16" s="11" t="s">
        <v>142</v>
      </c>
      <c r="EY16" s="19"/>
      <c r="EZ16" s="54">
        <v>0</v>
      </c>
      <c r="FB16" s="13">
        <v>45505</v>
      </c>
      <c r="FC16" s="11" t="s">
        <v>502</v>
      </c>
      <c r="FD16" s="19"/>
      <c r="FE16" s="26">
        <f t="shared" si="25"/>
        <v>0</v>
      </c>
    </row>
    <row r="17" spans="2:161" ht="15" customHeight="1" x14ac:dyDescent="0.35">
      <c r="B17" s="109" t="s">
        <v>80</v>
      </c>
      <c r="C17" s="109"/>
      <c r="D17" s="109"/>
      <c r="E17" s="109"/>
      <c r="I17" t="s">
        <v>86</v>
      </c>
      <c r="J17" s="24">
        <f>J16-(J4+J5+J6+J7+J8+J10+J14)</f>
        <v>9000</v>
      </c>
      <c r="O17" t="s">
        <v>99</v>
      </c>
      <c r="P17" s="24">
        <f>SUM(P12,P10,P8,P4:P5,P9)</f>
        <v>179800</v>
      </c>
      <c r="U17" t="s">
        <v>106</v>
      </c>
      <c r="V17" s="24">
        <f>V15-SUM(V10:V11,V6,V4)</f>
        <v>85800</v>
      </c>
      <c r="Z17" s="13">
        <v>44544</v>
      </c>
      <c r="AA17" s="11" t="s">
        <v>121</v>
      </c>
      <c r="AB17" s="37">
        <v>2371.9499999999998</v>
      </c>
      <c r="AC17" s="26">
        <f t="shared" si="4"/>
        <v>4.0727242482458785E-3</v>
      </c>
      <c r="AF17" s="2"/>
      <c r="AH17" s="27"/>
      <c r="AI17" s="32"/>
      <c r="AK17" s="13">
        <v>44606</v>
      </c>
      <c r="AL17" s="11" t="s">
        <v>154</v>
      </c>
      <c r="AM17" s="19">
        <v>5000</v>
      </c>
      <c r="AN17" s="26">
        <f t="shared" si="6"/>
        <v>1.2149664426268546E-2</v>
      </c>
      <c r="AP17" s="13">
        <v>44634</v>
      </c>
      <c r="AQ17" s="11" t="s">
        <v>157</v>
      </c>
      <c r="AR17" s="19">
        <v>7200</v>
      </c>
      <c r="AS17" s="26">
        <f t="shared" si="7"/>
        <v>1.1643288452768677E-2</v>
      </c>
      <c r="AU17" s="13">
        <v>44665</v>
      </c>
      <c r="AV17" s="11" t="s">
        <v>77</v>
      </c>
      <c r="AW17" s="19">
        <v>10000</v>
      </c>
      <c r="AX17" s="26">
        <f t="shared" si="8"/>
        <v>4.4286979627989373E-2</v>
      </c>
      <c r="BA17" s="13">
        <v>44695</v>
      </c>
      <c r="BB17" s="11" t="s">
        <v>77</v>
      </c>
      <c r="BC17" s="19"/>
      <c r="BD17" s="54">
        <f t="shared" si="9"/>
        <v>0</v>
      </c>
      <c r="BF17" s="13">
        <v>44726</v>
      </c>
      <c r="BG17" s="11" t="s">
        <v>77</v>
      </c>
      <c r="BH17" s="19"/>
      <c r="BI17" s="26">
        <f t="shared" si="10"/>
        <v>0</v>
      </c>
      <c r="BK17" s="13">
        <v>44756</v>
      </c>
      <c r="BL17" s="11" t="s">
        <v>77</v>
      </c>
      <c r="BM17" s="19"/>
      <c r="BN17" s="26">
        <f t="shared" si="11"/>
        <v>0</v>
      </c>
      <c r="BP17" s="13">
        <v>44787</v>
      </c>
      <c r="BQ17" s="11" t="s">
        <v>77</v>
      </c>
      <c r="BR17" s="19"/>
      <c r="BS17" s="26">
        <f t="shared" si="12"/>
        <v>0</v>
      </c>
      <c r="BU17" s="13">
        <v>44818</v>
      </c>
      <c r="BV17" s="11" t="s">
        <v>77</v>
      </c>
      <c r="BW17" s="19">
        <v>3500</v>
      </c>
      <c r="BX17" s="26">
        <f t="shared" si="13"/>
        <v>1.3725490196078431E-2</v>
      </c>
      <c r="BZ17" s="13">
        <v>44848</v>
      </c>
      <c r="CA17" s="11" t="s">
        <v>77</v>
      </c>
      <c r="CB17" s="19">
        <v>1100</v>
      </c>
      <c r="CC17" s="26">
        <f t="shared" si="14"/>
        <v>4.5454545454545452E-3</v>
      </c>
      <c r="CE17" s="13">
        <v>44882</v>
      </c>
      <c r="CF17" s="11" t="s">
        <v>78</v>
      </c>
      <c r="CG17" s="19">
        <v>0</v>
      </c>
      <c r="CH17" s="26">
        <f t="shared" si="15"/>
        <v>0</v>
      </c>
      <c r="CJ17" s="13">
        <v>44909</v>
      </c>
      <c r="CK17" s="11" t="s">
        <v>77</v>
      </c>
      <c r="CL17" s="19"/>
      <c r="CM17" s="26">
        <f t="shared" si="16"/>
        <v>0</v>
      </c>
      <c r="CO17" s="13">
        <v>44940</v>
      </c>
      <c r="CP17" s="11" t="s">
        <v>77</v>
      </c>
      <c r="CQ17" s="19"/>
      <c r="CR17" s="26">
        <f t="shared" si="17"/>
        <v>0</v>
      </c>
      <c r="CT17" s="13">
        <v>44958</v>
      </c>
      <c r="CU17" s="11" t="s">
        <v>77</v>
      </c>
      <c r="CV17" s="19"/>
      <c r="CW17" s="26">
        <f t="shared" si="18"/>
        <v>0</v>
      </c>
      <c r="CY17" s="13">
        <v>44986</v>
      </c>
      <c r="CZ17" s="11" t="s">
        <v>77</v>
      </c>
      <c r="DA17" s="19"/>
      <c r="DB17" s="26">
        <f t="shared" si="19"/>
        <v>0</v>
      </c>
      <c r="DD17" s="13">
        <v>45030</v>
      </c>
      <c r="DE17" s="11" t="s">
        <v>77</v>
      </c>
      <c r="DF17" s="19"/>
      <c r="DG17" s="26" t="e">
        <f t="shared" si="20"/>
        <v>#DIV/0!</v>
      </c>
      <c r="DI17" s="13">
        <v>45047</v>
      </c>
      <c r="DJ17" s="11" t="s">
        <v>77</v>
      </c>
      <c r="DK17" s="19"/>
      <c r="DL17" s="26" t="e">
        <f t="shared" si="21"/>
        <v>#DIV/0!</v>
      </c>
      <c r="DN17" s="13">
        <v>45078</v>
      </c>
      <c r="DO17" s="11" t="s">
        <v>77</v>
      </c>
      <c r="DP17" s="19"/>
      <c r="DQ17" s="26" t="e">
        <f t="shared" si="22"/>
        <v>#DIV/0!</v>
      </c>
      <c r="DS17" s="13">
        <v>45108</v>
      </c>
      <c r="DT17" s="11" t="s">
        <v>77</v>
      </c>
      <c r="DU17" s="19"/>
      <c r="DV17" s="26" t="e">
        <f t="shared" si="23"/>
        <v>#DIV/0!</v>
      </c>
      <c r="DX17" s="13">
        <v>45336</v>
      </c>
      <c r="DY17" s="11" t="s">
        <v>502</v>
      </c>
      <c r="DZ17" s="20">
        <v>30000</v>
      </c>
      <c r="EA17" s="26">
        <f t="shared" si="24"/>
        <v>0.11581222977146387</v>
      </c>
      <c r="EC17" s="13">
        <v>45352</v>
      </c>
      <c r="ED17" s="11" t="s">
        <v>502</v>
      </c>
      <c r="EE17" s="19">
        <v>30000</v>
      </c>
      <c r="EF17" s="54">
        <v>0.11268028846153846</v>
      </c>
      <c r="EH17" s="13">
        <v>45383</v>
      </c>
      <c r="EI17" s="11" t="s">
        <v>502</v>
      </c>
      <c r="EJ17" s="19">
        <v>30000</v>
      </c>
      <c r="EK17" s="54">
        <v>0.11671335200746966</v>
      </c>
      <c r="EM17" s="13">
        <v>45413</v>
      </c>
      <c r="EN17" s="11" t="s">
        <v>502</v>
      </c>
      <c r="EO17" s="19">
        <v>30000</v>
      </c>
      <c r="EP17" s="26">
        <v>9.1508052708638363E-2</v>
      </c>
      <c r="ER17" s="13">
        <v>45444</v>
      </c>
      <c r="ES17" s="11" t="s">
        <v>19</v>
      </c>
      <c r="ET17" s="19">
        <v>30000</v>
      </c>
      <c r="EU17" s="54">
        <v>0.10018701576275715</v>
      </c>
      <c r="EW17" s="13">
        <v>45474</v>
      </c>
      <c r="EX17" s="11" t="s">
        <v>502</v>
      </c>
      <c r="EY17" s="19">
        <v>30000</v>
      </c>
      <c r="EZ17" s="54">
        <v>8.6505190311418678E-2</v>
      </c>
      <c r="FB17" s="13">
        <v>45505</v>
      </c>
      <c r="FC17" s="11" t="s">
        <v>204</v>
      </c>
      <c r="FD17" s="19">
        <v>0</v>
      </c>
      <c r="FE17" s="26">
        <f t="shared" si="25"/>
        <v>0</v>
      </c>
    </row>
    <row r="18" spans="2:161" x14ac:dyDescent="0.35">
      <c r="B18" s="109"/>
      <c r="C18" s="109"/>
      <c r="D18" s="109"/>
      <c r="E18" s="109"/>
      <c r="O18" t="s">
        <v>98</v>
      </c>
      <c r="P18" s="24">
        <f>P15-(P17+8500)</f>
        <v>38972.799999999988</v>
      </c>
      <c r="AA18" t="s">
        <v>109</v>
      </c>
      <c r="AB18" s="1">
        <f>24*11363</f>
        <v>272712</v>
      </c>
      <c r="AG18" t="s">
        <v>22</v>
      </c>
      <c r="AH18" s="24">
        <f>SUM(AH4:AH16)</f>
        <v>229800</v>
      </c>
      <c r="AK18" s="2"/>
      <c r="AL18" t="s">
        <v>22</v>
      </c>
      <c r="AM18" s="24">
        <f>SUM(AM4:AM17)</f>
        <v>202000</v>
      </c>
      <c r="AP18" s="13">
        <v>44635</v>
      </c>
      <c r="AQ18" s="11" t="s">
        <v>158</v>
      </c>
      <c r="AR18" s="19">
        <v>33000</v>
      </c>
      <c r="AS18" s="26">
        <f t="shared" si="7"/>
        <v>5.3993736726539725E-2</v>
      </c>
      <c r="AU18" s="13">
        <v>44666</v>
      </c>
      <c r="AV18" s="11" t="s">
        <v>165</v>
      </c>
      <c r="AW18" s="19">
        <v>50000</v>
      </c>
      <c r="AX18" s="26">
        <f t="shared" si="8"/>
        <v>0.22143489813994685</v>
      </c>
      <c r="BA18" s="2"/>
      <c r="BC18" s="27"/>
      <c r="BD18" s="32"/>
      <c r="BF18" s="13">
        <v>44727</v>
      </c>
      <c r="BG18" s="11" t="s">
        <v>203</v>
      </c>
      <c r="BH18" s="19">
        <f>225*158</f>
        <v>35550</v>
      </c>
      <c r="BI18" s="26">
        <f t="shared" si="10"/>
        <v>0.14314475538554458</v>
      </c>
      <c r="BK18" s="13">
        <v>44757</v>
      </c>
      <c r="BL18" s="11" t="s">
        <v>204</v>
      </c>
      <c r="BM18" s="19">
        <v>12000</v>
      </c>
      <c r="BN18" s="26">
        <f t="shared" si="11"/>
        <v>4.736717454803821E-2</v>
      </c>
      <c r="BP18" s="13">
        <v>44788</v>
      </c>
      <c r="BQ18" s="11" t="s">
        <v>204</v>
      </c>
      <c r="BR18" s="19">
        <v>12000</v>
      </c>
      <c r="BS18" s="26">
        <f t="shared" si="12"/>
        <v>5.0230221850146507E-2</v>
      </c>
      <c r="BU18" s="13">
        <v>44819</v>
      </c>
      <c r="BV18" s="11" t="s">
        <v>204</v>
      </c>
      <c r="BW18" s="19">
        <f>12000-1400</f>
        <v>10600</v>
      </c>
      <c r="BX18" s="26">
        <f t="shared" si="13"/>
        <v>4.1568627450980389E-2</v>
      </c>
      <c r="BZ18" s="13">
        <v>44849</v>
      </c>
      <c r="CA18" s="11" t="s">
        <v>204</v>
      </c>
      <c r="CB18" s="19">
        <v>12000</v>
      </c>
      <c r="CC18" s="26">
        <f t="shared" si="14"/>
        <v>4.9586776859504134E-2</v>
      </c>
      <c r="CE18" s="13">
        <v>44883</v>
      </c>
      <c r="CF18" s="11" t="s">
        <v>76</v>
      </c>
      <c r="CG18" s="19">
        <v>0</v>
      </c>
      <c r="CH18" s="26">
        <f t="shared" si="15"/>
        <v>0</v>
      </c>
      <c r="CJ18" s="13">
        <v>44910</v>
      </c>
      <c r="CK18" s="11" t="s">
        <v>204</v>
      </c>
      <c r="CL18" s="19">
        <v>12000</v>
      </c>
      <c r="CM18" s="26">
        <f t="shared" si="16"/>
        <v>3.325573661456601E-2</v>
      </c>
      <c r="CO18" s="13">
        <v>44941</v>
      </c>
      <c r="CP18" s="11" t="s">
        <v>204</v>
      </c>
      <c r="CQ18" s="19">
        <v>12000</v>
      </c>
      <c r="CR18" s="26">
        <f t="shared" si="17"/>
        <v>4.4802867383512544E-2</v>
      </c>
      <c r="CT18" s="13">
        <v>44958</v>
      </c>
      <c r="CU18" s="11" t="s">
        <v>204</v>
      </c>
      <c r="CV18" s="19">
        <v>12000</v>
      </c>
      <c r="CW18" s="26">
        <f t="shared" si="18"/>
        <v>5.2668539325842693E-2</v>
      </c>
      <c r="CY18" s="13">
        <v>44986</v>
      </c>
      <c r="CZ18" s="11" t="s">
        <v>204</v>
      </c>
      <c r="DA18" s="19">
        <v>12000</v>
      </c>
      <c r="DB18" s="26">
        <f t="shared" si="19"/>
        <v>5.2668539325842693E-2</v>
      </c>
      <c r="DD18" s="13">
        <v>45031</v>
      </c>
      <c r="DE18" s="11" t="s">
        <v>204</v>
      </c>
      <c r="DF18" s="19">
        <v>12000</v>
      </c>
      <c r="DG18" s="26" t="e">
        <f t="shared" si="20"/>
        <v>#DIV/0!</v>
      </c>
      <c r="DI18" s="13">
        <v>45047</v>
      </c>
      <c r="DJ18" s="11" t="s">
        <v>204</v>
      </c>
      <c r="DK18" s="19">
        <v>12000</v>
      </c>
      <c r="DL18" s="26" t="e">
        <f t="shared" si="21"/>
        <v>#DIV/0!</v>
      </c>
      <c r="DN18" s="13">
        <v>45078</v>
      </c>
      <c r="DO18" s="11" t="s">
        <v>204</v>
      </c>
      <c r="DP18" s="19">
        <v>12000</v>
      </c>
      <c r="DQ18" s="26" t="e">
        <f t="shared" si="22"/>
        <v>#DIV/0!</v>
      </c>
      <c r="DS18" s="13">
        <v>45108</v>
      </c>
      <c r="DT18" s="11" t="s">
        <v>204</v>
      </c>
      <c r="DU18" s="19">
        <v>0</v>
      </c>
      <c r="DV18" s="26" t="e">
        <f t="shared" si="23"/>
        <v>#DIV/0!</v>
      </c>
      <c r="DX18" s="13">
        <v>45337</v>
      </c>
      <c r="DY18" s="11" t="s">
        <v>204</v>
      </c>
      <c r="DZ18" s="19">
        <v>0</v>
      </c>
      <c r="EA18" s="26">
        <f t="shared" si="24"/>
        <v>0</v>
      </c>
      <c r="EC18" s="13">
        <v>45352</v>
      </c>
      <c r="ED18" s="11" t="s">
        <v>204</v>
      </c>
      <c r="EE18" s="19">
        <v>0</v>
      </c>
      <c r="EF18" s="54">
        <v>0</v>
      </c>
      <c r="EH18" s="13">
        <v>45383</v>
      </c>
      <c r="EI18" s="11" t="s">
        <v>204</v>
      </c>
      <c r="EJ18" s="19">
        <v>0</v>
      </c>
      <c r="EK18" s="54">
        <v>0</v>
      </c>
      <c r="EM18" s="13">
        <v>45413</v>
      </c>
      <c r="EN18" s="11" t="s">
        <v>204</v>
      </c>
      <c r="EO18" s="19">
        <v>0</v>
      </c>
      <c r="EP18" s="26">
        <v>0</v>
      </c>
      <c r="ER18" s="13">
        <v>45444</v>
      </c>
      <c r="ES18" s="11" t="s">
        <v>142</v>
      </c>
      <c r="ET18" s="19">
        <v>57040</v>
      </c>
      <c r="EU18" s="54">
        <v>0.19048891263692225</v>
      </c>
      <c r="EW18" s="13">
        <v>45474</v>
      </c>
      <c r="EX18" s="11" t="s">
        <v>204</v>
      </c>
      <c r="EY18" s="19">
        <v>0</v>
      </c>
      <c r="EZ18" s="54">
        <v>0</v>
      </c>
      <c r="FB18" s="13">
        <v>45505</v>
      </c>
      <c r="FC18" s="11" t="s">
        <v>230</v>
      </c>
      <c r="FD18" s="19">
        <v>20000</v>
      </c>
      <c r="FE18" s="26">
        <f t="shared" si="25"/>
        <v>0.1016260162601626</v>
      </c>
    </row>
    <row r="19" spans="2:161" x14ac:dyDescent="0.35">
      <c r="B19" s="109"/>
      <c r="C19" s="109"/>
      <c r="D19" s="109"/>
      <c r="E19" s="109"/>
      <c r="J19" s="24">
        <v>20000</v>
      </c>
      <c r="P19" s="24"/>
      <c r="AA19" t="s">
        <v>22</v>
      </c>
      <c r="AB19" s="24">
        <f>SUM(AB4:AB17)</f>
        <v>290013.46000000002</v>
      </c>
      <c r="AG19" t="s">
        <v>109</v>
      </c>
      <c r="AH19" s="1">
        <f>20*11363</f>
        <v>227260</v>
      </c>
      <c r="AL19" t="s">
        <v>109</v>
      </c>
      <c r="AM19" s="1">
        <f>18*11363</f>
        <v>204534</v>
      </c>
      <c r="AP19" s="13">
        <v>44636</v>
      </c>
      <c r="AQ19" s="11" t="s">
        <v>77</v>
      </c>
      <c r="AR19" s="19">
        <v>10000</v>
      </c>
      <c r="AS19" s="26">
        <f t="shared" si="7"/>
        <v>1.7295592045411305E-2</v>
      </c>
      <c r="AU19" s="13">
        <v>44667</v>
      </c>
      <c r="AV19" s="11" t="s">
        <v>166</v>
      </c>
      <c r="AW19" s="19">
        <v>45000</v>
      </c>
      <c r="AX19" s="26">
        <f t="shared" si="8"/>
        <v>0.19929140832595216</v>
      </c>
      <c r="BA19" s="2"/>
      <c r="BC19" s="27"/>
      <c r="BD19" s="32"/>
      <c r="BF19" s="13">
        <v>44728</v>
      </c>
      <c r="BG19" s="11" t="s">
        <v>204</v>
      </c>
      <c r="BH19" s="19">
        <v>15000</v>
      </c>
      <c r="BI19" s="26">
        <f t="shared" si="10"/>
        <v>6.0398630964364805E-2</v>
      </c>
      <c r="BK19" s="13">
        <v>44758</v>
      </c>
      <c r="BL19" s="11" t="s">
        <v>207</v>
      </c>
      <c r="BM19" s="19">
        <v>35000</v>
      </c>
      <c r="BN19" s="26">
        <f t="shared" si="11"/>
        <v>0.13815425909844478</v>
      </c>
      <c r="BP19" s="13">
        <v>44789</v>
      </c>
      <c r="BQ19" s="11" t="s">
        <v>183</v>
      </c>
      <c r="BR19" s="19">
        <v>16000</v>
      </c>
      <c r="BS19" s="26">
        <f t="shared" si="12"/>
        <v>6.6973629133528667E-2</v>
      </c>
      <c r="BU19" s="13">
        <v>44820</v>
      </c>
      <c r="BV19" s="11" t="s">
        <v>183</v>
      </c>
      <c r="BW19" s="19">
        <v>13000</v>
      </c>
      <c r="BX19" s="26">
        <f t="shared" si="13"/>
        <v>5.0980392156862744E-2</v>
      </c>
      <c r="BZ19" s="13">
        <v>44850</v>
      </c>
      <c r="CA19" s="11" t="s">
        <v>183</v>
      </c>
      <c r="CB19" s="19">
        <v>16000</v>
      </c>
      <c r="CC19" s="26">
        <f t="shared" si="14"/>
        <v>6.6115702479338845E-2</v>
      </c>
      <c r="CE19" s="13">
        <v>44884</v>
      </c>
      <c r="CF19" s="11" t="s">
        <v>75</v>
      </c>
      <c r="CG19" s="19">
        <v>0</v>
      </c>
      <c r="CH19" s="26">
        <f t="shared" si="15"/>
        <v>0</v>
      </c>
      <c r="CJ19" s="13">
        <v>44911</v>
      </c>
      <c r="CK19" s="11" t="s">
        <v>230</v>
      </c>
      <c r="CL19" s="19">
        <v>10000</v>
      </c>
      <c r="CM19" s="26">
        <f t="shared" si="16"/>
        <v>2.7713113845471676E-2</v>
      </c>
      <c r="CO19" s="13">
        <v>44942</v>
      </c>
      <c r="CP19" s="11" t="s">
        <v>230</v>
      </c>
      <c r="CQ19" s="19">
        <v>10000</v>
      </c>
      <c r="CR19" s="26">
        <f t="shared" si="17"/>
        <v>3.733572281959379E-2</v>
      </c>
      <c r="CT19" s="13">
        <v>44958</v>
      </c>
      <c r="CU19" s="11" t="s">
        <v>230</v>
      </c>
      <c r="CV19" s="19">
        <v>5000</v>
      </c>
      <c r="CW19" s="26">
        <f t="shared" si="18"/>
        <v>2.1945224719101125E-2</v>
      </c>
      <c r="CY19" s="13">
        <v>44986</v>
      </c>
      <c r="CZ19" s="11" t="s">
        <v>230</v>
      </c>
      <c r="DA19" s="19">
        <v>5000</v>
      </c>
      <c r="DB19" s="26">
        <f t="shared" si="19"/>
        <v>2.1945224719101125E-2</v>
      </c>
      <c r="DD19" s="13">
        <v>45032</v>
      </c>
      <c r="DE19" s="11" t="s">
        <v>230</v>
      </c>
      <c r="DF19" s="19">
        <v>5000</v>
      </c>
      <c r="DG19" s="26" t="e">
        <f t="shared" si="20"/>
        <v>#DIV/0!</v>
      </c>
      <c r="DI19" s="13">
        <v>45047</v>
      </c>
      <c r="DJ19" s="11" t="s">
        <v>230</v>
      </c>
      <c r="DK19" s="19">
        <v>5000</v>
      </c>
      <c r="DL19" s="26" t="e">
        <f t="shared" si="21"/>
        <v>#DIV/0!</v>
      </c>
      <c r="DN19" s="13">
        <v>45078</v>
      </c>
      <c r="DO19" s="11" t="s">
        <v>230</v>
      </c>
      <c r="DP19" s="19">
        <v>5000</v>
      </c>
      <c r="DQ19" s="26" t="e">
        <f t="shared" si="22"/>
        <v>#DIV/0!</v>
      </c>
      <c r="DS19" s="13">
        <v>45108</v>
      </c>
      <c r="DT19" s="11" t="s">
        <v>230</v>
      </c>
      <c r="DU19" s="19">
        <v>0</v>
      </c>
      <c r="DV19" s="26" t="e">
        <f t="shared" si="23"/>
        <v>#DIV/0!</v>
      </c>
      <c r="DX19" s="13">
        <v>45338</v>
      </c>
      <c r="DY19" s="11" t="s">
        <v>230</v>
      </c>
      <c r="DZ19" s="20">
        <v>10000</v>
      </c>
      <c r="EA19" s="26">
        <f t="shared" si="24"/>
        <v>3.8604076590487958E-2</v>
      </c>
      <c r="EC19" s="13">
        <v>45352</v>
      </c>
      <c r="ED19" s="11" t="s">
        <v>230</v>
      </c>
      <c r="EE19" s="19">
        <v>20000</v>
      </c>
      <c r="EF19" s="54">
        <v>7.5120192307692304E-2</v>
      </c>
      <c r="EH19" s="13">
        <v>45383</v>
      </c>
      <c r="EI19" s="11" t="s">
        <v>230</v>
      </c>
      <c r="EJ19" s="19">
        <v>20000</v>
      </c>
      <c r="EK19" s="54">
        <v>7.78089013383131E-2</v>
      </c>
      <c r="EM19" s="13">
        <v>45413</v>
      </c>
      <c r="EN19" s="11" t="s">
        <v>579</v>
      </c>
      <c r="EO19" s="19">
        <v>30000</v>
      </c>
      <c r="EP19" s="26">
        <v>9.1508052708638363E-2</v>
      </c>
      <c r="ER19" s="13">
        <v>45444</v>
      </c>
      <c r="ES19" s="11" t="s">
        <v>502</v>
      </c>
      <c r="ET19" s="19">
        <v>25000</v>
      </c>
      <c r="EU19" s="54">
        <v>8.3489179802297628E-2</v>
      </c>
      <c r="EW19" s="13">
        <v>45474</v>
      </c>
      <c r="EX19" s="11" t="s">
        <v>230</v>
      </c>
      <c r="EY19" s="19">
        <v>20000</v>
      </c>
      <c r="EZ19" s="54">
        <v>5.7670126874279123E-2</v>
      </c>
      <c r="FB19" s="13">
        <v>45505</v>
      </c>
      <c r="FC19" s="11" t="s">
        <v>231</v>
      </c>
      <c r="FD19" s="19">
        <v>10000</v>
      </c>
      <c r="FE19" s="26">
        <f t="shared" si="25"/>
        <v>5.08130081300813E-2</v>
      </c>
    </row>
    <row r="20" spans="2:161" x14ac:dyDescent="0.35">
      <c r="B20" s="109"/>
      <c r="C20" s="109"/>
      <c r="D20" s="109"/>
      <c r="E20" s="109"/>
      <c r="P20" s="24">
        <f>P15</f>
        <v>227272.8</v>
      </c>
      <c r="V20" s="1">
        <f>330*158</f>
        <v>52140</v>
      </c>
      <c r="AB20" s="24"/>
      <c r="AP20" s="2"/>
      <c r="AR20" s="27"/>
      <c r="AS20" s="32"/>
      <c r="AU20" s="2"/>
      <c r="AW20" s="27"/>
      <c r="AX20" s="32"/>
      <c r="BA20" s="2"/>
      <c r="BC20" s="27">
        <f>SUM(BC7:BC9)</f>
        <v>37000</v>
      </c>
      <c r="BD20" s="32"/>
      <c r="BF20" s="2"/>
      <c r="BH20" s="27"/>
      <c r="BI20" s="32"/>
      <c r="BK20" s="13">
        <v>44759</v>
      </c>
      <c r="BL20" s="11" t="s">
        <v>209</v>
      </c>
      <c r="BM20" s="19">
        <v>6000</v>
      </c>
      <c r="BN20" s="26">
        <f t="shared" si="11"/>
        <v>2.3683587274019105E-2</v>
      </c>
      <c r="BP20" s="13">
        <v>44790</v>
      </c>
      <c r="BQ20" s="11" t="s">
        <v>24</v>
      </c>
      <c r="BR20" s="19">
        <v>1000</v>
      </c>
      <c r="BS20" s="26">
        <f t="shared" si="12"/>
        <v>4.1858518208455417E-3</v>
      </c>
      <c r="BU20" s="13">
        <v>44821</v>
      </c>
      <c r="BV20" s="11" t="s">
        <v>230</v>
      </c>
      <c r="BW20" s="19">
        <v>0</v>
      </c>
      <c r="BX20" s="26">
        <f t="shared" si="13"/>
        <v>0</v>
      </c>
      <c r="BZ20" s="13">
        <v>44851</v>
      </c>
      <c r="CA20" s="11" t="s">
        <v>230</v>
      </c>
      <c r="CB20" s="19">
        <v>5000</v>
      </c>
      <c r="CC20" s="26">
        <f t="shared" si="14"/>
        <v>2.0661157024793389E-2</v>
      </c>
      <c r="CE20" s="13">
        <v>44885</v>
      </c>
      <c r="CF20" s="11" t="s">
        <v>74</v>
      </c>
      <c r="CG20" s="19">
        <v>0</v>
      </c>
      <c r="CH20" s="26">
        <f t="shared" si="15"/>
        <v>0</v>
      </c>
      <c r="CJ20" s="13">
        <v>44912</v>
      </c>
      <c r="CK20" s="11" t="s">
        <v>231</v>
      </c>
      <c r="CL20" s="19">
        <v>7000</v>
      </c>
      <c r="CM20" s="26">
        <f t="shared" si="16"/>
        <v>1.9399179691830176E-2</v>
      </c>
      <c r="CO20" s="13">
        <v>44943</v>
      </c>
      <c r="CP20" s="11" t="s">
        <v>231</v>
      </c>
      <c r="CQ20" s="19">
        <v>7000</v>
      </c>
      <c r="CR20" s="26">
        <f t="shared" si="17"/>
        <v>2.6135005973715653E-2</v>
      </c>
      <c r="CT20" s="13">
        <v>44958</v>
      </c>
      <c r="CU20" s="11" t="s">
        <v>231</v>
      </c>
      <c r="CV20" s="19">
        <v>5000</v>
      </c>
      <c r="CW20" s="26">
        <f t="shared" si="18"/>
        <v>2.1945224719101125E-2</v>
      </c>
      <c r="CY20" s="13">
        <v>44986</v>
      </c>
      <c r="CZ20" s="11" t="s">
        <v>231</v>
      </c>
      <c r="DA20" s="19">
        <v>5000</v>
      </c>
      <c r="DB20" s="26">
        <f t="shared" si="19"/>
        <v>2.1945224719101125E-2</v>
      </c>
      <c r="DD20" s="13">
        <v>45033</v>
      </c>
      <c r="DE20" s="11" t="s">
        <v>231</v>
      </c>
      <c r="DF20" s="19">
        <v>5000</v>
      </c>
      <c r="DG20" s="26" t="e">
        <f t="shared" si="20"/>
        <v>#DIV/0!</v>
      </c>
      <c r="DI20" s="13">
        <v>45047</v>
      </c>
      <c r="DJ20" s="11" t="s">
        <v>231</v>
      </c>
      <c r="DK20" s="19">
        <v>5000</v>
      </c>
      <c r="DL20" s="26" t="e">
        <f t="shared" si="21"/>
        <v>#DIV/0!</v>
      </c>
      <c r="DN20" s="13">
        <v>45078</v>
      </c>
      <c r="DO20" s="11" t="s">
        <v>231</v>
      </c>
      <c r="DP20" s="19">
        <v>5000</v>
      </c>
      <c r="DQ20" s="26" t="e">
        <f t="shared" si="22"/>
        <v>#DIV/0!</v>
      </c>
      <c r="DS20" s="13">
        <v>45108</v>
      </c>
      <c r="DT20" s="11" t="s">
        <v>231</v>
      </c>
      <c r="DU20" s="19">
        <v>0</v>
      </c>
      <c r="DV20" s="26" t="e">
        <f t="shared" si="23"/>
        <v>#DIV/0!</v>
      </c>
      <c r="DX20" s="13">
        <v>45339</v>
      </c>
      <c r="DY20" s="11" t="s">
        <v>231</v>
      </c>
      <c r="DZ20" s="20">
        <v>10000</v>
      </c>
      <c r="EA20" s="26">
        <f t="shared" si="24"/>
        <v>3.8604076590487958E-2</v>
      </c>
      <c r="EC20" s="13">
        <v>45352</v>
      </c>
      <c r="ED20" s="11" t="s">
        <v>231</v>
      </c>
      <c r="EE20" s="19">
        <v>20000</v>
      </c>
      <c r="EF20" s="54">
        <v>7.5120192307692304E-2</v>
      </c>
      <c r="EH20" s="13">
        <v>45383</v>
      </c>
      <c r="EI20" s="11" t="s">
        <v>231</v>
      </c>
      <c r="EJ20" s="19">
        <v>10000</v>
      </c>
      <c r="EK20" s="54">
        <v>3.890445066915655E-2</v>
      </c>
      <c r="EM20" s="13">
        <v>45413</v>
      </c>
      <c r="EN20" s="11" t="s">
        <v>214</v>
      </c>
      <c r="EO20" s="19">
        <v>84000</v>
      </c>
      <c r="EP20" s="26">
        <v>0.25622254758418739</v>
      </c>
      <c r="ER20" s="13">
        <v>45444</v>
      </c>
      <c r="ES20" s="11" t="s">
        <v>204</v>
      </c>
      <c r="ET20" s="19">
        <v>0</v>
      </c>
      <c r="EU20" s="54">
        <v>0</v>
      </c>
      <c r="EW20" s="13">
        <v>45474</v>
      </c>
      <c r="EX20" s="11" t="s">
        <v>231</v>
      </c>
      <c r="EY20" s="19">
        <v>10000</v>
      </c>
      <c r="EZ20" s="54">
        <v>2.8835063437139562E-2</v>
      </c>
      <c r="FB20" s="13">
        <v>45505</v>
      </c>
      <c r="FC20" s="11" t="s">
        <v>183</v>
      </c>
      <c r="FD20" s="19">
        <v>20000</v>
      </c>
      <c r="FE20" s="26">
        <f t="shared" si="25"/>
        <v>0.1016260162601626</v>
      </c>
    </row>
    <row r="21" spans="2:161" x14ac:dyDescent="0.35">
      <c r="B21" s="109"/>
      <c r="C21" s="109"/>
      <c r="D21" s="109"/>
      <c r="E21" s="109"/>
      <c r="H21" s="24"/>
      <c r="I21" s="27"/>
      <c r="J21" s="24"/>
      <c r="L21" s="1">
        <v>650</v>
      </c>
      <c r="V21" s="1">
        <f>330*145</f>
        <v>47850</v>
      </c>
      <c r="AH21" s="24">
        <f>AH18-AH19</f>
        <v>2540</v>
      </c>
      <c r="AQ21" t="s">
        <v>22</v>
      </c>
      <c r="AR21" s="24">
        <f>11363.64*25</f>
        <v>284091</v>
      </c>
      <c r="AV21" t="s">
        <v>22</v>
      </c>
      <c r="AW21" s="24">
        <f>11363.64*19</f>
        <v>215909.15999999997</v>
      </c>
      <c r="BB21" t="s">
        <v>22</v>
      </c>
      <c r="BC21" s="24">
        <f>11363.64*19</f>
        <v>215909.15999999997</v>
      </c>
      <c r="BF21" s="2"/>
      <c r="BH21" s="27"/>
      <c r="BI21" s="32"/>
      <c r="BK21" s="13">
        <v>44760</v>
      </c>
      <c r="BL21" s="11" t="s">
        <v>208</v>
      </c>
      <c r="BM21" s="19">
        <v>6000</v>
      </c>
      <c r="BN21" s="26">
        <f t="shared" si="11"/>
        <v>2.3683587274019105E-2</v>
      </c>
      <c r="BP21" s="2"/>
      <c r="BR21" s="27"/>
      <c r="BS21" s="32"/>
      <c r="BU21" s="13">
        <v>44822</v>
      </c>
      <c r="BV21" s="11" t="s">
        <v>231</v>
      </c>
      <c r="BW21" s="19">
        <v>5000</v>
      </c>
      <c r="BX21" s="26">
        <f t="shared" si="13"/>
        <v>1.9607843137254902E-2</v>
      </c>
      <c r="BZ21" s="13">
        <v>44852</v>
      </c>
      <c r="CA21" s="11" t="s">
        <v>231</v>
      </c>
      <c r="CB21" s="19">
        <v>5000</v>
      </c>
      <c r="CC21" s="26">
        <f t="shared" si="14"/>
        <v>2.0661157024793389E-2</v>
      </c>
      <c r="CE21" s="2"/>
      <c r="CG21" s="27"/>
      <c r="CH21" s="32"/>
      <c r="CJ21" s="13">
        <v>44913</v>
      </c>
      <c r="CK21" s="11" t="s">
        <v>183</v>
      </c>
      <c r="CL21" s="19">
        <v>16000</v>
      </c>
      <c r="CM21" s="26">
        <f t="shared" si="16"/>
        <v>4.4340982152754685E-2</v>
      </c>
      <c r="CO21" s="13">
        <v>44944</v>
      </c>
      <c r="CP21" s="11" t="s">
        <v>183</v>
      </c>
      <c r="CQ21" s="19">
        <v>16000</v>
      </c>
      <c r="CR21" s="26">
        <f t="shared" si="17"/>
        <v>5.9737156511350059E-2</v>
      </c>
      <c r="CT21" s="13">
        <v>44958</v>
      </c>
      <c r="CU21" s="11" t="s">
        <v>183</v>
      </c>
      <c r="CV21" s="19">
        <v>16000</v>
      </c>
      <c r="CW21" s="26">
        <f t="shared" si="18"/>
        <v>7.02247191011236E-2</v>
      </c>
      <c r="CY21" s="13">
        <v>44986</v>
      </c>
      <c r="CZ21" s="11" t="s">
        <v>183</v>
      </c>
      <c r="DA21" s="19">
        <v>16000</v>
      </c>
      <c r="DB21" s="26">
        <f t="shared" si="19"/>
        <v>7.02247191011236E-2</v>
      </c>
      <c r="DD21" s="13">
        <v>45034</v>
      </c>
      <c r="DE21" s="11" t="s">
        <v>183</v>
      </c>
      <c r="DF21" s="19">
        <v>16000</v>
      </c>
      <c r="DG21" s="26" t="e">
        <f t="shared" si="20"/>
        <v>#DIV/0!</v>
      </c>
      <c r="DI21" s="13">
        <v>45047</v>
      </c>
      <c r="DJ21" s="11" t="s">
        <v>183</v>
      </c>
      <c r="DK21" s="19">
        <v>16000</v>
      </c>
      <c r="DL21" s="26" t="e">
        <f t="shared" si="21"/>
        <v>#DIV/0!</v>
      </c>
      <c r="DN21" s="13">
        <v>45078</v>
      </c>
      <c r="DO21" s="11" t="s">
        <v>183</v>
      </c>
      <c r="DP21" s="19">
        <v>16000</v>
      </c>
      <c r="DQ21" s="26" t="e">
        <f t="shared" si="22"/>
        <v>#DIV/0!</v>
      </c>
      <c r="DS21" s="13">
        <v>45108</v>
      </c>
      <c r="DT21" s="11" t="s">
        <v>183</v>
      </c>
      <c r="DU21" s="19">
        <v>7000</v>
      </c>
      <c r="DV21" s="26" t="e">
        <f t="shared" si="23"/>
        <v>#DIV/0!</v>
      </c>
      <c r="DX21" s="13">
        <v>45340</v>
      </c>
      <c r="DY21" s="11" t="s">
        <v>183</v>
      </c>
      <c r="DZ21" s="20">
        <v>16000</v>
      </c>
      <c r="EA21" s="26">
        <f t="shared" si="24"/>
        <v>6.1766522544780732E-2</v>
      </c>
      <c r="EC21" s="13">
        <v>45352</v>
      </c>
      <c r="ED21" s="11" t="s">
        <v>183</v>
      </c>
      <c r="EE21" s="19">
        <v>16000</v>
      </c>
      <c r="EF21" s="54">
        <v>6.0096153846153848E-2</v>
      </c>
      <c r="EH21" s="13">
        <v>45383</v>
      </c>
      <c r="EI21" s="11" t="s">
        <v>183</v>
      </c>
      <c r="EJ21" s="19">
        <v>16000</v>
      </c>
      <c r="EK21" s="54">
        <v>6.2247121070650481E-2</v>
      </c>
      <c r="EM21" s="13">
        <v>45413</v>
      </c>
      <c r="EN21" s="11" t="s">
        <v>580</v>
      </c>
      <c r="EO21" s="19">
        <v>40000</v>
      </c>
      <c r="EP21" s="26">
        <v>0.12201073694485115</v>
      </c>
      <c r="ER21" s="13">
        <v>45444</v>
      </c>
      <c r="ES21" s="11" t="s">
        <v>230</v>
      </c>
      <c r="ET21" s="19">
        <v>20000</v>
      </c>
      <c r="EU21" s="54">
        <v>6.6791343841838102E-2</v>
      </c>
      <c r="EW21" s="13">
        <v>45474</v>
      </c>
      <c r="EX21" s="11" t="s">
        <v>183</v>
      </c>
      <c r="EY21" s="19">
        <v>20000</v>
      </c>
      <c r="EZ21" s="54">
        <v>5.7670126874279123E-2</v>
      </c>
      <c r="FB21" s="2"/>
      <c r="FD21" s="27"/>
      <c r="FE21" s="32"/>
    </row>
    <row r="22" spans="2:161" x14ac:dyDescent="0.35">
      <c r="B22" s="109"/>
      <c r="C22" s="109"/>
      <c r="D22" s="109"/>
      <c r="E22" s="109"/>
      <c r="H22" s="24">
        <f>H21</f>
        <v>0</v>
      </c>
      <c r="I22" s="31">
        <v>14000</v>
      </c>
      <c r="J22" s="1">
        <v>6000</v>
      </c>
      <c r="K22" t="s">
        <v>93</v>
      </c>
      <c r="L22" s="1">
        <v>14</v>
      </c>
      <c r="Z22" s="24"/>
      <c r="AQ22" t="s">
        <v>109</v>
      </c>
      <c r="AR22" s="1">
        <f>SUM(AR4:AR20)</f>
        <v>275000</v>
      </c>
      <c r="BB22" t="s">
        <v>109</v>
      </c>
      <c r="BC22" s="27">
        <f>SUM(BC4:BC19)</f>
        <v>215800</v>
      </c>
      <c r="BG22" t="s">
        <v>22</v>
      </c>
      <c r="BH22" s="24">
        <f>11363.64*21</f>
        <v>238636.44</v>
      </c>
      <c r="BK22" s="13">
        <v>44761</v>
      </c>
      <c r="BL22" s="11" t="s">
        <v>24</v>
      </c>
      <c r="BM22" s="19">
        <v>1500</v>
      </c>
      <c r="BN22" s="26">
        <f t="shared" si="11"/>
        <v>5.9208968185047763E-3</v>
      </c>
      <c r="BQ22" t="s">
        <v>22</v>
      </c>
      <c r="BR22" s="24">
        <f>11363.64*21</f>
        <v>238636.44</v>
      </c>
      <c r="BU22" s="2"/>
      <c r="BW22" s="27"/>
      <c r="BX22" s="32"/>
      <c r="BZ22" s="2"/>
      <c r="CB22" s="27"/>
      <c r="CC22" s="32"/>
      <c r="CF22" t="s">
        <v>86</v>
      </c>
      <c r="CG22" s="24">
        <f>11363.64*19</f>
        <v>215909.15999999997</v>
      </c>
      <c r="CJ22" s="13">
        <v>44914</v>
      </c>
      <c r="CK22" s="11" t="s">
        <v>250</v>
      </c>
      <c r="CL22" s="19">
        <v>113000</v>
      </c>
      <c r="CM22" s="26">
        <f>(CL22/SUM($CL$4:$CL$23))</f>
        <v>0.31315818645382998</v>
      </c>
      <c r="CT22" s="13">
        <v>44958</v>
      </c>
      <c r="CU22" s="11" t="s">
        <v>294</v>
      </c>
      <c r="CV22" s="19">
        <v>0</v>
      </c>
      <c r="CW22" s="26">
        <f t="shared" si="18"/>
        <v>0</v>
      </c>
      <c r="CY22" s="13">
        <v>44986</v>
      </c>
      <c r="CZ22" s="11" t="s">
        <v>304</v>
      </c>
      <c r="DA22" s="19">
        <v>80000</v>
      </c>
      <c r="DB22" s="26">
        <f t="shared" si="19"/>
        <v>0.351123595505618</v>
      </c>
      <c r="EC22" s="13">
        <v>45352</v>
      </c>
      <c r="ED22" s="11" t="s">
        <v>39</v>
      </c>
      <c r="EE22" s="19">
        <v>4000</v>
      </c>
      <c r="EF22" s="54">
        <v>1.5024038461538462E-2</v>
      </c>
      <c r="EJ22" s="27"/>
      <c r="EM22" s="13">
        <v>45413</v>
      </c>
      <c r="EN22" s="11" t="s">
        <v>230</v>
      </c>
      <c r="EO22" s="19">
        <v>20000</v>
      </c>
      <c r="EP22" s="26">
        <v>6.1005368472425575E-2</v>
      </c>
      <c r="ER22" s="13">
        <v>45444</v>
      </c>
      <c r="ES22" s="11" t="s">
        <v>231</v>
      </c>
      <c r="ET22" s="19">
        <v>10000</v>
      </c>
      <c r="EU22" s="54">
        <v>3.3395671920919051E-2</v>
      </c>
      <c r="FB22" s="2"/>
      <c r="FC22" t="s">
        <v>86</v>
      </c>
      <c r="FD22" s="27">
        <f>SUM(FD4:FD20)</f>
        <v>196800</v>
      </c>
      <c r="FE22" s="32"/>
    </row>
    <row r="23" spans="2:161" x14ac:dyDescent="0.35">
      <c r="I23" s="31"/>
      <c r="L23" s="1">
        <f>223*145</f>
        <v>32335</v>
      </c>
      <c r="AB23" s="24">
        <f>AB19-AB18</f>
        <v>17301.460000000021</v>
      </c>
      <c r="AQ23" t="s">
        <v>159</v>
      </c>
      <c r="AR23" s="24">
        <f>AR21-AR22</f>
        <v>9091</v>
      </c>
      <c r="BB23" t="s">
        <v>159</v>
      </c>
      <c r="BC23" s="24"/>
      <c r="BG23" t="s">
        <v>109</v>
      </c>
      <c r="BH23" s="27">
        <f>SUM(BH4:BH20)</f>
        <v>248350</v>
      </c>
      <c r="BQ23" t="s">
        <v>109</v>
      </c>
      <c r="BR23" s="27">
        <f>SUM(BR4:BR20)</f>
        <v>238900</v>
      </c>
      <c r="BS23" s="24"/>
      <c r="BV23" t="s">
        <v>22</v>
      </c>
      <c r="BW23" s="24">
        <f>11363.64*21</f>
        <v>238636.44</v>
      </c>
      <c r="CA23" t="s">
        <v>22</v>
      </c>
      <c r="CB23" s="24">
        <f>11363.64*21</f>
        <v>238636.44</v>
      </c>
      <c r="CF23" t="s">
        <v>109</v>
      </c>
      <c r="CG23" s="27">
        <f>SUM(CG4:CG14)</f>
        <v>213400</v>
      </c>
      <c r="CH23" s="24"/>
      <c r="CJ23" s="2"/>
      <c r="CL23" s="27"/>
      <c r="CM23" s="32"/>
      <c r="CP23" t="s">
        <v>86</v>
      </c>
      <c r="CQ23" s="24">
        <f>SUM(CQ4:CQ21)</f>
        <v>267840</v>
      </c>
      <c r="DE23" t="s">
        <v>86</v>
      </c>
      <c r="DF23" s="24">
        <f>SUM(DF4:DF21)</f>
        <v>227840</v>
      </c>
      <c r="DJ23" t="s">
        <v>86</v>
      </c>
      <c r="DK23" s="24">
        <f>SUM(DK4:DK21)</f>
        <v>225840</v>
      </c>
      <c r="DO23" t="s">
        <v>86</v>
      </c>
      <c r="DP23" s="24">
        <f>SUM(DP4:DP21)</f>
        <v>227840</v>
      </c>
      <c r="DT23" t="s">
        <v>86</v>
      </c>
      <c r="DU23" s="24">
        <f>SUM(DU4:DU21)</f>
        <v>229800</v>
      </c>
      <c r="DY23" t="s">
        <v>86</v>
      </c>
      <c r="DZ23" s="24">
        <f>SUM(DZ4:DZ21)</f>
        <v>259040</v>
      </c>
      <c r="EI23" t="s">
        <v>86</v>
      </c>
      <c r="EJ23" s="24">
        <f>SUM(EJ4:EJ21)</f>
        <v>273040</v>
      </c>
      <c r="EM23" s="13">
        <v>45413</v>
      </c>
      <c r="EN23" s="11" t="s">
        <v>231</v>
      </c>
      <c r="EO23" s="19">
        <v>10000</v>
      </c>
      <c r="EP23" s="26">
        <v>3.0502684236212788E-2</v>
      </c>
      <c r="ER23" s="13">
        <v>45444</v>
      </c>
      <c r="ES23" s="11" t="s">
        <v>183</v>
      </c>
      <c r="ET23" s="19">
        <v>20000</v>
      </c>
      <c r="EU23" s="54">
        <v>6.6791343841838102E-2</v>
      </c>
      <c r="FB23" s="2"/>
      <c r="FC23" t="s">
        <v>257</v>
      </c>
      <c r="FD23" s="24">
        <f>14*15000</f>
        <v>210000</v>
      </c>
      <c r="FE23" t="s">
        <v>258</v>
      </c>
    </row>
    <row r="24" spans="2:161" x14ac:dyDescent="0.35">
      <c r="I24" s="31"/>
      <c r="J24" s="1"/>
      <c r="L24" s="1">
        <v>4</v>
      </c>
      <c r="BV24" t="s">
        <v>109</v>
      </c>
      <c r="BW24" s="27">
        <f>SUM(BW4:BW20)</f>
        <v>250000</v>
      </c>
      <c r="BX24" s="24"/>
      <c r="CA24" t="s">
        <v>109</v>
      </c>
      <c r="CB24" s="27">
        <f>SUM(CB4:CB21)</f>
        <v>242000</v>
      </c>
      <c r="CC24" s="24"/>
      <c r="CF24" t="s">
        <v>159</v>
      </c>
      <c r="CG24" s="24">
        <f>CG22-CG23</f>
        <v>2509.1599999999744</v>
      </c>
      <c r="CK24" t="s">
        <v>22</v>
      </c>
      <c r="CL24" s="24">
        <f>267314.4+CL22</f>
        <v>380314.4</v>
      </c>
      <c r="CP24" t="s">
        <v>257</v>
      </c>
      <c r="CR24" t="s">
        <v>258</v>
      </c>
      <c r="CU24" t="s">
        <v>86</v>
      </c>
      <c r="CV24" s="24">
        <f>SUM(CV4:CV22)</f>
        <v>227840</v>
      </c>
      <c r="CZ24" t="s">
        <v>86</v>
      </c>
      <c r="DA24" s="24">
        <f>SUM(DA4:DA22)</f>
        <v>227840</v>
      </c>
      <c r="DE24" t="s">
        <v>257</v>
      </c>
      <c r="DF24" s="24">
        <v>228000</v>
      </c>
      <c r="DG24" t="s">
        <v>258</v>
      </c>
      <c r="DJ24" t="s">
        <v>257</v>
      </c>
      <c r="DK24" s="24">
        <v>228000</v>
      </c>
      <c r="DL24" t="s">
        <v>258</v>
      </c>
      <c r="DO24" t="s">
        <v>257</v>
      </c>
      <c r="DP24" s="24">
        <v>228000</v>
      </c>
      <c r="DQ24" t="s">
        <v>258</v>
      </c>
      <c r="DT24" t="s">
        <v>257</v>
      </c>
      <c r="DU24" s="24">
        <v>228000</v>
      </c>
      <c r="DV24" t="s">
        <v>258</v>
      </c>
      <c r="DY24" t="s">
        <v>257</v>
      </c>
      <c r="DZ24" s="24">
        <v>228000</v>
      </c>
      <c r="EA24" t="s">
        <v>258</v>
      </c>
      <c r="ED24" t="s">
        <v>86</v>
      </c>
      <c r="EE24" s="1">
        <v>286240</v>
      </c>
      <c r="EI24" t="s">
        <v>257</v>
      </c>
      <c r="EJ24" s="24">
        <v>273000</v>
      </c>
      <c r="EM24" s="13">
        <v>45413</v>
      </c>
      <c r="EN24" s="11" t="s">
        <v>183</v>
      </c>
      <c r="EO24" s="19">
        <v>20000</v>
      </c>
      <c r="EP24" s="26">
        <v>6.1005368472425575E-2</v>
      </c>
      <c r="ER24" s="2"/>
      <c r="ET24" s="27"/>
      <c r="EX24" t="s">
        <v>86</v>
      </c>
      <c r="EY24" s="27">
        <f>SUM(EY5:EY22)</f>
        <v>346800</v>
      </c>
      <c r="FC24" t="s">
        <v>351</v>
      </c>
      <c r="FD24" s="24">
        <f>FD23-FD22</f>
        <v>13200</v>
      </c>
    </row>
    <row r="25" spans="2:161" x14ac:dyDescent="0.35">
      <c r="I25" s="31"/>
      <c r="L25" s="1"/>
      <c r="BL25" t="s">
        <v>22</v>
      </c>
      <c r="BM25" s="24">
        <f>11363.64*22</f>
        <v>250000.08</v>
      </c>
      <c r="CK25" t="s">
        <v>109</v>
      </c>
      <c r="CL25" s="27">
        <f>SUM(CL4:CL22)</f>
        <v>360840</v>
      </c>
      <c r="CM25" s="24"/>
      <c r="CU25" t="s">
        <v>257</v>
      </c>
      <c r="CV25" s="24">
        <v>228000</v>
      </c>
      <c r="CW25" t="s">
        <v>258</v>
      </c>
      <c r="CZ25" t="s">
        <v>257</v>
      </c>
      <c r="DA25" s="24">
        <v>228000</v>
      </c>
      <c r="DB25" t="s">
        <v>258</v>
      </c>
      <c r="ED25" t="s">
        <v>257</v>
      </c>
      <c r="EE25" s="1">
        <v>228000</v>
      </c>
      <c r="EF25" s="74" t="s">
        <v>258</v>
      </c>
      <c r="EI25" t="s">
        <v>351</v>
      </c>
      <c r="EJ25" s="24">
        <f>EJ24-EJ23</f>
        <v>-40</v>
      </c>
      <c r="EO25" s="27"/>
      <c r="EP25" s="32"/>
      <c r="ER25" s="2"/>
      <c r="ES25" t="s">
        <v>86</v>
      </c>
      <c r="ET25" s="24">
        <f>SUM(ET4:ET24)</f>
        <v>299440</v>
      </c>
      <c r="EX25" t="s">
        <v>257</v>
      </c>
      <c r="EY25" s="24">
        <f>23*15000</f>
        <v>345000</v>
      </c>
    </row>
    <row r="26" spans="2:161" x14ac:dyDescent="0.35">
      <c r="I26" s="31"/>
      <c r="L26" s="1"/>
      <c r="AB26" s="24"/>
      <c r="CK26" t="s">
        <v>159</v>
      </c>
      <c r="CL26" s="24"/>
      <c r="EN26" t="s">
        <v>86</v>
      </c>
      <c r="EO26" s="24">
        <f>SUM(EO4:EO24)</f>
        <v>347840</v>
      </c>
      <c r="ER26" s="2"/>
      <c r="ES26" t="s">
        <v>257</v>
      </c>
      <c r="ET26" s="24">
        <f>20*15000</f>
        <v>300000</v>
      </c>
      <c r="EX26" t="s">
        <v>351</v>
      </c>
      <c r="EY26" s="24">
        <f>EY25-EY24</f>
        <v>-1800</v>
      </c>
    </row>
    <row r="27" spans="2:161" x14ac:dyDescent="0.35">
      <c r="I27" s="31"/>
      <c r="L27" s="1"/>
      <c r="EN27" t="s">
        <v>257</v>
      </c>
      <c r="EO27" s="24">
        <f>22*15000+(13000)</f>
        <v>343000</v>
      </c>
      <c r="EP27" t="s">
        <v>258</v>
      </c>
      <c r="ES27" t="s">
        <v>351</v>
      </c>
      <c r="ET27" s="24">
        <f>ET26-ET25</f>
        <v>560</v>
      </c>
    </row>
    <row r="28" spans="2:161" x14ac:dyDescent="0.35">
      <c r="I28" s="31"/>
      <c r="EN28" t="s">
        <v>351</v>
      </c>
      <c r="EO28" s="24">
        <f>EO27-EO26</f>
        <v>-4840</v>
      </c>
    </row>
  </sheetData>
  <mergeCells count="8">
    <mergeCell ref="AK2:AN2"/>
    <mergeCell ref="AF2:AI2"/>
    <mergeCell ref="Z2:AC2"/>
    <mergeCell ref="B2:E2"/>
    <mergeCell ref="B17:E22"/>
    <mergeCell ref="H2:K2"/>
    <mergeCell ref="N2:Q2"/>
    <mergeCell ref="T2:W2"/>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9167-2F06-4FC8-8D69-6FC38E323F42}">
  <dimension ref="A1:F17"/>
  <sheetViews>
    <sheetView workbookViewId="0">
      <selection activeCell="F16" sqref="F16"/>
    </sheetView>
  </sheetViews>
  <sheetFormatPr defaultRowHeight="14.5" x14ac:dyDescent="0.35"/>
  <cols>
    <col min="1" max="1" width="15.36328125" bestFit="1" customWidth="1"/>
    <col min="2" max="2" width="15.08984375" bestFit="1" customWidth="1"/>
    <col min="3" max="3" width="16" bestFit="1" customWidth="1"/>
    <col min="4" max="4" width="13.453125" bestFit="1" customWidth="1"/>
    <col min="6" max="6" width="10.81640625" bestFit="1" customWidth="1"/>
  </cols>
  <sheetData>
    <row r="1" spans="1:6" x14ac:dyDescent="0.35">
      <c r="A1" s="107" t="s">
        <v>658</v>
      </c>
      <c r="B1" s="107"/>
      <c r="C1" s="107"/>
      <c r="D1" s="107"/>
    </row>
    <row r="2" spans="1:6" x14ac:dyDescent="0.35">
      <c r="A2" s="39" t="s">
        <v>140</v>
      </c>
      <c r="B2" s="39" t="s">
        <v>139</v>
      </c>
      <c r="C2" s="39" t="s">
        <v>138</v>
      </c>
      <c r="D2" s="40" t="s">
        <v>137</v>
      </c>
    </row>
    <row r="3" spans="1:6" x14ac:dyDescent="0.35">
      <c r="A3" t="s">
        <v>214</v>
      </c>
      <c r="B3" s="6">
        <f>D3/12</f>
        <v>6666.666666666667</v>
      </c>
      <c r="C3" s="6">
        <f>D3/4</f>
        <v>20000</v>
      </c>
      <c r="D3" s="6">
        <v>80000</v>
      </c>
      <c r="F3" s="101"/>
    </row>
    <row r="4" spans="1:6" x14ac:dyDescent="0.35">
      <c r="A4" t="s">
        <v>657</v>
      </c>
      <c r="B4" s="6">
        <f t="shared" ref="B4:B7" si="0">D4/12</f>
        <v>10000</v>
      </c>
      <c r="C4" s="6">
        <f t="shared" ref="C4:C7" si="1">D4/4</f>
        <v>30000</v>
      </c>
      <c r="D4" s="6">
        <v>120000</v>
      </c>
      <c r="F4" s="101"/>
    </row>
    <row r="5" spans="1:6" x14ac:dyDescent="0.35">
      <c r="A5" t="s">
        <v>270</v>
      </c>
      <c r="B5" s="6">
        <f t="shared" si="0"/>
        <v>8000</v>
      </c>
      <c r="C5" s="6">
        <f t="shared" si="1"/>
        <v>24000</v>
      </c>
      <c r="D5" s="6">
        <f>8000*12</f>
        <v>96000</v>
      </c>
    </row>
    <row r="6" spans="1:6" x14ac:dyDescent="0.35">
      <c r="A6" t="s">
        <v>323</v>
      </c>
      <c r="B6" s="6">
        <f t="shared" si="0"/>
        <v>4000</v>
      </c>
      <c r="C6" s="6">
        <f t="shared" si="1"/>
        <v>12000</v>
      </c>
      <c r="D6" s="6">
        <f>4000*12</f>
        <v>48000</v>
      </c>
    </row>
    <row r="7" spans="1:6" x14ac:dyDescent="0.35">
      <c r="A7" t="s">
        <v>222</v>
      </c>
      <c r="B7" s="6">
        <f t="shared" si="0"/>
        <v>3200</v>
      </c>
      <c r="C7" s="6">
        <f t="shared" si="1"/>
        <v>9600</v>
      </c>
      <c r="D7" s="6">
        <f>3200*12</f>
        <v>38400</v>
      </c>
      <c r="F7" s="101"/>
    </row>
    <row r="8" spans="1:6" x14ac:dyDescent="0.35">
      <c r="A8" t="s">
        <v>49</v>
      </c>
      <c r="B8" s="6">
        <f t="shared" ref="B8:B12" si="2">D8/12</f>
        <v>25000</v>
      </c>
      <c r="C8" s="6">
        <f t="shared" ref="C8:C12" si="3">D8/4</f>
        <v>75000</v>
      </c>
      <c r="D8" s="6">
        <f>25000*12</f>
        <v>300000</v>
      </c>
      <c r="F8" s="101"/>
    </row>
    <row r="9" spans="1:6" x14ac:dyDescent="0.35">
      <c r="A9" t="s">
        <v>183</v>
      </c>
      <c r="B9" s="6">
        <f t="shared" si="2"/>
        <v>20000</v>
      </c>
      <c r="C9" s="6">
        <f t="shared" si="3"/>
        <v>60000</v>
      </c>
      <c r="D9" s="6">
        <f>20000*12</f>
        <v>240000</v>
      </c>
      <c r="F9" s="29"/>
    </row>
    <row r="10" spans="1:6" x14ac:dyDescent="0.35">
      <c r="A10" t="s">
        <v>659</v>
      </c>
      <c r="B10" s="6">
        <f t="shared" si="2"/>
        <v>1600</v>
      </c>
      <c r="C10" s="6">
        <f t="shared" si="3"/>
        <v>4800</v>
      </c>
      <c r="D10" s="6">
        <v>19200</v>
      </c>
      <c r="F10" s="29"/>
    </row>
    <row r="11" spans="1:6" x14ac:dyDescent="0.35">
      <c r="A11" t="s">
        <v>231</v>
      </c>
      <c r="B11" s="6">
        <f t="shared" si="2"/>
        <v>10000</v>
      </c>
      <c r="C11" s="6">
        <f t="shared" si="3"/>
        <v>30000</v>
      </c>
      <c r="D11" s="6">
        <f>10000*12</f>
        <v>120000</v>
      </c>
      <c r="F11" s="29"/>
    </row>
    <row r="12" spans="1:6" x14ac:dyDescent="0.35">
      <c r="A12" t="s">
        <v>660</v>
      </c>
      <c r="B12" s="6">
        <f t="shared" si="2"/>
        <v>20000</v>
      </c>
      <c r="C12" s="6">
        <f t="shared" si="3"/>
        <v>60000</v>
      </c>
      <c r="D12" s="6">
        <f>20000*12</f>
        <v>240000</v>
      </c>
      <c r="F12" s="29"/>
    </row>
    <row r="16" spans="1:6" ht="16" thickBot="1" x14ac:dyDescent="0.4">
      <c r="C16" s="14" t="s">
        <v>22</v>
      </c>
      <c r="D16" s="100">
        <f>SUM(D3:D12)</f>
        <v>1301600</v>
      </c>
      <c r="F16" s="6">
        <f>SUM(D3:D4,D7:D8)</f>
        <v>538400</v>
      </c>
    </row>
    <row r="17" ht="15" thickTop="1" x14ac:dyDescent="0.35"/>
  </sheetData>
  <mergeCells count="1">
    <mergeCell ref="A1:D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E7474-1308-4142-B406-0B6D17F16497}">
  <dimension ref="A1:E15"/>
  <sheetViews>
    <sheetView workbookViewId="0">
      <selection activeCell="F7" sqref="F7"/>
    </sheetView>
  </sheetViews>
  <sheetFormatPr defaultRowHeight="14.5" x14ac:dyDescent="0.35"/>
  <cols>
    <col min="1" max="1" width="16" bestFit="1" customWidth="1"/>
    <col min="2" max="2" width="15.08984375" bestFit="1" customWidth="1"/>
    <col min="3" max="3" width="16" bestFit="1" customWidth="1"/>
    <col min="4" max="4" width="13.453125" bestFit="1" customWidth="1"/>
  </cols>
  <sheetData>
    <row r="1" spans="1:5" x14ac:dyDescent="0.35">
      <c r="A1" s="107" t="s">
        <v>661</v>
      </c>
      <c r="B1" s="107"/>
      <c r="C1" s="107"/>
      <c r="D1" s="107"/>
    </row>
    <row r="2" spans="1:5" x14ac:dyDescent="0.35">
      <c r="A2" s="39" t="s">
        <v>140</v>
      </c>
      <c r="B2" s="39" t="s">
        <v>139</v>
      </c>
      <c r="C2" s="39" t="s">
        <v>138</v>
      </c>
      <c r="D2" s="40" t="s">
        <v>137</v>
      </c>
    </row>
    <row r="3" spans="1:5" x14ac:dyDescent="0.35">
      <c r="A3" t="s">
        <v>657</v>
      </c>
      <c r="B3" s="6">
        <f t="shared" ref="B3:B9" si="0">D3/12</f>
        <v>2500</v>
      </c>
      <c r="C3" s="6">
        <f t="shared" ref="C3:C9" si="1">D3/4</f>
        <v>7500</v>
      </c>
      <c r="D3" s="6">
        <v>30000</v>
      </c>
      <c r="E3" s="11"/>
    </row>
    <row r="4" spans="1:5" x14ac:dyDescent="0.35">
      <c r="A4" t="s">
        <v>270</v>
      </c>
      <c r="B4" s="6">
        <f t="shared" si="0"/>
        <v>2666.6666666666665</v>
      </c>
      <c r="C4" s="6">
        <f t="shared" si="1"/>
        <v>8000</v>
      </c>
      <c r="D4" s="6">
        <f>8000*4</f>
        <v>32000</v>
      </c>
      <c r="E4" s="11"/>
    </row>
    <row r="5" spans="1:5" x14ac:dyDescent="0.35">
      <c r="A5" t="s">
        <v>323</v>
      </c>
      <c r="B5" s="6">
        <f t="shared" si="0"/>
        <v>1333.3333333333333</v>
      </c>
      <c r="C5" s="6">
        <f t="shared" si="1"/>
        <v>4000</v>
      </c>
      <c r="D5" s="6">
        <f>4000*4</f>
        <v>16000</v>
      </c>
      <c r="E5" s="11"/>
    </row>
    <row r="6" spans="1:5" x14ac:dyDescent="0.35">
      <c r="A6" t="s">
        <v>49</v>
      </c>
      <c r="B6" s="6">
        <f t="shared" si="0"/>
        <v>8333.3333333333339</v>
      </c>
      <c r="C6" s="6">
        <f t="shared" si="1"/>
        <v>25000</v>
      </c>
      <c r="D6" s="6">
        <f>25000*4</f>
        <v>100000</v>
      </c>
      <c r="E6" s="21"/>
    </row>
    <row r="7" spans="1:5" x14ac:dyDescent="0.35">
      <c r="A7" t="s">
        <v>183</v>
      </c>
      <c r="B7" s="6">
        <f t="shared" si="0"/>
        <v>6666.666666666667</v>
      </c>
      <c r="C7" s="6">
        <f t="shared" si="1"/>
        <v>20000</v>
      </c>
      <c r="D7" s="6">
        <f>20000*4</f>
        <v>80000</v>
      </c>
      <c r="E7" s="21"/>
    </row>
    <row r="8" spans="1:5" x14ac:dyDescent="0.35">
      <c r="A8" t="s">
        <v>231</v>
      </c>
      <c r="B8" s="6">
        <f t="shared" si="0"/>
        <v>3333.3333333333335</v>
      </c>
      <c r="C8" s="6">
        <f t="shared" si="1"/>
        <v>10000</v>
      </c>
      <c r="D8" s="6">
        <f>10000*4</f>
        <v>40000</v>
      </c>
      <c r="E8" s="21"/>
    </row>
    <row r="9" spans="1:5" x14ac:dyDescent="0.35">
      <c r="A9" t="s">
        <v>660</v>
      </c>
      <c r="B9" s="6">
        <f t="shared" si="0"/>
        <v>6666.666666666667</v>
      </c>
      <c r="C9" s="6">
        <f t="shared" si="1"/>
        <v>20000</v>
      </c>
      <c r="D9" s="6">
        <f>20000*4</f>
        <v>80000</v>
      </c>
      <c r="E9" s="21"/>
    </row>
    <row r="10" spans="1:5" x14ac:dyDescent="0.35">
      <c r="A10" t="s">
        <v>580</v>
      </c>
      <c r="B10" s="6">
        <f t="shared" ref="B10" si="2">D10/12</f>
        <v>3333.3333333333335</v>
      </c>
      <c r="C10" s="6">
        <f t="shared" ref="C10" si="3">D10/4</f>
        <v>10000</v>
      </c>
      <c r="D10" s="6">
        <v>40000</v>
      </c>
      <c r="E10" s="21"/>
    </row>
    <row r="11" spans="1:5" x14ac:dyDescent="0.35">
      <c r="A11" t="s">
        <v>662</v>
      </c>
      <c r="B11" s="6">
        <f t="shared" ref="B11" si="4">D11/12</f>
        <v>8333.3333333333339</v>
      </c>
      <c r="C11" s="6">
        <f t="shared" ref="C11" si="5">D11/4</f>
        <v>25000</v>
      </c>
      <c r="D11" s="6">
        <v>100000</v>
      </c>
      <c r="E11" s="21"/>
    </row>
    <row r="12" spans="1:5" x14ac:dyDescent="0.35">
      <c r="A12" t="s">
        <v>665</v>
      </c>
      <c r="B12" s="6">
        <f t="shared" ref="B12" si="6">D12/12</f>
        <v>4166.666666666667</v>
      </c>
      <c r="C12" s="6">
        <f t="shared" ref="C12" si="7">D12/4</f>
        <v>12500</v>
      </c>
      <c r="D12" s="6">
        <v>50000</v>
      </c>
      <c r="E12" s="21"/>
    </row>
    <row r="14" spans="1:5" ht="16" thickBot="1" x14ac:dyDescent="0.4">
      <c r="C14" s="14" t="s">
        <v>22</v>
      </c>
      <c r="D14" s="100">
        <f>SUM(D3:D12)</f>
        <v>568000</v>
      </c>
    </row>
    <row r="15" spans="1:5" ht="15" thickTop="1" x14ac:dyDescent="0.35"/>
  </sheetData>
  <mergeCells count="1">
    <mergeCell ref="A1:D1"/>
  </mergeCells>
  <pageMargins left="0.7" right="0.7" top="0.75" bottom="0.75" header="0.3" footer="0.3"/>
  <ignoredErrors>
    <ignoredError sqref="D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F2:H24"/>
  <sheetViews>
    <sheetView topLeftCell="F1" workbookViewId="0">
      <selection activeCell="G16" sqref="G16"/>
    </sheetView>
  </sheetViews>
  <sheetFormatPr defaultRowHeight="14.5" x14ac:dyDescent="0.35"/>
  <cols>
    <col min="6" max="6" width="20.453125" customWidth="1"/>
    <col min="7" max="7" width="13" customWidth="1"/>
    <col min="8" max="8" width="28.54296875" customWidth="1"/>
  </cols>
  <sheetData>
    <row r="2" spans="6:8" x14ac:dyDescent="0.35">
      <c r="F2" s="110" t="s">
        <v>31</v>
      </c>
      <c r="G2" s="110"/>
      <c r="H2" s="110"/>
    </row>
    <row r="3" spans="6:8" x14ac:dyDescent="0.35">
      <c r="F3" s="17" t="s">
        <v>33</v>
      </c>
      <c r="G3" s="17" t="s">
        <v>17</v>
      </c>
      <c r="H3" s="17" t="s">
        <v>32</v>
      </c>
    </row>
    <row r="4" spans="6:8" x14ac:dyDescent="0.35">
      <c r="F4" s="8" t="s">
        <v>30</v>
      </c>
      <c r="G4" s="16">
        <v>6800</v>
      </c>
      <c r="H4" s="16">
        <v>100000</v>
      </c>
    </row>
    <row r="5" spans="6:8" x14ac:dyDescent="0.35">
      <c r="F5" t="s">
        <v>44</v>
      </c>
      <c r="G5" s="1">
        <v>30000</v>
      </c>
      <c r="H5" s="16"/>
    </row>
    <row r="6" spans="6:8" x14ac:dyDescent="0.35">
      <c r="F6" s="8"/>
      <c r="G6" s="16"/>
      <c r="H6" s="16"/>
    </row>
    <row r="7" spans="6:8" x14ac:dyDescent="0.35">
      <c r="F7" s="8"/>
      <c r="G7" s="16"/>
      <c r="H7" s="16"/>
    </row>
    <row r="8" spans="6:8" x14ac:dyDescent="0.35">
      <c r="F8" s="8"/>
      <c r="G8" s="16"/>
      <c r="H8" s="16"/>
    </row>
    <row r="9" spans="6:8" x14ac:dyDescent="0.35">
      <c r="F9" s="8"/>
      <c r="G9" s="16"/>
      <c r="H9" s="16"/>
    </row>
    <row r="10" spans="6:8" x14ac:dyDescent="0.35">
      <c r="F10" s="8"/>
      <c r="G10" s="16"/>
      <c r="H10" s="16"/>
    </row>
    <row r="11" spans="6:8" x14ac:dyDescent="0.35">
      <c r="F11" s="8"/>
      <c r="G11" s="16"/>
      <c r="H11" s="16"/>
    </row>
    <row r="12" spans="6:8" x14ac:dyDescent="0.35">
      <c r="F12" s="8"/>
      <c r="G12" s="16"/>
      <c r="H12" s="16"/>
    </row>
    <row r="13" spans="6:8" x14ac:dyDescent="0.35">
      <c r="F13" s="8"/>
      <c r="G13" s="16"/>
      <c r="H13" s="16"/>
    </row>
    <row r="14" spans="6:8" x14ac:dyDescent="0.35">
      <c r="G14" s="6"/>
      <c r="H14" s="6"/>
    </row>
    <row r="15" spans="6:8" x14ac:dyDescent="0.35">
      <c r="F15" s="8" t="s">
        <v>22</v>
      </c>
      <c r="G15" s="16">
        <f>SUM(G4:G13)</f>
        <v>36800</v>
      </c>
      <c r="H15" s="6"/>
    </row>
    <row r="16" spans="6:8" x14ac:dyDescent="0.35">
      <c r="F16" s="8" t="s">
        <v>34</v>
      </c>
      <c r="G16" s="16">
        <f>H4-G15</f>
        <v>63200</v>
      </c>
      <c r="H16" s="6"/>
    </row>
    <row r="17" spans="7:8" x14ac:dyDescent="0.35">
      <c r="G17" s="6"/>
      <c r="H17" s="6"/>
    </row>
    <row r="18" spans="7:8" x14ac:dyDescent="0.35">
      <c r="G18" s="6"/>
      <c r="H18" s="6"/>
    </row>
    <row r="19" spans="7:8" x14ac:dyDescent="0.35">
      <c r="G19" s="6"/>
      <c r="H19" s="6"/>
    </row>
    <row r="20" spans="7:8" x14ac:dyDescent="0.35">
      <c r="G20" s="6"/>
      <c r="H20" s="6"/>
    </row>
    <row r="21" spans="7:8" x14ac:dyDescent="0.35">
      <c r="G21" s="6"/>
      <c r="H21" s="6"/>
    </row>
    <row r="22" spans="7:8" x14ac:dyDescent="0.35">
      <c r="G22" s="6"/>
      <c r="H22" s="6"/>
    </row>
    <row r="23" spans="7:8" x14ac:dyDescent="0.35">
      <c r="G23" s="6"/>
      <c r="H23" s="6"/>
    </row>
    <row r="24" spans="7:8" x14ac:dyDescent="0.35">
      <c r="G24" s="6"/>
      <c r="H24" s="6"/>
    </row>
  </sheetData>
  <mergeCells count="1">
    <mergeCell ref="F2:H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M19"/>
  <sheetViews>
    <sheetView topLeftCell="B1" workbookViewId="0">
      <selection activeCell="I26" sqref="I26"/>
    </sheetView>
  </sheetViews>
  <sheetFormatPr defaultRowHeight="14.5" x14ac:dyDescent="0.35"/>
  <cols>
    <col min="2" max="2" width="9.90625" bestFit="1" customWidth="1"/>
    <col min="3" max="3" width="11.1796875" bestFit="1" customWidth="1"/>
    <col min="4" max="4" width="11.54296875" bestFit="1" customWidth="1"/>
    <col min="5" max="5" width="10.6328125" bestFit="1" customWidth="1"/>
    <col min="6" max="6" width="11.54296875" bestFit="1" customWidth="1"/>
    <col min="7" max="7" width="12.6328125" bestFit="1" customWidth="1"/>
    <col min="8" max="8" width="9.6328125" bestFit="1" customWidth="1"/>
    <col min="11" max="11" width="13.26953125" bestFit="1" customWidth="1"/>
    <col min="12" max="12" width="11.1796875" bestFit="1" customWidth="1"/>
    <col min="13" max="13" width="10.7265625" bestFit="1" customWidth="1"/>
  </cols>
  <sheetData>
    <row r="3" spans="2:13" ht="15.5" x14ac:dyDescent="0.35">
      <c r="B3" s="14" t="s">
        <v>13</v>
      </c>
      <c r="C3" s="14" t="s">
        <v>11</v>
      </c>
      <c r="D3" s="14" t="s">
        <v>12</v>
      </c>
      <c r="F3" s="14" t="s">
        <v>15</v>
      </c>
      <c r="G3" s="14" t="s">
        <v>17</v>
      </c>
      <c r="H3" s="14" t="s">
        <v>12</v>
      </c>
      <c r="J3" s="15" t="s">
        <v>15</v>
      </c>
      <c r="K3" s="15" t="s">
        <v>16</v>
      </c>
      <c r="L3" s="15" t="s">
        <v>17</v>
      </c>
      <c r="M3" s="15" t="s">
        <v>12</v>
      </c>
    </row>
    <row r="4" spans="2:13" x14ac:dyDescent="0.35">
      <c r="B4" s="11" t="s">
        <v>14</v>
      </c>
      <c r="C4" s="12">
        <v>100000</v>
      </c>
      <c r="D4" s="13">
        <v>44136</v>
      </c>
      <c r="F4" s="11" t="s">
        <v>21</v>
      </c>
      <c r="G4" s="12">
        <v>99181.65</v>
      </c>
      <c r="H4" s="13">
        <v>44136</v>
      </c>
      <c r="J4" s="11" t="s">
        <v>18</v>
      </c>
      <c r="K4" s="11" t="s">
        <v>19</v>
      </c>
      <c r="L4" s="12">
        <v>200638.21</v>
      </c>
      <c r="M4" s="13">
        <v>44105</v>
      </c>
    </row>
    <row r="5" spans="2:13" x14ac:dyDescent="0.35">
      <c r="B5" s="11" t="s">
        <v>14</v>
      </c>
      <c r="C5" s="12">
        <v>100000</v>
      </c>
      <c r="D5" s="13">
        <v>44166</v>
      </c>
      <c r="F5" s="11" t="s">
        <v>21</v>
      </c>
      <c r="G5" s="12">
        <v>168350</v>
      </c>
      <c r="H5" s="13">
        <v>44166</v>
      </c>
      <c r="J5" s="11" t="s">
        <v>18</v>
      </c>
      <c r="K5" s="11" t="s">
        <v>20</v>
      </c>
      <c r="L5" s="12">
        <v>150249.07</v>
      </c>
      <c r="M5" s="13">
        <v>44106</v>
      </c>
    </row>
    <row r="6" spans="2:13" x14ac:dyDescent="0.35">
      <c r="B6" s="11" t="s">
        <v>14</v>
      </c>
      <c r="C6" s="12">
        <v>100000</v>
      </c>
      <c r="D6" s="13">
        <v>44197</v>
      </c>
      <c r="F6" s="11" t="s">
        <v>21</v>
      </c>
      <c r="G6" s="12">
        <v>20000</v>
      </c>
      <c r="H6" s="13">
        <v>44197</v>
      </c>
      <c r="J6" s="11" t="s">
        <v>18</v>
      </c>
      <c r="K6" s="11" t="s">
        <v>19</v>
      </c>
      <c r="L6" s="12">
        <v>194013.86</v>
      </c>
      <c r="M6" s="13">
        <v>44136</v>
      </c>
    </row>
    <row r="7" spans="2:13" x14ac:dyDescent="0.35">
      <c r="B7" s="11" t="s">
        <v>14</v>
      </c>
      <c r="C7" s="12">
        <v>100000</v>
      </c>
      <c r="D7" s="13">
        <v>44228</v>
      </c>
      <c r="F7" s="11" t="s">
        <v>21</v>
      </c>
      <c r="G7" s="12">
        <v>30000</v>
      </c>
      <c r="H7" s="13">
        <v>44228</v>
      </c>
      <c r="J7" s="11" t="s">
        <v>18</v>
      </c>
      <c r="K7" s="11" t="s">
        <v>20</v>
      </c>
      <c r="L7" s="12">
        <v>150249.07</v>
      </c>
      <c r="M7" s="13">
        <v>44137</v>
      </c>
    </row>
    <row r="8" spans="2:13" x14ac:dyDescent="0.35">
      <c r="B8" s="11" t="s">
        <v>14</v>
      </c>
      <c r="C8" s="12">
        <v>100000</v>
      </c>
      <c r="D8" s="13">
        <v>44256</v>
      </c>
      <c r="F8" s="11" t="s">
        <v>21</v>
      </c>
      <c r="G8" s="12">
        <v>120000</v>
      </c>
      <c r="H8" s="13">
        <v>44256</v>
      </c>
      <c r="J8" s="11" t="s">
        <v>18</v>
      </c>
      <c r="K8" s="11" t="s">
        <v>19</v>
      </c>
      <c r="L8" s="12">
        <v>56000</v>
      </c>
      <c r="M8" s="13">
        <v>44166</v>
      </c>
    </row>
    <row r="9" spans="2:13" x14ac:dyDescent="0.35">
      <c r="B9" s="11" t="s">
        <v>14</v>
      </c>
      <c r="C9" s="12">
        <v>100000</v>
      </c>
      <c r="D9" s="13">
        <v>44287</v>
      </c>
      <c r="F9" s="11" t="s">
        <v>21</v>
      </c>
      <c r="G9" s="12">
        <v>40000</v>
      </c>
      <c r="H9" s="13">
        <v>44287</v>
      </c>
      <c r="J9" s="11" t="s">
        <v>18</v>
      </c>
      <c r="K9" s="11" t="s">
        <v>20</v>
      </c>
      <c r="L9" s="12">
        <v>350000</v>
      </c>
      <c r="M9" s="13">
        <v>44166</v>
      </c>
    </row>
    <row r="10" spans="2:13" x14ac:dyDescent="0.35">
      <c r="J10" s="11" t="s">
        <v>18</v>
      </c>
      <c r="K10" s="11" t="s">
        <v>19</v>
      </c>
      <c r="L10" s="12">
        <v>50000</v>
      </c>
      <c r="M10" s="13">
        <v>44197</v>
      </c>
    </row>
    <row r="11" spans="2:13" x14ac:dyDescent="0.35">
      <c r="J11" s="11" t="s">
        <v>18</v>
      </c>
      <c r="K11" s="11" t="s">
        <v>20</v>
      </c>
      <c r="L11" s="12">
        <v>400000</v>
      </c>
      <c r="M11" s="13">
        <v>44198</v>
      </c>
    </row>
    <row r="12" spans="2:13" x14ac:dyDescent="0.35">
      <c r="J12" s="11" t="s">
        <v>18</v>
      </c>
      <c r="K12" s="11" t="s">
        <v>19</v>
      </c>
      <c r="L12" s="12">
        <v>46000</v>
      </c>
      <c r="M12" s="13">
        <v>44228</v>
      </c>
    </row>
    <row r="13" spans="2:13" ht="15.5" x14ac:dyDescent="0.35">
      <c r="E13" s="7" t="s">
        <v>15</v>
      </c>
      <c r="F13" s="7" t="s">
        <v>17</v>
      </c>
      <c r="G13" s="7" t="s">
        <v>12</v>
      </c>
      <c r="J13" s="11" t="s">
        <v>18</v>
      </c>
      <c r="K13" s="11" t="s">
        <v>20</v>
      </c>
      <c r="L13" s="12">
        <v>400000</v>
      </c>
      <c r="M13" s="13">
        <v>44229</v>
      </c>
    </row>
    <row r="14" spans="2:13" x14ac:dyDescent="0.35">
      <c r="E14" s="8" t="s">
        <v>23</v>
      </c>
      <c r="F14" s="10">
        <v>10000</v>
      </c>
      <c r="G14" s="9">
        <v>44136</v>
      </c>
      <c r="J14" s="11" t="s">
        <v>18</v>
      </c>
      <c r="K14" s="11" t="s">
        <v>19</v>
      </c>
      <c r="L14" s="12">
        <v>46000</v>
      </c>
      <c r="M14" s="13">
        <v>44256</v>
      </c>
    </row>
    <row r="15" spans="2:13" x14ac:dyDescent="0.35">
      <c r="E15" s="8" t="s">
        <v>23</v>
      </c>
      <c r="F15" s="10">
        <v>10000</v>
      </c>
      <c r="G15" s="9">
        <v>44166</v>
      </c>
      <c r="J15" s="11" t="s">
        <v>18</v>
      </c>
      <c r="K15" s="11" t="s">
        <v>20</v>
      </c>
      <c r="L15" s="12">
        <v>400000</v>
      </c>
      <c r="M15" s="13">
        <v>44257</v>
      </c>
    </row>
    <row r="16" spans="2:13" x14ac:dyDescent="0.35">
      <c r="D16" s="19">
        <v>65000</v>
      </c>
      <c r="E16" s="8" t="s">
        <v>23</v>
      </c>
      <c r="F16" s="10">
        <v>10000</v>
      </c>
      <c r="G16" s="9">
        <v>44197</v>
      </c>
      <c r="J16" s="11" t="s">
        <v>18</v>
      </c>
      <c r="K16" s="11" t="s">
        <v>19</v>
      </c>
      <c r="L16" s="12">
        <v>13730</v>
      </c>
      <c r="M16" s="13">
        <v>44287</v>
      </c>
    </row>
    <row r="17" spans="4:13" x14ac:dyDescent="0.35">
      <c r="E17" s="8" t="s">
        <v>23</v>
      </c>
      <c r="F17" s="10">
        <v>10000</v>
      </c>
      <c r="G17" s="9">
        <v>44228</v>
      </c>
      <c r="J17" s="11" t="s">
        <v>18</v>
      </c>
      <c r="K17" s="11" t="s">
        <v>20</v>
      </c>
      <c r="L17" s="12">
        <v>540654</v>
      </c>
      <c r="M17" s="13">
        <v>44288</v>
      </c>
    </row>
    <row r="18" spans="4:13" x14ac:dyDescent="0.35">
      <c r="E18" s="8" t="s">
        <v>23</v>
      </c>
      <c r="F18" s="10">
        <v>10000</v>
      </c>
      <c r="G18" s="9">
        <v>44256</v>
      </c>
    </row>
    <row r="19" spans="4:13" x14ac:dyDescent="0.35">
      <c r="D19" s="19">
        <v>45000</v>
      </c>
      <c r="E19" s="8" t="s">
        <v>23</v>
      </c>
      <c r="F19" s="10">
        <v>10000</v>
      </c>
      <c r="G19" s="9">
        <v>44287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R55"/>
  <sheetViews>
    <sheetView workbookViewId="0">
      <selection activeCell="G47" sqref="G47"/>
    </sheetView>
  </sheetViews>
  <sheetFormatPr defaultRowHeight="14.5" x14ac:dyDescent="0.35"/>
  <cols>
    <col min="2" max="2" width="16.90625" bestFit="1" customWidth="1"/>
    <col min="3" max="3" width="13.7265625" bestFit="1" customWidth="1"/>
    <col min="4" max="4" width="11.54296875" bestFit="1" customWidth="1"/>
    <col min="5" max="5" width="11.54296875" customWidth="1"/>
    <col min="6" max="6" width="10.6328125" bestFit="1" customWidth="1"/>
    <col min="7" max="7" width="12.54296875" bestFit="1" customWidth="1"/>
    <col min="8" max="8" width="12.6328125" bestFit="1" customWidth="1"/>
    <col min="9" max="9" width="9.6328125" bestFit="1" customWidth="1"/>
    <col min="12" max="12" width="13.26953125" bestFit="1" customWidth="1"/>
    <col min="13" max="13" width="12.6328125" bestFit="1" customWidth="1"/>
    <col min="14" max="14" width="10.453125" bestFit="1" customWidth="1"/>
    <col min="16" max="16" width="17.1796875" customWidth="1"/>
    <col min="17" max="17" width="13.7265625" customWidth="1"/>
    <col min="18" max="18" width="12.90625" customWidth="1"/>
  </cols>
  <sheetData>
    <row r="3" spans="2:18" ht="15.5" x14ac:dyDescent="0.35">
      <c r="B3" s="14" t="s">
        <v>13</v>
      </c>
      <c r="C3" s="14" t="s">
        <v>11</v>
      </c>
      <c r="D3" s="14" t="s">
        <v>12</v>
      </c>
      <c r="E3" s="56"/>
      <c r="K3" s="15" t="s">
        <v>15</v>
      </c>
      <c r="L3" s="15" t="s">
        <v>16</v>
      </c>
      <c r="M3" s="15" t="s">
        <v>17</v>
      </c>
      <c r="N3" s="15" t="s">
        <v>12</v>
      </c>
      <c r="P3" s="14" t="s">
        <v>15</v>
      </c>
      <c r="Q3" s="14" t="s">
        <v>17</v>
      </c>
      <c r="R3" s="14" t="s">
        <v>12</v>
      </c>
    </row>
    <row r="4" spans="2:18" x14ac:dyDescent="0.35">
      <c r="B4" s="11" t="s">
        <v>101</v>
      </c>
      <c r="C4" s="19">
        <f>11363.64*23</f>
        <v>261363.71999999997</v>
      </c>
      <c r="D4" s="13">
        <v>44438</v>
      </c>
      <c r="E4" s="2"/>
      <c r="K4" s="11" t="s">
        <v>18</v>
      </c>
      <c r="L4" s="11" t="s">
        <v>19</v>
      </c>
      <c r="M4" s="12">
        <v>200638.21</v>
      </c>
      <c r="N4" s="13">
        <v>44105</v>
      </c>
      <c r="P4" s="11" t="s">
        <v>21</v>
      </c>
      <c r="Q4" s="12">
        <v>99181.65</v>
      </c>
      <c r="R4" s="13">
        <v>44136</v>
      </c>
    </row>
    <row r="5" spans="2:18" x14ac:dyDescent="0.35">
      <c r="B5" s="11" t="s">
        <v>101</v>
      </c>
      <c r="C5" s="19">
        <f>11363.64*20</f>
        <v>227272.8</v>
      </c>
      <c r="D5" s="13">
        <v>44461</v>
      </c>
      <c r="E5" s="2"/>
      <c r="G5" s="1"/>
      <c r="K5" s="11" t="s">
        <v>18</v>
      </c>
      <c r="L5" s="11" t="s">
        <v>20</v>
      </c>
      <c r="M5" s="12">
        <v>150249.07</v>
      </c>
      <c r="N5" s="13">
        <v>44106</v>
      </c>
      <c r="P5" s="11" t="s">
        <v>21</v>
      </c>
      <c r="Q5" s="12">
        <v>168350</v>
      </c>
      <c r="R5" s="13">
        <v>44166</v>
      </c>
    </row>
    <row r="6" spans="2:18" x14ac:dyDescent="0.35">
      <c r="B6" s="11" t="s">
        <v>101</v>
      </c>
      <c r="C6" s="19">
        <f>11363.64*20</f>
        <v>227272.8</v>
      </c>
      <c r="D6" s="13">
        <v>44470</v>
      </c>
      <c r="E6" s="2"/>
      <c r="G6" s="24"/>
      <c r="K6" s="11" t="s">
        <v>18</v>
      </c>
      <c r="L6" s="11" t="s">
        <v>19</v>
      </c>
      <c r="M6" s="12">
        <v>194013.86</v>
      </c>
      <c r="N6" s="13">
        <v>44136</v>
      </c>
      <c r="P6" s="11" t="s">
        <v>21</v>
      </c>
      <c r="Q6" s="12">
        <v>20000</v>
      </c>
      <c r="R6" s="13">
        <v>44197</v>
      </c>
    </row>
    <row r="7" spans="2:18" x14ac:dyDescent="0.35">
      <c r="B7" s="11" t="s">
        <v>101</v>
      </c>
      <c r="C7" s="19">
        <f>11363.64*24</f>
        <v>272727.36</v>
      </c>
      <c r="D7" s="13">
        <v>44501</v>
      </c>
      <c r="E7" s="2"/>
      <c r="K7" s="11" t="s">
        <v>18</v>
      </c>
      <c r="L7" s="11" t="s">
        <v>20</v>
      </c>
      <c r="M7" s="12">
        <v>150249.07</v>
      </c>
      <c r="N7" s="13">
        <v>44137</v>
      </c>
      <c r="P7" s="11" t="s">
        <v>21</v>
      </c>
      <c r="Q7" s="12">
        <v>30000</v>
      </c>
      <c r="R7" s="13">
        <v>44228</v>
      </c>
    </row>
    <row r="8" spans="2:18" x14ac:dyDescent="0.35">
      <c r="B8" s="11" t="s">
        <v>101</v>
      </c>
      <c r="C8" s="19">
        <v>238000</v>
      </c>
      <c r="D8" s="13">
        <v>44531</v>
      </c>
      <c r="E8" s="2"/>
      <c r="G8" s="24"/>
      <c r="K8" s="11" t="s">
        <v>18</v>
      </c>
      <c r="L8" s="11" t="s">
        <v>19</v>
      </c>
      <c r="M8" s="12">
        <v>56000</v>
      </c>
      <c r="N8" s="13">
        <v>44166</v>
      </c>
      <c r="P8" s="11" t="s">
        <v>21</v>
      </c>
      <c r="Q8" s="12">
        <v>120000</v>
      </c>
      <c r="R8" s="13">
        <v>44256</v>
      </c>
    </row>
    <row r="9" spans="2:18" x14ac:dyDescent="0.35">
      <c r="B9" s="11" t="s">
        <v>101</v>
      </c>
      <c r="C9" s="19">
        <v>205000</v>
      </c>
      <c r="D9" s="13">
        <v>44562</v>
      </c>
      <c r="E9" s="2"/>
      <c r="K9" s="11" t="s">
        <v>18</v>
      </c>
      <c r="L9" s="11" t="s">
        <v>20</v>
      </c>
      <c r="M9" s="12">
        <v>350000</v>
      </c>
      <c r="N9" s="13">
        <v>44166</v>
      </c>
      <c r="P9" s="11" t="s">
        <v>21</v>
      </c>
      <c r="Q9" s="12">
        <v>40000</v>
      </c>
      <c r="R9" s="13">
        <v>44287</v>
      </c>
    </row>
    <row r="10" spans="2:18" x14ac:dyDescent="0.35">
      <c r="B10" s="11" t="s">
        <v>101</v>
      </c>
      <c r="C10" s="19">
        <v>284091</v>
      </c>
      <c r="D10" s="13">
        <v>44593</v>
      </c>
      <c r="E10" s="2"/>
      <c r="K10" s="11" t="s">
        <v>18</v>
      </c>
      <c r="L10" s="11" t="s">
        <v>19</v>
      </c>
      <c r="M10" s="12">
        <v>50000</v>
      </c>
      <c r="N10" s="13">
        <v>44197</v>
      </c>
      <c r="P10" s="11" t="s">
        <v>21</v>
      </c>
      <c r="Q10" s="12">
        <v>7000</v>
      </c>
      <c r="R10" s="13">
        <v>44318</v>
      </c>
    </row>
    <row r="11" spans="2:18" x14ac:dyDescent="0.35">
      <c r="B11" s="11" t="s">
        <v>101</v>
      </c>
      <c r="C11" s="19">
        <v>215909</v>
      </c>
      <c r="D11" s="13">
        <v>44621</v>
      </c>
      <c r="E11" s="2"/>
      <c r="K11" s="11" t="s">
        <v>18</v>
      </c>
      <c r="L11" s="11" t="s">
        <v>20</v>
      </c>
      <c r="M11" s="12">
        <v>400000</v>
      </c>
      <c r="N11" s="13">
        <v>44198</v>
      </c>
      <c r="P11" s="11" t="s">
        <v>21</v>
      </c>
      <c r="Q11" s="12">
        <v>14000</v>
      </c>
      <c r="R11" s="13">
        <v>44350</v>
      </c>
    </row>
    <row r="12" spans="2:18" x14ac:dyDescent="0.35">
      <c r="B12" s="11" t="s">
        <v>101</v>
      </c>
      <c r="C12" s="19">
        <v>215909</v>
      </c>
      <c r="D12" s="13">
        <v>44653</v>
      </c>
      <c r="E12" s="2"/>
      <c r="K12" s="11" t="s">
        <v>18</v>
      </c>
      <c r="L12" s="11" t="s">
        <v>19</v>
      </c>
      <c r="M12" s="12">
        <v>46000</v>
      </c>
      <c r="N12" s="13">
        <v>44228</v>
      </c>
      <c r="P12" s="11" t="s">
        <v>21</v>
      </c>
      <c r="Q12" s="12">
        <v>10000</v>
      </c>
      <c r="R12" s="13">
        <v>44381</v>
      </c>
    </row>
    <row r="13" spans="2:18" ht="15.5" x14ac:dyDescent="0.35">
      <c r="B13" s="11" t="s">
        <v>101</v>
      </c>
      <c r="C13" s="19">
        <v>272717</v>
      </c>
      <c r="D13" s="13">
        <v>44684</v>
      </c>
      <c r="E13" s="2"/>
      <c r="F13" s="7" t="s">
        <v>15</v>
      </c>
      <c r="G13" s="7" t="s">
        <v>17</v>
      </c>
      <c r="H13" s="7" t="s">
        <v>12</v>
      </c>
      <c r="K13" s="11" t="s">
        <v>18</v>
      </c>
      <c r="L13" s="11" t="s">
        <v>20</v>
      </c>
      <c r="M13" s="12">
        <v>400000</v>
      </c>
      <c r="N13" s="13">
        <v>44229</v>
      </c>
      <c r="P13" s="11" t="s">
        <v>21</v>
      </c>
      <c r="Q13" s="12">
        <v>10001</v>
      </c>
      <c r="R13" s="13">
        <v>44413</v>
      </c>
    </row>
    <row r="14" spans="2:18" x14ac:dyDescent="0.35">
      <c r="B14" s="11" t="s">
        <v>101</v>
      </c>
      <c r="C14" s="19">
        <v>250000</v>
      </c>
      <c r="D14" s="13">
        <v>44716</v>
      </c>
      <c r="E14" s="2"/>
      <c r="F14" s="8" t="s">
        <v>23</v>
      </c>
      <c r="G14" s="10">
        <v>10000</v>
      </c>
      <c r="H14" s="9">
        <v>44136</v>
      </c>
      <c r="K14" s="11" t="s">
        <v>18</v>
      </c>
      <c r="L14" s="11" t="s">
        <v>19</v>
      </c>
      <c r="M14" s="12">
        <v>46000</v>
      </c>
      <c r="N14" s="13">
        <v>44256</v>
      </c>
      <c r="P14" s="11" t="s">
        <v>21</v>
      </c>
      <c r="Q14" s="12">
        <v>1000</v>
      </c>
      <c r="R14" s="13">
        <v>44445</v>
      </c>
    </row>
    <row r="15" spans="2:18" x14ac:dyDescent="0.35">
      <c r="B15" s="11" t="s">
        <v>101</v>
      </c>
      <c r="C15" s="19">
        <v>238000</v>
      </c>
      <c r="D15" s="13">
        <v>44747</v>
      </c>
      <c r="E15" s="2"/>
      <c r="F15" s="8" t="s">
        <v>23</v>
      </c>
      <c r="G15" s="10">
        <v>10000</v>
      </c>
      <c r="H15" s="9">
        <v>44166</v>
      </c>
      <c r="K15" s="11" t="s">
        <v>18</v>
      </c>
      <c r="L15" s="11" t="s">
        <v>20</v>
      </c>
      <c r="M15" s="12">
        <v>400000</v>
      </c>
      <c r="N15" s="13">
        <v>44257</v>
      </c>
    </row>
    <row r="16" spans="2:18" x14ac:dyDescent="0.35">
      <c r="B16" s="11" t="s">
        <v>101</v>
      </c>
      <c r="C16" s="37">
        <f>11363.64*21</f>
        <v>238636.44</v>
      </c>
      <c r="D16" s="13">
        <v>44778</v>
      </c>
      <c r="E16" s="27"/>
      <c r="F16" s="8" t="s">
        <v>23</v>
      </c>
      <c r="G16" s="10">
        <v>10000</v>
      </c>
      <c r="H16" s="9">
        <v>44197</v>
      </c>
      <c r="K16" s="11" t="s">
        <v>18</v>
      </c>
      <c r="L16" s="11" t="s">
        <v>19</v>
      </c>
      <c r="M16" s="12">
        <v>13730</v>
      </c>
      <c r="N16" s="13">
        <v>44287</v>
      </c>
    </row>
    <row r="17" spans="2:14" x14ac:dyDescent="0.35">
      <c r="B17" s="11" t="s">
        <v>101</v>
      </c>
      <c r="C17" s="37">
        <f>11363.64*21</f>
        <v>238636.44</v>
      </c>
      <c r="D17" s="13">
        <v>44809</v>
      </c>
      <c r="F17" s="8" t="s">
        <v>23</v>
      </c>
      <c r="G17" s="10">
        <v>10000</v>
      </c>
      <c r="H17" s="9">
        <v>44228</v>
      </c>
      <c r="K17" s="11" t="s">
        <v>18</v>
      </c>
      <c r="L17" s="11" t="s">
        <v>20</v>
      </c>
      <c r="M17" s="12">
        <v>540654</v>
      </c>
      <c r="N17" s="13">
        <v>44288</v>
      </c>
    </row>
    <row r="18" spans="2:14" x14ac:dyDescent="0.35">
      <c r="B18" s="11" t="s">
        <v>101</v>
      </c>
      <c r="C18" s="37">
        <f>11363.64*19</f>
        <v>215909.15999999997</v>
      </c>
      <c r="D18" s="13">
        <v>44839</v>
      </c>
      <c r="F18" s="8" t="s">
        <v>23</v>
      </c>
      <c r="G18" s="10">
        <v>10000</v>
      </c>
      <c r="H18" s="9">
        <v>44256</v>
      </c>
      <c r="K18" s="11" t="s">
        <v>18</v>
      </c>
      <c r="L18" s="11" t="s">
        <v>19</v>
      </c>
      <c r="M18" s="12">
        <f>M16</f>
        <v>13730</v>
      </c>
      <c r="N18" s="13">
        <v>44319</v>
      </c>
    </row>
    <row r="19" spans="2:14" x14ac:dyDescent="0.35">
      <c r="B19" s="11" t="s">
        <v>101</v>
      </c>
      <c r="C19" s="19">
        <v>113630</v>
      </c>
      <c r="D19" s="13">
        <v>44870</v>
      </c>
      <c r="E19" s="27"/>
      <c r="F19" s="8" t="s">
        <v>23</v>
      </c>
      <c r="G19" s="10">
        <v>10000</v>
      </c>
      <c r="H19" s="9">
        <v>44287</v>
      </c>
      <c r="K19" s="11" t="s">
        <v>18</v>
      </c>
      <c r="L19" s="11" t="s">
        <v>20</v>
      </c>
      <c r="M19" s="12">
        <f>M17</f>
        <v>540654</v>
      </c>
      <c r="N19" s="13">
        <v>44320</v>
      </c>
    </row>
    <row r="20" spans="2:14" x14ac:dyDescent="0.35">
      <c r="F20" s="8" t="s">
        <v>23</v>
      </c>
      <c r="G20" s="10">
        <v>0</v>
      </c>
      <c r="H20" s="9">
        <v>44317</v>
      </c>
      <c r="K20" s="11" t="s">
        <v>18</v>
      </c>
      <c r="L20" s="11" t="s">
        <v>19</v>
      </c>
      <c r="M20" s="12">
        <v>1706</v>
      </c>
      <c r="N20" s="13">
        <v>44352</v>
      </c>
    </row>
    <row r="21" spans="2:14" x14ac:dyDescent="0.35">
      <c r="D21" s="27"/>
      <c r="E21" s="27"/>
      <c r="F21" s="8" t="s">
        <v>23</v>
      </c>
      <c r="G21" s="10">
        <v>0</v>
      </c>
      <c r="H21" s="9">
        <v>44349</v>
      </c>
      <c r="K21" s="11" t="s">
        <v>18</v>
      </c>
      <c r="L21" s="11" t="s">
        <v>20</v>
      </c>
      <c r="M21" s="12">
        <f>M19</f>
        <v>540654</v>
      </c>
      <c r="N21" s="13">
        <v>44353</v>
      </c>
    </row>
    <row r="22" spans="2:14" x14ac:dyDescent="0.35">
      <c r="F22" s="8" t="s">
        <v>23</v>
      </c>
      <c r="G22" s="10">
        <v>0</v>
      </c>
      <c r="H22" s="9">
        <v>44380</v>
      </c>
      <c r="K22" s="11" t="s">
        <v>18</v>
      </c>
      <c r="L22" s="11" t="s">
        <v>19</v>
      </c>
      <c r="M22" s="12">
        <v>3707</v>
      </c>
      <c r="N22" s="13">
        <v>44384</v>
      </c>
    </row>
    <row r="23" spans="2:14" x14ac:dyDescent="0.35">
      <c r="F23" s="8" t="s">
        <v>23</v>
      </c>
      <c r="G23" s="10">
        <v>0</v>
      </c>
      <c r="H23" s="9">
        <v>44412</v>
      </c>
      <c r="K23" s="11" t="s">
        <v>18</v>
      </c>
      <c r="L23" s="11" t="s">
        <v>20</v>
      </c>
      <c r="M23" s="12">
        <f>M21</f>
        <v>540654</v>
      </c>
      <c r="N23" s="13">
        <v>44385</v>
      </c>
    </row>
    <row r="24" spans="2:14" x14ac:dyDescent="0.35">
      <c r="F24" s="8" t="s">
        <v>23</v>
      </c>
      <c r="G24" s="10">
        <v>14000</v>
      </c>
      <c r="H24" s="9">
        <v>44444</v>
      </c>
      <c r="K24" s="11" t="s">
        <v>18</v>
      </c>
      <c r="L24" s="11" t="s">
        <v>19</v>
      </c>
      <c r="M24" s="12">
        <v>3708</v>
      </c>
      <c r="N24" s="13">
        <v>44417</v>
      </c>
    </row>
    <row r="25" spans="2:14" x14ac:dyDescent="0.35">
      <c r="F25" s="8" t="s">
        <v>23</v>
      </c>
      <c r="G25" s="10">
        <v>34000</v>
      </c>
      <c r="H25" s="9">
        <v>44470</v>
      </c>
      <c r="K25" s="11" t="s">
        <v>18</v>
      </c>
      <c r="L25" s="11" t="s">
        <v>20</v>
      </c>
      <c r="M25" s="12">
        <f>M23</f>
        <v>540654</v>
      </c>
      <c r="N25" s="13">
        <v>44418</v>
      </c>
    </row>
    <row r="26" spans="2:14" x14ac:dyDescent="0.35">
      <c r="F26" s="8" t="s">
        <v>23</v>
      </c>
      <c r="G26" s="10">
        <v>52000</v>
      </c>
      <c r="H26" s="9">
        <v>44502</v>
      </c>
      <c r="K26" s="11" t="s">
        <v>18</v>
      </c>
      <c r="L26" s="11" t="s">
        <v>19</v>
      </c>
      <c r="M26" s="12">
        <v>14000</v>
      </c>
      <c r="N26" s="13">
        <v>44450</v>
      </c>
    </row>
    <row r="27" spans="2:14" x14ac:dyDescent="0.35">
      <c r="G27" s="24">
        <f>G26-G29</f>
        <v>19000</v>
      </c>
      <c r="K27" s="11" t="s">
        <v>18</v>
      </c>
      <c r="L27" s="11" t="s">
        <v>20</v>
      </c>
      <c r="M27" s="12">
        <f>650000</f>
        <v>650000</v>
      </c>
      <c r="N27" s="13">
        <v>44451</v>
      </c>
    </row>
    <row r="28" spans="2:14" x14ac:dyDescent="0.35">
      <c r="K28" s="11" t="s">
        <v>18</v>
      </c>
      <c r="L28" s="11" t="s">
        <v>19</v>
      </c>
      <c r="M28" s="12">
        <v>12000</v>
      </c>
      <c r="N28" s="13">
        <v>44470</v>
      </c>
    </row>
    <row r="29" spans="2:14" x14ac:dyDescent="0.35">
      <c r="G29" s="36">
        <v>33000</v>
      </c>
      <c r="H29" t="s">
        <v>113</v>
      </c>
      <c r="K29" s="11" t="s">
        <v>18</v>
      </c>
      <c r="L29" s="11" t="s">
        <v>20</v>
      </c>
      <c r="M29" s="12">
        <f>M27+136000</f>
        <v>786000</v>
      </c>
      <c r="N29" s="13">
        <v>44471</v>
      </c>
    </row>
    <row r="30" spans="2:14" x14ac:dyDescent="0.35">
      <c r="K30" s="11" t="s">
        <v>18</v>
      </c>
      <c r="L30" s="11" t="s">
        <v>19</v>
      </c>
      <c r="M30" s="12">
        <v>2000</v>
      </c>
      <c r="N30" s="13">
        <v>44503</v>
      </c>
    </row>
    <row r="31" spans="2:14" x14ac:dyDescent="0.35">
      <c r="K31" s="11" t="s">
        <v>18</v>
      </c>
      <c r="L31" s="11" t="s">
        <v>20</v>
      </c>
      <c r="M31" s="12">
        <f>M29+80000</f>
        <v>866000</v>
      </c>
      <c r="N31" s="13">
        <v>44504</v>
      </c>
    </row>
    <row r="32" spans="2:14" x14ac:dyDescent="0.35">
      <c r="G32" s="24"/>
      <c r="K32" s="11" t="s">
        <v>18</v>
      </c>
      <c r="L32" s="11" t="s">
        <v>19</v>
      </c>
      <c r="M32" s="12">
        <v>700</v>
      </c>
      <c r="N32" s="13">
        <v>44535</v>
      </c>
    </row>
    <row r="33" spans="11:14" x14ac:dyDescent="0.35">
      <c r="K33" s="11" t="s">
        <v>18</v>
      </c>
      <c r="L33" s="11" t="s">
        <v>20</v>
      </c>
      <c r="M33" s="12">
        <v>888976.04</v>
      </c>
      <c r="N33" s="13">
        <v>44536</v>
      </c>
    </row>
    <row r="34" spans="11:14" x14ac:dyDescent="0.35">
      <c r="K34" s="11" t="s">
        <v>18</v>
      </c>
      <c r="L34" s="11" t="s">
        <v>19</v>
      </c>
      <c r="M34" s="12">
        <v>2000</v>
      </c>
      <c r="N34" s="13">
        <v>44568</v>
      </c>
    </row>
    <row r="35" spans="11:14" x14ac:dyDescent="0.35">
      <c r="K35" s="11" t="s">
        <v>18</v>
      </c>
      <c r="L35" s="11" t="s">
        <v>20</v>
      </c>
      <c r="M35" s="12">
        <v>990000</v>
      </c>
      <c r="N35" s="13">
        <v>44569</v>
      </c>
    </row>
    <row r="36" spans="11:14" x14ac:dyDescent="0.35">
      <c r="K36" s="11" t="s">
        <v>18</v>
      </c>
      <c r="L36" s="11" t="s">
        <v>19</v>
      </c>
      <c r="M36" s="12">
        <v>2000</v>
      </c>
      <c r="N36" s="13">
        <v>44601</v>
      </c>
    </row>
    <row r="37" spans="11:14" x14ac:dyDescent="0.35">
      <c r="K37" s="11" t="s">
        <v>18</v>
      </c>
      <c r="L37" s="11" t="s">
        <v>20</v>
      </c>
      <c r="M37" s="12">
        <v>990000</v>
      </c>
      <c r="N37" s="13">
        <v>44602</v>
      </c>
    </row>
    <row r="38" spans="11:14" x14ac:dyDescent="0.35">
      <c r="K38" s="11" t="s">
        <v>18</v>
      </c>
      <c r="L38" s="11" t="s">
        <v>19</v>
      </c>
      <c r="M38" s="12">
        <v>2000</v>
      </c>
      <c r="N38" s="13">
        <v>44631</v>
      </c>
    </row>
    <row r="39" spans="11:14" x14ac:dyDescent="0.35">
      <c r="K39" s="11" t="s">
        <v>18</v>
      </c>
      <c r="L39" s="11" t="s">
        <v>20</v>
      </c>
      <c r="M39" s="12">
        <v>990000</v>
      </c>
      <c r="N39" s="13">
        <v>44632</v>
      </c>
    </row>
    <row r="40" spans="11:14" x14ac:dyDescent="0.35">
      <c r="K40" s="11" t="s">
        <v>18</v>
      </c>
      <c r="L40" s="11" t="s">
        <v>19</v>
      </c>
      <c r="M40" s="12">
        <v>2000</v>
      </c>
      <c r="N40" s="13">
        <v>44652</v>
      </c>
    </row>
    <row r="41" spans="11:14" x14ac:dyDescent="0.35">
      <c r="K41" s="11" t="s">
        <v>18</v>
      </c>
      <c r="L41" s="11" t="s">
        <v>20</v>
      </c>
      <c r="M41" s="12">
        <v>990000</v>
      </c>
      <c r="N41" s="13">
        <v>44653</v>
      </c>
    </row>
    <row r="42" spans="11:14" x14ac:dyDescent="0.35">
      <c r="K42" s="11" t="s">
        <v>18</v>
      </c>
      <c r="L42" s="11" t="s">
        <v>19</v>
      </c>
      <c r="M42" s="12">
        <v>2000</v>
      </c>
      <c r="N42" s="13">
        <v>44684</v>
      </c>
    </row>
    <row r="43" spans="11:14" x14ac:dyDescent="0.35">
      <c r="K43" s="11" t="s">
        <v>18</v>
      </c>
      <c r="L43" s="11" t="s">
        <v>20</v>
      </c>
      <c r="M43" s="12">
        <v>1000000</v>
      </c>
      <c r="N43" s="13">
        <v>44685</v>
      </c>
    </row>
    <row r="44" spans="11:14" x14ac:dyDescent="0.35">
      <c r="K44" s="11" t="s">
        <v>18</v>
      </c>
      <c r="L44" s="11" t="s">
        <v>19</v>
      </c>
      <c r="M44" s="12">
        <v>2000</v>
      </c>
      <c r="N44" s="13">
        <v>44717</v>
      </c>
    </row>
    <row r="45" spans="11:14" x14ac:dyDescent="0.35">
      <c r="K45" s="11" t="s">
        <v>18</v>
      </c>
      <c r="L45" s="11" t="s">
        <v>20</v>
      </c>
      <c r="M45" s="12">
        <v>1000000</v>
      </c>
      <c r="N45" s="13">
        <v>44718</v>
      </c>
    </row>
    <row r="46" spans="11:14" x14ac:dyDescent="0.35">
      <c r="K46" s="11" t="s">
        <v>18</v>
      </c>
      <c r="L46" s="11" t="s">
        <v>19</v>
      </c>
      <c r="M46" s="12">
        <v>2000</v>
      </c>
      <c r="N46" s="13">
        <v>44749</v>
      </c>
    </row>
    <row r="47" spans="11:14" x14ac:dyDescent="0.35">
      <c r="K47" s="11" t="s">
        <v>18</v>
      </c>
      <c r="L47" s="11" t="s">
        <v>20</v>
      </c>
      <c r="M47" s="12">
        <v>1000000</v>
      </c>
      <c r="N47" s="13">
        <v>44750</v>
      </c>
    </row>
    <row r="48" spans="11:14" x14ac:dyDescent="0.35">
      <c r="K48" s="11" t="s">
        <v>18</v>
      </c>
      <c r="L48" s="11" t="s">
        <v>19</v>
      </c>
      <c r="M48" s="12">
        <v>2000</v>
      </c>
      <c r="N48" s="13">
        <v>44782</v>
      </c>
    </row>
    <row r="49" spans="7:14" x14ac:dyDescent="0.35">
      <c r="K49" s="11" t="s">
        <v>18</v>
      </c>
      <c r="L49" s="11" t="s">
        <v>20</v>
      </c>
      <c r="M49" s="12">
        <v>1000000</v>
      </c>
      <c r="N49" s="13">
        <v>44782</v>
      </c>
    </row>
    <row r="50" spans="7:14" x14ac:dyDescent="0.35">
      <c r="K50" s="11" t="s">
        <v>18</v>
      </c>
      <c r="L50" s="11" t="s">
        <v>19</v>
      </c>
      <c r="M50" s="12">
        <v>2000</v>
      </c>
      <c r="N50" s="13">
        <v>44815</v>
      </c>
    </row>
    <row r="51" spans="7:14" x14ac:dyDescent="0.35">
      <c r="G51" s="6"/>
      <c r="K51" s="11" t="s">
        <v>18</v>
      </c>
      <c r="L51" s="11" t="s">
        <v>20</v>
      </c>
      <c r="M51" s="12">
        <v>1000000</v>
      </c>
      <c r="N51" s="13">
        <v>44815</v>
      </c>
    </row>
    <row r="52" spans="7:14" x14ac:dyDescent="0.35">
      <c r="G52" s="6"/>
      <c r="K52" s="11" t="s">
        <v>18</v>
      </c>
      <c r="L52" s="11" t="s">
        <v>19</v>
      </c>
      <c r="M52" s="12">
        <v>2000</v>
      </c>
      <c r="N52" s="13">
        <v>44847</v>
      </c>
    </row>
    <row r="53" spans="7:14" x14ac:dyDescent="0.35">
      <c r="K53" s="11" t="s">
        <v>18</v>
      </c>
      <c r="L53" s="11" t="s">
        <v>20</v>
      </c>
      <c r="M53" s="12">
        <v>1000000</v>
      </c>
      <c r="N53" s="13">
        <v>44847</v>
      </c>
    </row>
    <row r="54" spans="7:14" x14ac:dyDescent="0.35">
      <c r="K54" s="11" t="s">
        <v>18</v>
      </c>
      <c r="L54" s="11" t="s">
        <v>19</v>
      </c>
      <c r="M54" s="12">
        <v>2000</v>
      </c>
      <c r="N54" s="13">
        <v>44880</v>
      </c>
    </row>
    <row r="55" spans="7:14" x14ac:dyDescent="0.35">
      <c r="K55" s="11" t="s">
        <v>18</v>
      </c>
      <c r="L55" s="11" t="s">
        <v>20</v>
      </c>
      <c r="M55" s="12">
        <v>1000000</v>
      </c>
      <c r="N55" s="13">
        <v>44880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044F-320C-4C64-923A-70351229880E}">
  <dimension ref="A1:R22"/>
  <sheetViews>
    <sheetView workbookViewId="0">
      <selection activeCell="G19" sqref="G19"/>
    </sheetView>
  </sheetViews>
  <sheetFormatPr defaultRowHeight="14.5" x14ac:dyDescent="0.35"/>
  <cols>
    <col min="1" max="1" width="14.6328125" bestFit="1" customWidth="1"/>
    <col min="2" max="2" width="14" style="1" customWidth="1"/>
    <col min="3" max="7" width="17.7265625" customWidth="1"/>
    <col min="8" max="8" width="12.08984375" bestFit="1" customWidth="1"/>
    <col min="9" max="10" width="12.08984375" style="1" bestFit="1" customWidth="1"/>
    <col min="11" max="11" width="12.08984375" bestFit="1" customWidth="1"/>
    <col min="12" max="12" width="18.90625" style="1" customWidth="1"/>
    <col min="14" max="14" width="12.08984375" bestFit="1" customWidth="1"/>
    <col min="18" max="18" width="11.08984375" bestFit="1" customWidth="1"/>
  </cols>
  <sheetData>
    <row r="1" spans="1:18" x14ac:dyDescent="0.35">
      <c r="A1" s="69" t="s">
        <v>349</v>
      </c>
      <c r="B1" s="1" t="s">
        <v>348</v>
      </c>
      <c r="D1" t="s">
        <v>140</v>
      </c>
      <c r="E1" t="s">
        <v>346</v>
      </c>
    </row>
    <row r="2" spans="1:18" x14ac:dyDescent="0.35">
      <c r="A2" s="68" t="s">
        <v>19</v>
      </c>
      <c r="B2" s="1">
        <v>124350</v>
      </c>
      <c r="D2" t="s">
        <v>347</v>
      </c>
      <c r="E2" s="1">
        <v>8000</v>
      </c>
      <c r="F2" s="1"/>
      <c r="G2" s="1"/>
    </row>
    <row r="3" spans="1:18" x14ac:dyDescent="0.35">
      <c r="A3" s="68" t="s">
        <v>19</v>
      </c>
      <c r="B3" s="1">
        <v>50000</v>
      </c>
      <c r="D3" t="s">
        <v>283</v>
      </c>
      <c r="E3" s="1">
        <v>57000</v>
      </c>
      <c r="F3" s="1"/>
      <c r="G3" s="1"/>
    </row>
    <row r="4" spans="1:18" x14ac:dyDescent="0.35">
      <c r="A4" s="68" t="s">
        <v>19</v>
      </c>
      <c r="B4" s="1">
        <v>60000</v>
      </c>
      <c r="D4" t="s">
        <v>22</v>
      </c>
      <c r="E4" s="24">
        <f>E2+E3</f>
        <v>65000</v>
      </c>
      <c r="F4" s="24"/>
      <c r="G4" s="24"/>
    </row>
    <row r="5" spans="1:18" x14ac:dyDescent="0.35">
      <c r="A5" s="68" t="s">
        <v>135</v>
      </c>
      <c r="B5" s="1">
        <v>20000</v>
      </c>
      <c r="H5" s="27"/>
      <c r="K5" s="24"/>
      <c r="R5" s="24"/>
    </row>
    <row r="6" spans="1:18" x14ac:dyDescent="0.35">
      <c r="A6" s="68" t="s">
        <v>136</v>
      </c>
      <c r="B6" s="1">
        <v>20000</v>
      </c>
      <c r="H6" s="27"/>
    </row>
    <row r="7" spans="1:18" x14ac:dyDescent="0.35">
      <c r="A7" s="68" t="s">
        <v>142</v>
      </c>
      <c r="B7" s="1">
        <v>57000</v>
      </c>
      <c r="H7" s="27"/>
      <c r="K7" s="24"/>
      <c r="N7" s="24"/>
    </row>
    <row r="8" spans="1:18" x14ac:dyDescent="0.35">
      <c r="A8" s="68" t="s">
        <v>204</v>
      </c>
      <c r="B8" s="1">
        <v>12000</v>
      </c>
      <c r="D8" t="s">
        <v>350</v>
      </c>
      <c r="E8" t="s">
        <v>17</v>
      </c>
      <c r="F8" t="s">
        <v>351</v>
      </c>
      <c r="H8">
        <v>1891.41</v>
      </c>
      <c r="I8" s="1">
        <f>H8*150</f>
        <v>283711.5</v>
      </c>
    </row>
    <row r="9" spans="1:18" x14ac:dyDescent="0.35">
      <c r="A9" s="70" t="s">
        <v>231</v>
      </c>
      <c r="B9" s="1">
        <v>10000</v>
      </c>
      <c r="D9" s="72">
        <v>1</v>
      </c>
      <c r="E9" s="3">
        <v>65000</v>
      </c>
      <c r="F9" s="3">
        <f>B11-$E$9</f>
        <v>288350</v>
      </c>
      <c r="G9" s="3"/>
      <c r="H9">
        <v>129.22</v>
      </c>
      <c r="I9" s="1">
        <f>H9*150</f>
        <v>19383</v>
      </c>
    </row>
    <row r="10" spans="1:18" x14ac:dyDescent="0.35">
      <c r="D10" s="72">
        <v>2</v>
      </c>
      <c r="E10" s="3">
        <f>$E$9*D10</f>
        <v>130000</v>
      </c>
      <c r="F10" s="3">
        <f>F9-$E$9</f>
        <v>223350</v>
      </c>
      <c r="G10" s="3"/>
      <c r="H10">
        <v>20000</v>
      </c>
      <c r="I10" s="1">
        <v>20000</v>
      </c>
      <c r="K10" s="1"/>
    </row>
    <row r="11" spans="1:18" x14ac:dyDescent="0.35">
      <c r="A11" s="71" t="s">
        <v>22</v>
      </c>
      <c r="B11" s="1">
        <f>SUM(Table6[Cash])</f>
        <v>353350</v>
      </c>
      <c r="D11" s="72">
        <v>3</v>
      </c>
      <c r="E11" s="3">
        <f t="shared" ref="E11:E14" si="0">$E$9*D11</f>
        <v>195000</v>
      </c>
      <c r="F11" s="3">
        <f>F10-$E$9</f>
        <v>158350</v>
      </c>
      <c r="G11" s="3"/>
      <c r="L11"/>
    </row>
    <row r="12" spans="1:18" x14ac:dyDescent="0.35">
      <c r="D12" s="72">
        <v>4</v>
      </c>
      <c r="E12" s="3">
        <f t="shared" si="0"/>
        <v>260000</v>
      </c>
      <c r="F12" s="3">
        <f>F11-$E$9</f>
        <v>93350</v>
      </c>
      <c r="G12" s="3"/>
      <c r="L12"/>
    </row>
    <row r="13" spans="1:18" x14ac:dyDescent="0.35">
      <c r="D13" s="72">
        <v>5</v>
      </c>
      <c r="E13" s="3">
        <f t="shared" si="0"/>
        <v>325000</v>
      </c>
      <c r="F13" s="3">
        <f>F12-$E$9</f>
        <v>28350</v>
      </c>
      <c r="G13" s="3"/>
      <c r="L13"/>
    </row>
    <row r="14" spans="1:18" x14ac:dyDescent="0.35">
      <c r="D14" s="72">
        <v>6</v>
      </c>
      <c r="E14" s="3">
        <f t="shared" si="0"/>
        <v>390000</v>
      </c>
      <c r="F14" s="3">
        <f>F13-$E$9</f>
        <v>-36650</v>
      </c>
      <c r="G14" s="3"/>
      <c r="H14" s="24"/>
      <c r="I14" s="1">
        <f>SUM(I8:I10)</f>
        <v>323094.5</v>
      </c>
      <c r="L14"/>
    </row>
    <row r="15" spans="1:18" x14ac:dyDescent="0.35">
      <c r="H15" s="24"/>
      <c r="L15"/>
    </row>
    <row r="16" spans="1:18" x14ac:dyDescent="0.35">
      <c r="L16"/>
    </row>
    <row r="17" spans="4:12" x14ac:dyDescent="0.35">
      <c r="D17" s="1">
        <f>801*147</f>
        <v>117747</v>
      </c>
      <c r="E17" s="19">
        <v>10000</v>
      </c>
      <c r="L17"/>
    </row>
    <row r="18" spans="4:12" x14ac:dyDescent="0.35">
      <c r="D18" s="1">
        <v>30000</v>
      </c>
      <c r="E18" s="19">
        <v>5000</v>
      </c>
      <c r="F18" t="s">
        <v>335</v>
      </c>
    </row>
    <row r="19" spans="4:12" x14ac:dyDescent="0.35">
      <c r="D19" s="1">
        <v>121000</v>
      </c>
      <c r="E19" s="1"/>
      <c r="L19"/>
    </row>
    <row r="20" spans="4:12" x14ac:dyDescent="0.35">
      <c r="D20" s="1">
        <v>62000</v>
      </c>
      <c r="E20" s="1"/>
    </row>
    <row r="22" spans="4:12" x14ac:dyDescent="0.35">
      <c r="D22" s="24">
        <f>SUM(D17:D20)</f>
        <v>330747</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3"/>
  <sheetViews>
    <sheetView workbookViewId="0">
      <selection activeCell="A11" sqref="A4:A15"/>
    </sheetView>
  </sheetViews>
  <sheetFormatPr defaultRowHeight="14.5" x14ac:dyDescent="0.35"/>
  <cols>
    <col min="1" max="1" width="12.36328125" bestFit="1" customWidth="1"/>
    <col min="2" max="2" width="11.453125" bestFit="1" customWidth="1"/>
  </cols>
  <sheetData>
    <row r="3" spans="1:2" x14ac:dyDescent="0.35">
      <c r="A3" s="43" t="s">
        <v>143</v>
      </c>
      <c r="B3" t="s">
        <v>148</v>
      </c>
    </row>
    <row r="4" spans="1:2" x14ac:dyDescent="0.35">
      <c r="A4" s="44" t="s">
        <v>145</v>
      </c>
      <c r="B4">
        <v>343492.57999999996</v>
      </c>
    </row>
    <row r="5" spans="1:2" x14ac:dyDescent="0.35">
      <c r="A5" s="44" t="s">
        <v>146</v>
      </c>
      <c r="B5">
        <v>281158.53000000003</v>
      </c>
    </row>
    <row r="6" spans="1:2" x14ac:dyDescent="0.35">
      <c r="A6" s="44" t="s">
        <v>147</v>
      </c>
      <c r="B6">
        <v>278135.45999999996</v>
      </c>
    </row>
    <row r="7" spans="1:2" x14ac:dyDescent="0.35">
      <c r="A7" s="44" t="s">
        <v>673</v>
      </c>
      <c r="B7">
        <v>384953.43</v>
      </c>
    </row>
    <row r="8" spans="1:2" x14ac:dyDescent="0.35">
      <c r="A8" s="44" t="s">
        <v>674</v>
      </c>
      <c r="B8">
        <v>284861.93</v>
      </c>
    </row>
    <row r="9" spans="1:2" x14ac:dyDescent="0.35">
      <c r="A9" s="44" t="s">
        <v>675</v>
      </c>
      <c r="B9">
        <v>278353.43</v>
      </c>
    </row>
    <row r="10" spans="1:2" x14ac:dyDescent="0.35">
      <c r="A10" s="44" t="s">
        <v>676</v>
      </c>
      <c r="B10">
        <v>303624.43</v>
      </c>
    </row>
    <row r="11" spans="1:2" x14ac:dyDescent="0.35">
      <c r="A11" s="44" t="s">
        <v>677</v>
      </c>
      <c r="B11">
        <v>232132.43</v>
      </c>
    </row>
    <row r="12" spans="1:2" x14ac:dyDescent="0.35">
      <c r="A12" s="44" t="s">
        <v>678</v>
      </c>
      <c r="B12">
        <v>256738.43</v>
      </c>
    </row>
    <row r="13" spans="1:2" x14ac:dyDescent="0.35">
      <c r="A13" s="44" t="s">
        <v>144</v>
      </c>
      <c r="B13">
        <v>2643450.6500000004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
  <sheetViews>
    <sheetView workbookViewId="0">
      <selection activeCell="A4" sqref="A4:B8"/>
    </sheetView>
  </sheetViews>
  <sheetFormatPr defaultRowHeight="14.5" x14ac:dyDescent="0.35"/>
  <cols>
    <col min="1" max="1" width="12.36328125" bestFit="1" customWidth="1"/>
    <col min="2" max="2" width="16.453125" bestFit="1" customWidth="1"/>
    <col min="3" max="4" width="10.7265625" bestFit="1" customWidth="1"/>
  </cols>
  <sheetData>
    <row r="1" spans="1:2" x14ac:dyDescent="0.35">
      <c r="A1" s="43" t="s">
        <v>70</v>
      </c>
      <c r="B1" t="s">
        <v>672</v>
      </c>
    </row>
    <row r="3" spans="1:2" x14ac:dyDescent="0.35">
      <c r="A3" s="43" t="s">
        <v>143</v>
      </c>
      <c r="B3" t="s">
        <v>148</v>
      </c>
    </row>
    <row r="4" spans="1:2" x14ac:dyDescent="0.35">
      <c r="A4" s="44" t="s">
        <v>49</v>
      </c>
      <c r="B4">
        <v>225000</v>
      </c>
    </row>
    <row r="5" spans="1:2" x14ac:dyDescent="0.35">
      <c r="A5" s="44" t="s">
        <v>183</v>
      </c>
      <c r="B5">
        <v>114400</v>
      </c>
    </row>
    <row r="6" spans="1:2" x14ac:dyDescent="0.35">
      <c r="A6" s="44" t="s">
        <v>283</v>
      </c>
      <c r="B6">
        <v>399280</v>
      </c>
    </row>
    <row r="7" spans="1:2" x14ac:dyDescent="0.35">
      <c r="A7" s="44" t="s">
        <v>538</v>
      </c>
      <c r="B7">
        <v>213000</v>
      </c>
    </row>
    <row r="8" spans="1:2" x14ac:dyDescent="0.35">
      <c r="A8" s="44" t="s">
        <v>565</v>
      </c>
      <c r="B8">
        <v>87000</v>
      </c>
    </row>
    <row r="9" spans="1:2" x14ac:dyDescent="0.35">
      <c r="A9" s="44" t="s">
        <v>144</v>
      </c>
      <c r="B9">
        <v>1038680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15"/>
  <sheetViews>
    <sheetView tabSelected="1" workbookViewId="0">
      <selection activeCell="D31" sqref="D31:D1515"/>
    </sheetView>
  </sheetViews>
  <sheetFormatPr defaultRowHeight="14.5" x14ac:dyDescent="0.35"/>
  <cols>
    <col min="1" max="1" width="32.26953125" bestFit="1" customWidth="1"/>
    <col min="2" max="2" width="13.7265625" style="1" bestFit="1" customWidth="1"/>
    <col min="3" max="4" width="13.7265625" style="1" customWidth="1"/>
    <col min="5" max="5" width="20.26953125" style="27" customWidth="1"/>
    <col min="6" max="6" width="10.7265625" style="2" bestFit="1" customWidth="1"/>
    <col min="7" max="7" width="8.453125" customWidth="1"/>
    <col min="10" max="10" width="11.08984375" bestFit="1" customWidth="1"/>
    <col min="11" max="11" width="10.08984375" bestFit="1" customWidth="1"/>
  </cols>
  <sheetData>
    <row r="1" spans="1:8" x14ac:dyDescent="0.35">
      <c r="A1" s="4" t="s">
        <v>10</v>
      </c>
      <c r="B1" s="5" t="s">
        <v>0</v>
      </c>
      <c r="C1" s="5" t="s">
        <v>279</v>
      </c>
      <c r="D1" s="5" t="s">
        <v>281</v>
      </c>
      <c r="E1" s="60" t="s">
        <v>266</v>
      </c>
      <c r="F1" s="35" t="s">
        <v>1</v>
      </c>
      <c r="G1" t="s">
        <v>70</v>
      </c>
      <c r="H1" t="s">
        <v>150</v>
      </c>
    </row>
    <row r="2" spans="1:8" hidden="1" x14ac:dyDescent="0.35">
      <c r="A2" t="s">
        <v>8</v>
      </c>
      <c r="B2" s="3">
        <v>1000</v>
      </c>
      <c r="C2" s="3">
        <v>6.8027210884353737</v>
      </c>
      <c r="D2" s="3" t="s">
        <v>259</v>
      </c>
      <c r="E2" s="61" t="s">
        <v>268</v>
      </c>
      <c r="F2" s="2">
        <v>43969</v>
      </c>
      <c r="G2" t="str">
        <f t="shared" ref="G2:G65" si="0">TEXT(F2,"mmm")</f>
        <v>May</v>
      </c>
      <c r="H2" t="str">
        <f t="shared" ref="H2:H65" si="1">TEXT(F2,"yyy")</f>
        <v>2020</v>
      </c>
    </row>
    <row r="3" spans="1:8" hidden="1" x14ac:dyDescent="0.35">
      <c r="A3" t="s">
        <v>5</v>
      </c>
      <c r="B3" s="3">
        <v>900</v>
      </c>
      <c r="C3" s="3">
        <v>6.1224489795918364</v>
      </c>
      <c r="D3" s="3" t="s">
        <v>261</v>
      </c>
      <c r="E3" s="27" t="s">
        <v>514</v>
      </c>
      <c r="F3" s="2">
        <v>44076</v>
      </c>
      <c r="G3" t="str">
        <f t="shared" si="0"/>
        <v>Sep</v>
      </c>
      <c r="H3" t="str">
        <f t="shared" si="1"/>
        <v>2020</v>
      </c>
    </row>
    <row r="4" spans="1:8" hidden="1" x14ac:dyDescent="0.35">
      <c r="A4" t="s">
        <v>6</v>
      </c>
      <c r="B4" s="3">
        <v>2250</v>
      </c>
      <c r="C4" s="3">
        <v>15.306122448979592</v>
      </c>
      <c r="D4" s="3" t="s">
        <v>261</v>
      </c>
      <c r="E4" s="27" t="s">
        <v>514</v>
      </c>
      <c r="F4" s="2">
        <v>44080</v>
      </c>
      <c r="G4" t="str">
        <f t="shared" si="0"/>
        <v>Sep</v>
      </c>
      <c r="H4" t="str">
        <f t="shared" si="1"/>
        <v>2020</v>
      </c>
    </row>
    <row r="5" spans="1:8" hidden="1" x14ac:dyDescent="0.35">
      <c r="A5" t="s">
        <v>4</v>
      </c>
      <c r="B5" s="3">
        <v>500</v>
      </c>
      <c r="C5" s="3">
        <v>3.4013605442176869</v>
      </c>
      <c r="D5" s="3" t="s">
        <v>259</v>
      </c>
      <c r="E5" s="61" t="s">
        <v>4</v>
      </c>
      <c r="F5" s="2">
        <v>44080</v>
      </c>
      <c r="G5" t="str">
        <f t="shared" si="0"/>
        <v>Sep</v>
      </c>
      <c r="H5" t="str">
        <f t="shared" si="1"/>
        <v>2020</v>
      </c>
    </row>
    <row r="6" spans="1:8" hidden="1" x14ac:dyDescent="0.35">
      <c r="A6" t="s">
        <v>2</v>
      </c>
      <c r="B6" s="3">
        <v>300</v>
      </c>
      <c r="C6" s="3">
        <v>2.0408163265306123</v>
      </c>
      <c r="D6" s="3" t="s">
        <v>259</v>
      </c>
      <c r="E6" s="61" t="s">
        <v>265</v>
      </c>
      <c r="F6" s="2">
        <v>44086</v>
      </c>
      <c r="G6" t="str">
        <f t="shared" si="0"/>
        <v>Sep</v>
      </c>
      <c r="H6" t="str">
        <f t="shared" si="1"/>
        <v>2020</v>
      </c>
    </row>
    <row r="7" spans="1:8" hidden="1" x14ac:dyDescent="0.35">
      <c r="A7" t="s">
        <v>3</v>
      </c>
      <c r="B7" s="3">
        <v>450</v>
      </c>
      <c r="C7" s="3">
        <v>3.0612244897959182</v>
      </c>
      <c r="D7" s="3" t="s">
        <v>259</v>
      </c>
      <c r="E7" s="61" t="s">
        <v>265</v>
      </c>
      <c r="F7" s="2">
        <v>44087</v>
      </c>
      <c r="G7" t="str">
        <f t="shared" si="0"/>
        <v>Sep</v>
      </c>
      <c r="H7" t="str">
        <f t="shared" si="1"/>
        <v>2020</v>
      </c>
    </row>
    <row r="8" spans="1:8" hidden="1" x14ac:dyDescent="0.35">
      <c r="A8" t="s">
        <v>4</v>
      </c>
      <c r="B8" s="3">
        <v>1500</v>
      </c>
      <c r="C8" s="3">
        <v>10.204081632653061</v>
      </c>
      <c r="D8" s="3" t="s">
        <v>259</v>
      </c>
      <c r="E8" s="61" t="s">
        <v>4</v>
      </c>
      <c r="F8" s="2">
        <v>44088</v>
      </c>
      <c r="G8" t="str">
        <f t="shared" si="0"/>
        <v>Sep</v>
      </c>
      <c r="H8" t="str">
        <f t="shared" si="1"/>
        <v>2020</v>
      </c>
    </row>
    <row r="9" spans="1:8" hidden="1" x14ac:dyDescent="0.35">
      <c r="A9" t="s">
        <v>7</v>
      </c>
      <c r="B9" s="3">
        <v>30000</v>
      </c>
      <c r="C9" s="3">
        <v>204.08163265306123</v>
      </c>
      <c r="D9" s="3" t="s">
        <v>259</v>
      </c>
      <c r="E9" s="61" t="s">
        <v>265</v>
      </c>
      <c r="F9" s="2">
        <v>44091</v>
      </c>
      <c r="G9" t="str">
        <f t="shared" si="0"/>
        <v>Sep</v>
      </c>
      <c r="H9" t="str">
        <f t="shared" si="1"/>
        <v>2020</v>
      </c>
    </row>
    <row r="10" spans="1:8" hidden="1" x14ac:dyDescent="0.35">
      <c r="A10" t="s">
        <v>9</v>
      </c>
      <c r="B10" s="3">
        <v>1000</v>
      </c>
      <c r="C10" s="3">
        <v>6.8027210884353737</v>
      </c>
      <c r="D10" s="3" t="s">
        <v>259</v>
      </c>
      <c r="E10" s="61" t="s">
        <v>268</v>
      </c>
      <c r="F10" s="2">
        <v>44093</v>
      </c>
      <c r="G10" t="str">
        <f t="shared" si="0"/>
        <v>Sep</v>
      </c>
      <c r="H10" t="str">
        <f t="shared" si="1"/>
        <v>2020</v>
      </c>
    </row>
    <row r="11" spans="1:8" hidden="1" x14ac:dyDescent="0.35">
      <c r="A11" t="s">
        <v>5</v>
      </c>
      <c r="B11" s="3">
        <v>900</v>
      </c>
      <c r="C11" s="3">
        <v>6.1224489795918364</v>
      </c>
      <c r="D11" s="3" t="s">
        <v>261</v>
      </c>
      <c r="E11" s="27" t="s">
        <v>514</v>
      </c>
      <c r="F11" s="2">
        <v>44106</v>
      </c>
      <c r="G11" t="str">
        <f t="shared" si="0"/>
        <v>Oct</v>
      </c>
      <c r="H11" t="str">
        <f t="shared" si="1"/>
        <v>2020</v>
      </c>
    </row>
    <row r="12" spans="1:8" hidden="1" x14ac:dyDescent="0.35">
      <c r="A12" t="s">
        <v>6</v>
      </c>
      <c r="B12" s="3">
        <v>2250</v>
      </c>
      <c r="C12" s="3">
        <v>15.306122448979592</v>
      </c>
      <c r="D12" s="3" t="s">
        <v>261</v>
      </c>
      <c r="E12" s="27" t="s">
        <v>514</v>
      </c>
      <c r="F12" s="2">
        <v>44110</v>
      </c>
      <c r="G12" t="str">
        <f t="shared" si="0"/>
        <v>Oct</v>
      </c>
      <c r="H12" t="str">
        <f t="shared" si="1"/>
        <v>2020</v>
      </c>
    </row>
    <row r="13" spans="1:8" hidden="1" x14ac:dyDescent="0.35">
      <c r="A13" t="s">
        <v>4</v>
      </c>
      <c r="B13" s="1">
        <v>300</v>
      </c>
      <c r="C13" s="1">
        <v>2.0408163265306123</v>
      </c>
      <c r="D13" s="3" t="s">
        <v>259</v>
      </c>
      <c r="E13" s="61" t="s">
        <v>4</v>
      </c>
      <c r="F13" s="2">
        <v>44114</v>
      </c>
      <c r="G13" t="str">
        <f t="shared" si="0"/>
        <v>Oct</v>
      </c>
      <c r="H13" t="str">
        <f t="shared" si="1"/>
        <v>2020</v>
      </c>
    </row>
    <row r="14" spans="1:8" hidden="1" x14ac:dyDescent="0.35">
      <c r="A14" t="s">
        <v>24</v>
      </c>
      <c r="B14" s="1">
        <v>1964</v>
      </c>
      <c r="C14" s="1">
        <v>13.360544217687075</v>
      </c>
      <c r="D14" s="3" t="s">
        <v>259</v>
      </c>
      <c r="E14" s="61" t="s">
        <v>267</v>
      </c>
      <c r="F14" s="2">
        <v>44115</v>
      </c>
      <c r="G14" t="str">
        <f t="shared" si="0"/>
        <v>Oct</v>
      </c>
      <c r="H14" t="str">
        <f t="shared" si="1"/>
        <v>2020</v>
      </c>
    </row>
    <row r="15" spans="1:8" hidden="1" x14ac:dyDescent="0.35">
      <c r="A15" t="s">
        <v>25</v>
      </c>
      <c r="B15" s="1">
        <v>1030</v>
      </c>
      <c r="C15" s="1">
        <v>7.0068027210884356</v>
      </c>
      <c r="D15" s="3" t="s">
        <v>261</v>
      </c>
      <c r="E15" s="27" t="s">
        <v>514</v>
      </c>
      <c r="F15" s="2">
        <v>44116</v>
      </c>
      <c r="G15" t="str">
        <f t="shared" si="0"/>
        <v>Oct</v>
      </c>
      <c r="H15" t="str">
        <f t="shared" si="1"/>
        <v>2020</v>
      </c>
    </row>
    <row r="16" spans="1:8" hidden="1" x14ac:dyDescent="0.35">
      <c r="A16" t="s">
        <v>4</v>
      </c>
      <c r="B16" s="3">
        <v>1000</v>
      </c>
      <c r="C16" s="3">
        <v>6.8027210884353737</v>
      </c>
      <c r="D16" s="3" t="s">
        <v>259</v>
      </c>
      <c r="E16" s="61" t="s">
        <v>4</v>
      </c>
      <c r="F16" s="2">
        <v>44118</v>
      </c>
      <c r="G16" t="str">
        <f t="shared" si="0"/>
        <v>Oct</v>
      </c>
      <c r="H16" t="str">
        <f t="shared" si="1"/>
        <v>2020</v>
      </c>
    </row>
    <row r="17" spans="1:8" hidden="1" x14ac:dyDescent="0.35">
      <c r="A17" t="s">
        <v>27</v>
      </c>
      <c r="B17" s="1">
        <v>1000</v>
      </c>
      <c r="C17" s="1">
        <v>6.8027210884353737</v>
      </c>
      <c r="D17" s="3" t="s">
        <v>259</v>
      </c>
      <c r="E17" s="61" t="s">
        <v>265</v>
      </c>
      <c r="F17" s="2">
        <v>44121</v>
      </c>
      <c r="G17" t="str">
        <f t="shared" si="0"/>
        <v>Oct</v>
      </c>
      <c r="H17" t="str">
        <f t="shared" si="1"/>
        <v>2020</v>
      </c>
    </row>
    <row r="18" spans="1:8" hidden="1" x14ac:dyDescent="0.35">
      <c r="A18" t="s">
        <v>26</v>
      </c>
      <c r="B18" s="1">
        <v>7000</v>
      </c>
      <c r="C18" s="1">
        <v>47.61904761904762</v>
      </c>
      <c r="D18" s="3" t="s">
        <v>259</v>
      </c>
      <c r="E18" s="61" t="s">
        <v>265</v>
      </c>
      <c r="F18" s="2">
        <v>44122</v>
      </c>
      <c r="G18" t="str">
        <f t="shared" si="0"/>
        <v>Oct</v>
      </c>
      <c r="H18" t="str">
        <f t="shared" si="1"/>
        <v>2020</v>
      </c>
    </row>
    <row r="19" spans="1:8" hidden="1" x14ac:dyDescent="0.35">
      <c r="A19" t="s">
        <v>28</v>
      </c>
      <c r="B19" s="1">
        <f>10*150</f>
        <v>1500</v>
      </c>
      <c r="C19" s="1">
        <v>10.204081632653061</v>
      </c>
      <c r="D19" s="1" t="s">
        <v>260</v>
      </c>
      <c r="E19" s="27" t="s">
        <v>273</v>
      </c>
      <c r="F19" s="2">
        <v>44130</v>
      </c>
      <c r="G19" t="str">
        <f t="shared" si="0"/>
        <v>Oct</v>
      </c>
      <c r="H19" t="str">
        <f t="shared" si="1"/>
        <v>2020</v>
      </c>
    </row>
    <row r="20" spans="1:8" hidden="1" x14ac:dyDescent="0.35">
      <c r="A20" t="s">
        <v>5</v>
      </c>
      <c r="B20" s="3">
        <v>900</v>
      </c>
      <c r="C20" s="3">
        <v>6.1224489795918364</v>
      </c>
      <c r="D20" s="3" t="s">
        <v>261</v>
      </c>
      <c r="E20" s="27" t="s">
        <v>514</v>
      </c>
      <c r="F20" s="2">
        <v>44137</v>
      </c>
      <c r="G20" t="str">
        <f t="shared" si="0"/>
        <v>Nov</v>
      </c>
      <c r="H20" t="str">
        <f t="shared" si="1"/>
        <v>2020</v>
      </c>
    </row>
    <row r="21" spans="1:8" hidden="1" x14ac:dyDescent="0.35">
      <c r="A21" t="s">
        <v>29</v>
      </c>
      <c r="B21" s="1">
        <f>13*150</f>
        <v>1950</v>
      </c>
      <c r="C21" s="1">
        <v>13.26530612244898</v>
      </c>
      <c r="D21" s="3" t="s">
        <v>261</v>
      </c>
      <c r="E21" s="27" t="s">
        <v>514</v>
      </c>
      <c r="F21" s="2">
        <v>44137</v>
      </c>
      <c r="G21" t="str">
        <f t="shared" si="0"/>
        <v>Nov</v>
      </c>
      <c r="H21" t="str">
        <f t="shared" si="1"/>
        <v>2020</v>
      </c>
    </row>
    <row r="22" spans="1:8" hidden="1" x14ac:dyDescent="0.35">
      <c r="A22" t="s">
        <v>30</v>
      </c>
      <c r="B22" s="1">
        <v>6800</v>
      </c>
      <c r="C22" s="1">
        <v>46.258503401360542</v>
      </c>
      <c r="D22" s="1" t="s">
        <v>259</v>
      </c>
      <c r="E22" s="27" t="s">
        <v>265</v>
      </c>
      <c r="F22" s="2">
        <v>44138</v>
      </c>
      <c r="G22" t="str">
        <f t="shared" si="0"/>
        <v>Nov</v>
      </c>
      <c r="H22" t="str">
        <f t="shared" si="1"/>
        <v>2020</v>
      </c>
    </row>
    <row r="23" spans="1:8" hidden="1" x14ac:dyDescent="0.35">
      <c r="A23" t="s">
        <v>6</v>
      </c>
      <c r="B23" s="3">
        <v>2250</v>
      </c>
      <c r="C23" s="3">
        <v>15.306122448979592</v>
      </c>
      <c r="D23" s="3" t="s">
        <v>261</v>
      </c>
      <c r="E23" s="27" t="s">
        <v>514</v>
      </c>
      <c r="F23" s="2">
        <v>44141</v>
      </c>
      <c r="G23" t="str">
        <f t="shared" si="0"/>
        <v>Nov</v>
      </c>
      <c r="H23" t="str">
        <f t="shared" si="1"/>
        <v>2020</v>
      </c>
    </row>
    <row r="24" spans="1:8" hidden="1" x14ac:dyDescent="0.35">
      <c r="A24" t="s">
        <v>24</v>
      </c>
      <c r="B24" s="1">
        <f>13*150</f>
        <v>1950</v>
      </c>
      <c r="C24" s="1">
        <v>13.26530612244898</v>
      </c>
      <c r="D24" s="1" t="s">
        <v>259</v>
      </c>
      <c r="E24" s="27" t="s">
        <v>267</v>
      </c>
      <c r="F24" s="2">
        <v>44148</v>
      </c>
      <c r="G24" t="str">
        <f t="shared" si="0"/>
        <v>Nov</v>
      </c>
      <c r="H24" t="str">
        <f t="shared" si="1"/>
        <v>2020</v>
      </c>
    </row>
    <row r="25" spans="1:8" hidden="1" x14ac:dyDescent="0.35">
      <c r="A25" t="s">
        <v>35</v>
      </c>
      <c r="B25" s="1">
        <f>150*60</f>
        <v>9000</v>
      </c>
      <c r="C25" s="1">
        <v>61.224489795918366</v>
      </c>
      <c r="D25" s="3" t="s">
        <v>261</v>
      </c>
      <c r="E25" s="27" t="s">
        <v>514</v>
      </c>
      <c r="F25" s="2">
        <v>44149</v>
      </c>
      <c r="G25" t="str">
        <f t="shared" si="0"/>
        <v>Nov</v>
      </c>
      <c r="H25" t="str">
        <f t="shared" si="1"/>
        <v>2020</v>
      </c>
    </row>
    <row r="26" spans="1:8" hidden="1" x14ac:dyDescent="0.35">
      <c r="A26" t="s">
        <v>36</v>
      </c>
      <c r="B26" s="1">
        <v>5000</v>
      </c>
      <c r="C26" s="1">
        <v>34.013605442176868</v>
      </c>
      <c r="D26" s="1" t="s">
        <v>259</v>
      </c>
      <c r="E26" s="27" t="s">
        <v>265</v>
      </c>
      <c r="F26" s="2">
        <v>44150</v>
      </c>
      <c r="G26" t="str">
        <f t="shared" si="0"/>
        <v>Nov</v>
      </c>
      <c r="H26" t="str">
        <f t="shared" si="1"/>
        <v>2020</v>
      </c>
    </row>
    <row r="27" spans="1:8" hidden="1" x14ac:dyDescent="0.35">
      <c r="A27" t="s">
        <v>37</v>
      </c>
      <c r="B27" s="1">
        <v>5000</v>
      </c>
      <c r="C27" s="1">
        <v>34.013605442176868</v>
      </c>
      <c r="D27" s="1" t="s">
        <v>15</v>
      </c>
      <c r="E27" s="27" t="s">
        <v>269</v>
      </c>
      <c r="F27" s="2">
        <v>44151</v>
      </c>
      <c r="G27" t="str">
        <f t="shared" si="0"/>
        <v>Nov</v>
      </c>
      <c r="H27" t="str">
        <f t="shared" si="1"/>
        <v>2020</v>
      </c>
    </row>
    <row r="28" spans="1:8" hidden="1" x14ac:dyDescent="0.35">
      <c r="A28" t="s">
        <v>38</v>
      </c>
      <c r="B28" s="1">
        <v>13300</v>
      </c>
      <c r="C28" s="1">
        <v>90.476190476190482</v>
      </c>
      <c r="D28" s="1" t="s">
        <v>259</v>
      </c>
      <c r="E28" s="27" t="s">
        <v>265</v>
      </c>
      <c r="F28" s="2">
        <v>44152</v>
      </c>
      <c r="G28" t="str">
        <f t="shared" si="0"/>
        <v>Nov</v>
      </c>
      <c r="H28" t="str">
        <f t="shared" si="1"/>
        <v>2020</v>
      </c>
    </row>
    <row r="29" spans="1:8" hidden="1" x14ac:dyDescent="0.35">
      <c r="A29" t="s">
        <v>4</v>
      </c>
      <c r="B29" s="1">
        <v>4000</v>
      </c>
      <c r="C29" s="1">
        <v>27.210884353741495</v>
      </c>
      <c r="D29" s="1" t="s">
        <v>259</v>
      </c>
      <c r="E29" s="27" t="s">
        <v>4</v>
      </c>
      <c r="F29" s="2">
        <v>44153</v>
      </c>
      <c r="G29" t="str">
        <f t="shared" si="0"/>
        <v>Nov</v>
      </c>
      <c r="H29" t="str">
        <f t="shared" si="1"/>
        <v>2020</v>
      </c>
    </row>
    <row r="30" spans="1:8" hidden="1" x14ac:dyDescent="0.35">
      <c r="A30" t="s">
        <v>24</v>
      </c>
      <c r="B30" s="1">
        <f>12.99*150</f>
        <v>1948.5</v>
      </c>
      <c r="C30" s="1">
        <v>13.255102040816327</v>
      </c>
      <c r="D30" s="1" t="s">
        <v>259</v>
      </c>
      <c r="E30" s="27" t="s">
        <v>265</v>
      </c>
      <c r="F30" s="2">
        <v>44175</v>
      </c>
      <c r="G30" t="str">
        <f t="shared" si="0"/>
        <v>Dec</v>
      </c>
      <c r="H30" t="str">
        <f t="shared" si="1"/>
        <v>2020</v>
      </c>
    </row>
    <row r="31" spans="1:8" x14ac:dyDescent="0.35">
      <c r="A31" t="s">
        <v>39</v>
      </c>
      <c r="B31" s="1">
        <v>15000</v>
      </c>
      <c r="C31" s="1">
        <v>102.04081632653062</v>
      </c>
      <c r="D31" s="1" t="s">
        <v>689</v>
      </c>
      <c r="E31" s="27" t="s">
        <v>275</v>
      </c>
      <c r="F31" s="2">
        <v>44183</v>
      </c>
      <c r="G31" t="str">
        <f t="shared" si="0"/>
        <v>Dec</v>
      </c>
      <c r="H31" t="str">
        <f t="shared" si="1"/>
        <v>2020</v>
      </c>
    </row>
    <row r="32" spans="1:8" hidden="1" x14ac:dyDescent="0.35">
      <c r="A32" t="s">
        <v>4</v>
      </c>
      <c r="B32" s="1">
        <v>4000</v>
      </c>
      <c r="C32" s="1">
        <v>27.210884353741495</v>
      </c>
      <c r="D32" s="1" t="s">
        <v>259</v>
      </c>
      <c r="E32" s="27" t="s">
        <v>4</v>
      </c>
      <c r="F32" s="2">
        <v>44184</v>
      </c>
      <c r="G32" t="str">
        <f t="shared" si="0"/>
        <v>Dec</v>
      </c>
      <c r="H32" t="str">
        <f t="shared" si="1"/>
        <v>2020</v>
      </c>
    </row>
    <row r="33" spans="1:8" x14ac:dyDescent="0.35">
      <c r="A33" t="s">
        <v>40</v>
      </c>
      <c r="B33" s="1">
        <v>5000</v>
      </c>
      <c r="C33" s="1">
        <v>34.013605442176868</v>
      </c>
      <c r="D33" s="1" t="s">
        <v>689</v>
      </c>
      <c r="E33" s="27" t="s">
        <v>275</v>
      </c>
      <c r="F33" s="2">
        <v>44185</v>
      </c>
      <c r="G33" t="str">
        <f t="shared" si="0"/>
        <v>Dec</v>
      </c>
      <c r="H33" t="str">
        <f t="shared" si="1"/>
        <v>2020</v>
      </c>
    </row>
    <row r="34" spans="1:8" hidden="1" x14ac:dyDescent="0.35">
      <c r="A34" t="s">
        <v>6</v>
      </c>
      <c r="B34" s="1">
        <v>2250</v>
      </c>
      <c r="C34" s="1">
        <v>15.306122448979592</v>
      </c>
      <c r="D34" s="3" t="s">
        <v>261</v>
      </c>
      <c r="E34" s="27" t="s">
        <v>514</v>
      </c>
      <c r="F34" s="2">
        <v>44202</v>
      </c>
      <c r="G34" t="str">
        <f t="shared" si="0"/>
        <v>Jan</v>
      </c>
      <c r="H34" t="str">
        <f t="shared" si="1"/>
        <v>2021</v>
      </c>
    </row>
    <row r="35" spans="1:8" hidden="1" x14ac:dyDescent="0.35">
      <c r="A35" t="s">
        <v>24</v>
      </c>
      <c r="B35" s="1">
        <f>12.99*150</f>
        <v>1948.5</v>
      </c>
      <c r="C35" s="1">
        <v>13.255102040816327</v>
      </c>
      <c r="D35" s="1" t="s">
        <v>259</v>
      </c>
      <c r="E35" s="27" t="s">
        <v>267</v>
      </c>
      <c r="F35" s="2">
        <v>44206</v>
      </c>
      <c r="G35" t="str">
        <f t="shared" si="0"/>
        <v>Jan</v>
      </c>
      <c r="H35" t="str">
        <f t="shared" si="1"/>
        <v>2021</v>
      </c>
    </row>
    <row r="36" spans="1:8" x14ac:dyDescent="0.35">
      <c r="A36" t="s">
        <v>41</v>
      </c>
      <c r="B36" s="1">
        <v>4320.96</v>
      </c>
      <c r="C36" s="1">
        <v>29.394285714285715</v>
      </c>
      <c r="D36" s="1" t="s">
        <v>689</v>
      </c>
      <c r="E36" s="27" t="s">
        <v>275</v>
      </c>
      <c r="F36" s="2">
        <v>44207</v>
      </c>
      <c r="G36" t="str">
        <f t="shared" si="0"/>
        <v>Jan</v>
      </c>
      <c r="H36" t="str">
        <f t="shared" si="1"/>
        <v>2021</v>
      </c>
    </row>
    <row r="37" spans="1:8" hidden="1" x14ac:dyDescent="0.35">
      <c r="A37" t="s">
        <v>42</v>
      </c>
      <c r="B37" s="1">
        <v>10000</v>
      </c>
      <c r="C37" s="1">
        <v>68.027210884353735</v>
      </c>
      <c r="D37" s="1" t="s">
        <v>42</v>
      </c>
      <c r="E37" s="27" t="s">
        <v>270</v>
      </c>
      <c r="F37" s="2">
        <v>44208</v>
      </c>
      <c r="G37" t="str">
        <f t="shared" si="0"/>
        <v>Jan</v>
      </c>
      <c r="H37" t="str">
        <f t="shared" si="1"/>
        <v>2021</v>
      </c>
    </row>
    <row r="38" spans="1:8" hidden="1" x14ac:dyDescent="0.35">
      <c r="A38" s="18" t="s">
        <v>43</v>
      </c>
      <c r="B38" s="1">
        <v>10000</v>
      </c>
      <c r="C38" s="1">
        <v>68.027210884353735</v>
      </c>
      <c r="D38" s="1" t="s">
        <v>259</v>
      </c>
      <c r="E38" s="27" t="s">
        <v>265</v>
      </c>
      <c r="F38" s="2">
        <v>44209</v>
      </c>
      <c r="G38" t="str">
        <f t="shared" si="0"/>
        <v>Jan</v>
      </c>
      <c r="H38" t="str">
        <f t="shared" si="1"/>
        <v>2021</v>
      </c>
    </row>
    <row r="39" spans="1:8" hidden="1" x14ac:dyDescent="0.35">
      <c r="A39" t="s">
        <v>44</v>
      </c>
      <c r="B39" s="1">
        <v>30000</v>
      </c>
      <c r="C39" s="1">
        <v>204.08163265306123</v>
      </c>
      <c r="D39" s="1" t="s">
        <v>259</v>
      </c>
      <c r="E39" s="27" t="s">
        <v>273</v>
      </c>
      <c r="F39" s="2">
        <v>44210</v>
      </c>
      <c r="G39" t="str">
        <f t="shared" si="0"/>
        <v>Jan</v>
      </c>
      <c r="H39" t="str">
        <f t="shared" si="1"/>
        <v>2021</v>
      </c>
    </row>
    <row r="40" spans="1:8" hidden="1" x14ac:dyDescent="0.35">
      <c r="A40" t="s">
        <v>45</v>
      </c>
      <c r="B40" s="1">
        <f>10.99*150</f>
        <v>1648.5</v>
      </c>
      <c r="C40" s="1">
        <v>11.214285714285714</v>
      </c>
      <c r="D40" s="1" t="s">
        <v>259</v>
      </c>
      <c r="E40" s="27" t="s">
        <v>265</v>
      </c>
      <c r="F40" s="2">
        <v>44211</v>
      </c>
      <c r="G40" t="str">
        <f t="shared" si="0"/>
        <v>Jan</v>
      </c>
      <c r="H40" t="str">
        <f t="shared" si="1"/>
        <v>2021</v>
      </c>
    </row>
    <row r="41" spans="1:8" hidden="1" x14ac:dyDescent="0.35">
      <c r="A41" t="s">
        <v>46</v>
      </c>
      <c r="B41" s="1">
        <v>6000</v>
      </c>
      <c r="C41" s="1">
        <v>40.816326530612244</v>
      </c>
      <c r="D41" s="1" t="s">
        <v>259</v>
      </c>
      <c r="E41" s="27" t="s">
        <v>265</v>
      </c>
      <c r="F41" s="2">
        <v>44212</v>
      </c>
      <c r="G41" t="str">
        <f t="shared" si="0"/>
        <v>Jan</v>
      </c>
      <c r="H41" t="str">
        <f t="shared" si="1"/>
        <v>2021</v>
      </c>
    </row>
    <row r="42" spans="1:8" hidden="1" x14ac:dyDescent="0.35">
      <c r="A42" t="s">
        <v>36</v>
      </c>
      <c r="B42" s="1">
        <v>7000</v>
      </c>
      <c r="C42" s="1">
        <v>47.61904761904762</v>
      </c>
      <c r="D42" s="1" t="s">
        <v>259</v>
      </c>
      <c r="E42" s="27" t="s">
        <v>265</v>
      </c>
      <c r="F42" s="2">
        <v>44213</v>
      </c>
      <c r="G42" t="str">
        <f t="shared" si="0"/>
        <v>Jan</v>
      </c>
      <c r="H42" t="str">
        <f t="shared" si="1"/>
        <v>2021</v>
      </c>
    </row>
    <row r="43" spans="1:8" hidden="1" x14ac:dyDescent="0.35">
      <c r="A43" t="s">
        <v>63</v>
      </c>
      <c r="B43" s="1">
        <v>30000</v>
      </c>
      <c r="C43" s="1">
        <v>204.08163265306123</v>
      </c>
      <c r="D43" s="1" t="s">
        <v>262</v>
      </c>
      <c r="E43" s="27" t="s">
        <v>271</v>
      </c>
      <c r="F43" s="2">
        <v>44214</v>
      </c>
      <c r="G43" t="str">
        <f t="shared" si="0"/>
        <v>Jan</v>
      </c>
      <c r="H43" t="str">
        <f t="shared" si="1"/>
        <v>2021</v>
      </c>
    </row>
    <row r="44" spans="1:8" hidden="1" x14ac:dyDescent="0.35">
      <c r="A44" t="s">
        <v>49</v>
      </c>
      <c r="B44" s="1">
        <v>32000</v>
      </c>
      <c r="C44" s="1">
        <v>217.68707482993196</v>
      </c>
      <c r="D44" s="1" t="s">
        <v>263</v>
      </c>
      <c r="E44" s="27" t="s">
        <v>274</v>
      </c>
      <c r="F44" s="2">
        <v>44215</v>
      </c>
      <c r="G44" t="str">
        <f t="shared" si="0"/>
        <v>Jan</v>
      </c>
      <c r="H44" t="str">
        <f t="shared" si="1"/>
        <v>2021</v>
      </c>
    </row>
    <row r="45" spans="1:8" hidden="1" x14ac:dyDescent="0.35">
      <c r="A45" t="s">
        <v>50</v>
      </c>
      <c r="B45" s="1">
        <v>3500</v>
      </c>
      <c r="C45" s="1">
        <v>23.80952380952381</v>
      </c>
      <c r="D45" s="1" t="s">
        <v>259</v>
      </c>
      <c r="E45" s="27" t="s">
        <v>268</v>
      </c>
      <c r="F45" s="2">
        <v>44216</v>
      </c>
      <c r="G45" t="str">
        <f t="shared" si="0"/>
        <v>Jan</v>
      </c>
      <c r="H45" t="str">
        <f t="shared" si="1"/>
        <v>2021</v>
      </c>
    </row>
    <row r="46" spans="1:8" hidden="1" x14ac:dyDescent="0.35">
      <c r="A46" t="s">
        <v>48</v>
      </c>
      <c r="B46" s="1">
        <f>150*19</f>
        <v>2850</v>
      </c>
      <c r="C46" s="1">
        <v>19.387755102040817</v>
      </c>
      <c r="D46" s="1" t="s">
        <v>260</v>
      </c>
      <c r="E46" s="27" t="s">
        <v>273</v>
      </c>
      <c r="F46" s="2">
        <v>44217</v>
      </c>
      <c r="G46" t="str">
        <f t="shared" si="0"/>
        <v>Jan</v>
      </c>
      <c r="H46" t="str">
        <f t="shared" si="1"/>
        <v>2021</v>
      </c>
    </row>
    <row r="47" spans="1:8" hidden="1" x14ac:dyDescent="0.35">
      <c r="A47" t="s">
        <v>47</v>
      </c>
      <c r="B47" s="1">
        <v>8000</v>
      </c>
      <c r="C47" s="1">
        <v>54.42176870748299</v>
      </c>
      <c r="D47" s="1" t="s">
        <v>259</v>
      </c>
      <c r="E47" s="27" t="s">
        <v>265</v>
      </c>
      <c r="F47" s="2">
        <v>44228</v>
      </c>
      <c r="G47" t="str">
        <f t="shared" si="0"/>
        <v>Feb</v>
      </c>
      <c r="H47" t="str">
        <f t="shared" si="1"/>
        <v>2021</v>
      </c>
    </row>
    <row r="48" spans="1:8" x14ac:dyDescent="0.35">
      <c r="A48" t="s">
        <v>39</v>
      </c>
      <c r="B48" s="1">
        <v>8000</v>
      </c>
      <c r="C48" s="1">
        <v>54.42176870748299</v>
      </c>
      <c r="D48" s="1" t="s">
        <v>689</v>
      </c>
      <c r="E48" s="27" t="s">
        <v>275</v>
      </c>
      <c r="F48" s="2">
        <v>44229</v>
      </c>
      <c r="G48" t="str">
        <f t="shared" si="0"/>
        <v>Feb</v>
      </c>
      <c r="H48" t="str">
        <f t="shared" si="1"/>
        <v>2021</v>
      </c>
    </row>
    <row r="49" spans="1:8" hidden="1" x14ac:dyDescent="0.35">
      <c r="A49" t="s">
        <v>51</v>
      </c>
      <c r="B49" s="1">
        <f>91.54*150</f>
        <v>13731.000000000002</v>
      </c>
      <c r="C49" s="1">
        <v>93.408163265306129</v>
      </c>
      <c r="D49" s="1" t="s">
        <v>259</v>
      </c>
      <c r="E49" s="27" t="s">
        <v>265</v>
      </c>
      <c r="F49" s="2">
        <v>44230</v>
      </c>
      <c r="G49" t="str">
        <f t="shared" si="0"/>
        <v>Feb</v>
      </c>
      <c r="H49" t="str">
        <f t="shared" si="1"/>
        <v>2021</v>
      </c>
    </row>
    <row r="50" spans="1:8" hidden="1" x14ac:dyDescent="0.35">
      <c r="A50" t="s">
        <v>52</v>
      </c>
      <c r="B50" s="1">
        <v>1400</v>
      </c>
      <c r="C50" s="1">
        <v>9.5238095238095237</v>
      </c>
      <c r="D50" s="1" t="s">
        <v>259</v>
      </c>
      <c r="E50" s="27" t="s">
        <v>265</v>
      </c>
      <c r="F50" s="2">
        <v>44231</v>
      </c>
      <c r="G50" t="str">
        <f t="shared" si="0"/>
        <v>Feb</v>
      </c>
      <c r="H50" t="str">
        <f t="shared" si="1"/>
        <v>2021</v>
      </c>
    </row>
    <row r="51" spans="1:8" hidden="1" x14ac:dyDescent="0.35">
      <c r="A51" t="s">
        <v>53</v>
      </c>
      <c r="B51" s="1">
        <v>4000</v>
      </c>
      <c r="C51" s="1">
        <v>27.210884353741495</v>
      </c>
      <c r="D51" s="1" t="s">
        <v>515</v>
      </c>
      <c r="E51" s="27" t="s">
        <v>204</v>
      </c>
      <c r="F51" s="2">
        <v>44232</v>
      </c>
      <c r="G51" t="str">
        <f t="shared" si="0"/>
        <v>Feb</v>
      </c>
      <c r="H51" t="str">
        <f t="shared" si="1"/>
        <v>2021</v>
      </c>
    </row>
    <row r="52" spans="1:8" hidden="1" x14ac:dyDescent="0.35">
      <c r="A52" t="s">
        <v>6</v>
      </c>
      <c r="B52" s="1">
        <v>2250</v>
      </c>
      <c r="C52" s="1">
        <v>15.306122448979592</v>
      </c>
      <c r="D52" s="3" t="s">
        <v>261</v>
      </c>
      <c r="E52" s="27" t="s">
        <v>514</v>
      </c>
      <c r="F52" s="2">
        <v>44233</v>
      </c>
      <c r="G52" t="str">
        <f t="shared" si="0"/>
        <v>Feb</v>
      </c>
      <c r="H52" t="str">
        <f t="shared" si="1"/>
        <v>2021</v>
      </c>
    </row>
    <row r="53" spans="1:8" hidden="1" x14ac:dyDescent="0.35">
      <c r="A53" t="s">
        <v>52</v>
      </c>
      <c r="B53" s="1">
        <v>700</v>
      </c>
      <c r="C53" s="1">
        <v>4.7619047619047619</v>
      </c>
      <c r="D53" s="1" t="s">
        <v>259</v>
      </c>
      <c r="E53" s="27" t="s">
        <v>265</v>
      </c>
      <c r="F53" s="2">
        <v>44257</v>
      </c>
      <c r="G53" t="str">
        <f t="shared" si="0"/>
        <v>Mar</v>
      </c>
      <c r="H53" t="str">
        <f t="shared" si="1"/>
        <v>2021</v>
      </c>
    </row>
    <row r="54" spans="1:8" hidden="1" x14ac:dyDescent="0.35">
      <c r="A54" t="s">
        <v>54</v>
      </c>
      <c r="B54" s="1">
        <v>600</v>
      </c>
      <c r="C54" s="1">
        <v>4.0816326530612246</v>
      </c>
      <c r="D54" s="1" t="s">
        <v>259</v>
      </c>
      <c r="E54" s="27" t="s">
        <v>268</v>
      </c>
      <c r="F54" s="2">
        <v>44258</v>
      </c>
      <c r="G54" t="str">
        <f t="shared" si="0"/>
        <v>Mar</v>
      </c>
      <c r="H54" t="str">
        <f t="shared" si="1"/>
        <v>2021</v>
      </c>
    </row>
    <row r="55" spans="1:8" hidden="1" x14ac:dyDescent="0.35">
      <c r="A55" t="s">
        <v>55</v>
      </c>
      <c r="B55" s="1">
        <v>46000</v>
      </c>
      <c r="C55" s="1">
        <v>312.92517006802723</v>
      </c>
      <c r="D55" s="1" t="s">
        <v>259</v>
      </c>
      <c r="E55" s="27" t="s">
        <v>267</v>
      </c>
      <c r="F55" s="2">
        <v>44259</v>
      </c>
      <c r="G55" t="str">
        <f t="shared" si="0"/>
        <v>Mar</v>
      </c>
      <c r="H55" t="str">
        <f t="shared" si="1"/>
        <v>2021</v>
      </c>
    </row>
    <row r="56" spans="1:8" hidden="1" x14ac:dyDescent="0.35">
      <c r="A56" t="s">
        <v>6</v>
      </c>
      <c r="B56" s="1">
        <v>2250</v>
      </c>
      <c r="C56" s="1">
        <v>15.306122448979592</v>
      </c>
      <c r="D56" s="3" t="s">
        <v>261</v>
      </c>
      <c r="E56" s="27" t="s">
        <v>514</v>
      </c>
      <c r="F56" s="2">
        <v>44262</v>
      </c>
      <c r="G56" t="str">
        <f t="shared" si="0"/>
        <v>Mar</v>
      </c>
      <c r="H56" t="str">
        <f t="shared" si="1"/>
        <v>2021</v>
      </c>
    </row>
    <row r="57" spans="1:8" hidden="1" x14ac:dyDescent="0.35">
      <c r="A57" t="s">
        <v>56</v>
      </c>
      <c r="B57" s="1">
        <v>5920</v>
      </c>
      <c r="C57" s="1">
        <v>40.272108843537417</v>
      </c>
      <c r="D57" s="1" t="s">
        <v>259</v>
      </c>
      <c r="E57" s="27" t="s">
        <v>267</v>
      </c>
      <c r="F57" s="2">
        <v>44263</v>
      </c>
      <c r="G57" t="str">
        <f t="shared" si="0"/>
        <v>Mar</v>
      </c>
      <c r="H57" t="str">
        <f t="shared" si="1"/>
        <v>2021</v>
      </c>
    </row>
    <row r="58" spans="1:8" hidden="1" x14ac:dyDescent="0.35">
      <c r="A58" t="s">
        <v>6</v>
      </c>
      <c r="B58" s="1">
        <v>2250</v>
      </c>
      <c r="C58" s="1">
        <v>15.306122448979592</v>
      </c>
      <c r="D58" s="3" t="s">
        <v>261</v>
      </c>
      <c r="E58" s="27" t="s">
        <v>514</v>
      </c>
      <c r="F58" s="2">
        <v>44293</v>
      </c>
      <c r="G58" t="str">
        <f t="shared" si="0"/>
        <v>Apr</v>
      </c>
      <c r="H58" t="str">
        <f t="shared" si="1"/>
        <v>2021</v>
      </c>
    </row>
    <row r="59" spans="1:8" hidden="1" x14ac:dyDescent="0.35">
      <c r="A59" t="s">
        <v>57</v>
      </c>
      <c r="B59" s="1">
        <v>1060</v>
      </c>
      <c r="C59" s="1">
        <v>7.2108843537414966</v>
      </c>
      <c r="D59" s="1" t="s">
        <v>259</v>
      </c>
      <c r="E59" s="27" t="s">
        <v>265</v>
      </c>
      <c r="F59" s="2">
        <v>44294</v>
      </c>
      <c r="G59" t="str">
        <f t="shared" si="0"/>
        <v>Apr</v>
      </c>
      <c r="H59" t="str">
        <f t="shared" si="1"/>
        <v>2021</v>
      </c>
    </row>
    <row r="60" spans="1:8" hidden="1" x14ac:dyDescent="0.35">
      <c r="A60" t="s">
        <v>46</v>
      </c>
      <c r="B60" s="1">
        <v>1000</v>
      </c>
      <c r="C60" s="1">
        <v>6.8027210884353737</v>
      </c>
      <c r="D60" s="1" t="s">
        <v>259</v>
      </c>
      <c r="E60" s="27" t="s">
        <v>265</v>
      </c>
      <c r="F60" s="2">
        <v>44295</v>
      </c>
      <c r="G60" t="str">
        <f t="shared" si="0"/>
        <v>Apr</v>
      </c>
      <c r="H60" t="str">
        <f t="shared" si="1"/>
        <v>2021</v>
      </c>
    </row>
    <row r="61" spans="1:8" hidden="1" x14ac:dyDescent="0.35">
      <c r="A61" t="s">
        <v>49</v>
      </c>
      <c r="B61" s="1">
        <v>15995.61</v>
      </c>
      <c r="C61" s="1">
        <v>108.81367346938777</v>
      </c>
      <c r="D61" s="1" t="s">
        <v>263</v>
      </c>
      <c r="E61" s="27" t="s">
        <v>274</v>
      </c>
      <c r="F61" s="2">
        <v>44299</v>
      </c>
      <c r="G61" t="str">
        <f t="shared" si="0"/>
        <v>Apr</v>
      </c>
      <c r="H61" t="str">
        <f t="shared" si="1"/>
        <v>2021</v>
      </c>
    </row>
    <row r="62" spans="1:8" hidden="1" x14ac:dyDescent="0.35">
      <c r="A62" t="s">
        <v>58</v>
      </c>
      <c r="B62" s="1">
        <v>6019.22</v>
      </c>
      <c r="C62" s="1">
        <v>40.947074829931978</v>
      </c>
      <c r="D62" s="1" t="s">
        <v>260</v>
      </c>
      <c r="E62" s="27" t="s">
        <v>273</v>
      </c>
      <c r="F62" s="2">
        <v>44306</v>
      </c>
      <c r="G62" t="str">
        <f t="shared" si="0"/>
        <v>Apr</v>
      </c>
      <c r="H62" t="str">
        <f t="shared" si="1"/>
        <v>2021</v>
      </c>
    </row>
    <row r="63" spans="1:8" hidden="1" x14ac:dyDescent="0.35">
      <c r="A63" t="s">
        <v>42</v>
      </c>
      <c r="B63" s="1">
        <v>7884.08</v>
      </c>
      <c r="C63" s="1">
        <v>53.633197278911567</v>
      </c>
      <c r="D63" s="1" t="s">
        <v>42</v>
      </c>
      <c r="E63" s="27" t="s">
        <v>270</v>
      </c>
      <c r="F63" s="2">
        <v>44313</v>
      </c>
      <c r="G63" t="str">
        <f t="shared" si="0"/>
        <v>Apr</v>
      </c>
      <c r="H63" t="str">
        <f t="shared" si="1"/>
        <v>2021</v>
      </c>
    </row>
    <row r="64" spans="1:8" hidden="1" x14ac:dyDescent="0.35">
      <c r="A64" t="s">
        <v>6</v>
      </c>
      <c r="B64" s="1">
        <v>2250</v>
      </c>
      <c r="C64" s="1">
        <v>15.306122448979592</v>
      </c>
      <c r="D64" s="3" t="s">
        <v>261</v>
      </c>
      <c r="E64" s="27" t="s">
        <v>514</v>
      </c>
      <c r="F64" s="2">
        <v>44323</v>
      </c>
      <c r="G64" t="str">
        <f t="shared" si="0"/>
        <v>May</v>
      </c>
      <c r="H64" t="str">
        <f t="shared" si="1"/>
        <v>2021</v>
      </c>
    </row>
    <row r="65" spans="1:8" hidden="1" x14ac:dyDescent="0.35">
      <c r="A65" t="s">
        <v>58</v>
      </c>
      <c r="B65" s="1">
        <v>6019.22</v>
      </c>
      <c r="C65" s="1">
        <v>40.947074829931978</v>
      </c>
      <c r="D65" s="1" t="s">
        <v>260</v>
      </c>
      <c r="E65" s="27" t="s">
        <v>273</v>
      </c>
      <c r="F65" s="2">
        <v>44324</v>
      </c>
      <c r="G65" t="str">
        <f t="shared" si="0"/>
        <v>May</v>
      </c>
      <c r="H65" t="str">
        <f t="shared" si="1"/>
        <v>2021</v>
      </c>
    </row>
    <row r="66" spans="1:8" hidden="1" x14ac:dyDescent="0.35">
      <c r="A66" t="s">
        <v>45</v>
      </c>
      <c r="B66" s="1">
        <f>10.99*150</f>
        <v>1648.5</v>
      </c>
      <c r="C66" s="1">
        <v>11.214285714285714</v>
      </c>
      <c r="D66" s="1" t="s">
        <v>259</v>
      </c>
      <c r="E66" s="27" t="s">
        <v>265</v>
      </c>
      <c r="F66" s="2">
        <v>44325</v>
      </c>
      <c r="G66" t="str">
        <f t="shared" ref="G66:G129" si="2">TEXT(F66,"mmm")</f>
        <v>May</v>
      </c>
      <c r="H66" t="str">
        <f t="shared" ref="H66:H129" si="3">TEXT(F66,"yyy")</f>
        <v>2021</v>
      </c>
    </row>
    <row r="67" spans="1:8" hidden="1" x14ac:dyDescent="0.35">
      <c r="A67" t="s">
        <v>59</v>
      </c>
      <c r="B67" s="1">
        <v>5500</v>
      </c>
      <c r="C67" s="1">
        <v>37.414965986394556</v>
      </c>
      <c r="D67" s="1" t="s">
        <v>259</v>
      </c>
      <c r="E67" s="27" t="s">
        <v>265</v>
      </c>
      <c r="F67" s="2">
        <v>44326</v>
      </c>
      <c r="G67" t="str">
        <f t="shared" si="2"/>
        <v>May</v>
      </c>
      <c r="H67" t="str">
        <f t="shared" si="3"/>
        <v>2021</v>
      </c>
    </row>
    <row r="68" spans="1:8" hidden="1" x14ac:dyDescent="0.35">
      <c r="A68" t="s">
        <v>60</v>
      </c>
      <c r="B68" s="1">
        <v>3300</v>
      </c>
      <c r="C68" s="1">
        <v>22.448979591836736</v>
      </c>
      <c r="D68" s="1" t="s">
        <v>261</v>
      </c>
      <c r="E68" s="27" t="s">
        <v>514</v>
      </c>
      <c r="F68" s="2">
        <v>44327</v>
      </c>
      <c r="G68" t="str">
        <f t="shared" si="2"/>
        <v>May</v>
      </c>
      <c r="H68" t="str">
        <f t="shared" si="3"/>
        <v>2021</v>
      </c>
    </row>
    <row r="69" spans="1:8" hidden="1" x14ac:dyDescent="0.35">
      <c r="A69" t="s">
        <v>61</v>
      </c>
      <c r="B69" s="1">
        <v>2500</v>
      </c>
      <c r="C69" s="1">
        <v>17.006802721088434</v>
      </c>
      <c r="D69" s="1" t="s">
        <v>259</v>
      </c>
      <c r="E69" s="27" t="s">
        <v>267</v>
      </c>
      <c r="F69" s="2">
        <v>44328</v>
      </c>
      <c r="G69" t="str">
        <f t="shared" si="2"/>
        <v>May</v>
      </c>
      <c r="H69" t="str">
        <f t="shared" si="3"/>
        <v>2021</v>
      </c>
    </row>
    <row r="70" spans="1:8" hidden="1" x14ac:dyDescent="0.35">
      <c r="A70" t="s">
        <v>62</v>
      </c>
      <c r="B70" s="1">
        <f>258*140</f>
        <v>36120</v>
      </c>
      <c r="C70" s="1">
        <v>245.71428571428572</v>
      </c>
      <c r="D70" s="1" t="s">
        <v>259</v>
      </c>
      <c r="E70" s="27" t="s">
        <v>268</v>
      </c>
      <c r="F70" s="2">
        <v>44329</v>
      </c>
      <c r="G70" t="str">
        <f t="shared" si="2"/>
        <v>May</v>
      </c>
      <c r="H70" t="str">
        <f t="shared" si="3"/>
        <v>2021</v>
      </c>
    </row>
    <row r="71" spans="1:8" x14ac:dyDescent="0.35">
      <c r="A71" t="s">
        <v>39</v>
      </c>
      <c r="B71" s="1">
        <v>14500</v>
      </c>
      <c r="C71" s="1">
        <v>98.639455782312922</v>
      </c>
      <c r="D71" s="1" t="s">
        <v>689</v>
      </c>
      <c r="E71" s="27" t="s">
        <v>275</v>
      </c>
      <c r="F71" s="2">
        <v>44330</v>
      </c>
      <c r="G71" t="str">
        <f t="shared" si="2"/>
        <v>May</v>
      </c>
      <c r="H71" t="str">
        <f t="shared" si="3"/>
        <v>2021</v>
      </c>
    </row>
    <row r="72" spans="1:8" hidden="1" x14ac:dyDescent="0.35">
      <c r="A72" t="s">
        <v>63</v>
      </c>
      <c r="B72" s="1">
        <v>30000</v>
      </c>
      <c r="C72" s="1">
        <v>204.08163265306123</v>
      </c>
      <c r="D72" s="1" t="s">
        <v>262</v>
      </c>
      <c r="E72" s="27" t="s">
        <v>271</v>
      </c>
      <c r="F72" s="2">
        <v>44331</v>
      </c>
      <c r="G72" t="str">
        <f t="shared" si="2"/>
        <v>May</v>
      </c>
      <c r="H72" t="str">
        <f t="shared" si="3"/>
        <v>2021</v>
      </c>
    </row>
    <row r="73" spans="1:8" hidden="1" x14ac:dyDescent="0.35">
      <c r="A73" t="s">
        <v>46</v>
      </c>
      <c r="B73" s="1">
        <v>500</v>
      </c>
      <c r="C73" s="1">
        <v>3.4013605442176869</v>
      </c>
      <c r="D73" s="1" t="s">
        <v>259</v>
      </c>
      <c r="E73" s="27" t="s">
        <v>265</v>
      </c>
      <c r="F73" s="2">
        <v>44332</v>
      </c>
      <c r="G73" t="str">
        <f t="shared" si="2"/>
        <v>May</v>
      </c>
      <c r="H73" t="str">
        <f t="shared" si="3"/>
        <v>2021</v>
      </c>
    </row>
    <row r="74" spans="1:8" hidden="1" x14ac:dyDescent="0.35">
      <c r="A74" t="s">
        <v>42</v>
      </c>
      <c r="B74" s="1">
        <v>7884.08</v>
      </c>
      <c r="C74" s="1">
        <v>53.633197278911567</v>
      </c>
      <c r="D74" s="1" t="s">
        <v>42</v>
      </c>
      <c r="E74" s="27" t="s">
        <v>270</v>
      </c>
      <c r="F74" s="2">
        <v>44344</v>
      </c>
      <c r="G74" t="str">
        <f t="shared" si="2"/>
        <v>May</v>
      </c>
      <c r="H74" t="str">
        <f t="shared" si="3"/>
        <v>2021</v>
      </c>
    </row>
    <row r="75" spans="1:8" hidden="1" x14ac:dyDescent="0.35">
      <c r="A75" t="s">
        <v>6</v>
      </c>
      <c r="B75" s="1">
        <v>2250</v>
      </c>
      <c r="C75" s="1">
        <v>15.306122448979592</v>
      </c>
      <c r="D75" s="3" t="s">
        <v>261</v>
      </c>
      <c r="E75" s="27" t="s">
        <v>514</v>
      </c>
      <c r="F75" s="2">
        <v>44354</v>
      </c>
      <c r="G75" t="str">
        <f t="shared" si="2"/>
        <v>Jun</v>
      </c>
      <c r="H75" t="str">
        <f t="shared" si="3"/>
        <v>2021</v>
      </c>
    </row>
    <row r="76" spans="1:8" hidden="1" x14ac:dyDescent="0.35">
      <c r="A76" t="s">
        <v>6</v>
      </c>
      <c r="B76" s="1">
        <v>2251</v>
      </c>
      <c r="C76" s="1">
        <v>15.312925170068027</v>
      </c>
      <c r="D76" s="3" t="s">
        <v>261</v>
      </c>
      <c r="E76" s="27" t="s">
        <v>514</v>
      </c>
      <c r="F76" s="2">
        <v>44385</v>
      </c>
      <c r="G76" t="str">
        <f t="shared" si="2"/>
        <v>Jul</v>
      </c>
      <c r="H76" t="str">
        <f t="shared" si="3"/>
        <v>2021</v>
      </c>
    </row>
    <row r="77" spans="1:8" hidden="1" x14ac:dyDescent="0.35">
      <c r="A77" t="s">
        <v>64</v>
      </c>
      <c r="B77" s="1">
        <v>25000</v>
      </c>
      <c r="C77" s="1">
        <v>170.06802721088437</v>
      </c>
      <c r="D77" s="1" t="s">
        <v>259</v>
      </c>
      <c r="E77" s="27" t="s">
        <v>268</v>
      </c>
      <c r="F77" s="2">
        <v>44386</v>
      </c>
      <c r="G77" t="str">
        <f t="shared" si="2"/>
        <v>Jul</v>
      </c>
      <c r="H77" t="str">
        <f t="shared" si="3"/>
        <v>2021</v>
      </c>
    </row>
    <row r="78" spans="1:8" hidden="1" x14ac:dyDescent="0.35">
      <c r="A78" t="s">
        <v>49</v>
      </c>
      <c r="B78" s="1">
        <v>15000</v>
      </c>
      <c r="C78" s="1">
        <v>102.04081632653062</v>
      </c>
      <c r="D78" s="1" t="s">
        <v>263</v>
      </c>
      <c r="E78" s="27" t="s">
        <v>274</v>
      </c>
      <c r="F78" s="2">
        <v>44387</v>
      </c>
      <c r="G78" t="str">
        <f t="shared" si="2"/>
        <v>Jul</v>
      </c>
      <c r="H78" t="str">
        <f t="shared" si="3"/>
        <v>2021</v>
      </c>
    </row>
    <row r="79" spans="1:8" hidden="1" x14ac:dyDescent="0.35">
      <c r="A79" t="s">
        <v>42</v>
      </c>
      <c r="B79" s="1">
        <v>7884.08</v>
      </c>
      <c r="C79" s="1">
        <v>53.633197278911567</v>
      </c>
      <c r="D79" s="1" t="s">
        <v>42</v>
      </c>
      <c r="E79" s="27" t="s">
        <v>270</v>
      </c>
      <c r="F79" s="2">
        <v>44388</v>
      </c>
      <c r="G79" t="str">
        <f t="shared" si="2"/>
        <v>Jul</v>
      </c>
      <c r="H79" t="str">
        <f t="shared" si="3"/>
        <v>2021</v>
      </c>
    </row>
    <row r="80" spans="1:8" hidden="1" x14ac:dyDescent="0.35">
      <c r="A80" t="s">
        <v>65</v>
      </c>
      <c r="B80" s="1">
        <v>40000</v>
      </c>
      <c r="C80" s="1">
        <v>272.10884353741494</v>
      </c>
      <c r="D80" s="1" t="s">
        <v>259</v>
      </c>
      <c r="E80" s="27" t="s">
        <v>4</v>
      </c>
      <c r="F80" s="2">
        <v>44389</v>
      </c>
      <c r="G80" t="str">
        <f t="shared" si="2"/>
        <v>Jul</v>
      </c>
      <c r="H80" t="str">
        <f t="shared" si="3"/>
        <v>2021</v>
      </c>
    </row>
    <row r="81" spans="1:8" hidden="1" x14ac:dyDescent="0.35">
      <c r="A81" t="s">
        <v>66</v>
      </c>
      <c r="B81" s="1">
        <v>10000</v>
      </c>
      <c r="C81" s="1">
        <v>68.027210884353735</v>
      </c>
      <c r="D81" s="1" t="s">
        <v>259</v>
      </c>
      <c r="E81" s="27" t="s">
        <v>265</v>
      </c>
      <c r="F81" s="2">
        <v>44390</v>
      </c>
      <c r="G81" t="str">
        <f t="shared" si="2"/>
        <v>Jul</v>
      </c>
      <c r="H81" t="str">
        <f t="shared" si="3"/>
        <v>2021</v>
      </c>
    </row>
    <row r="82" spans="1:8" hidden="1" x14ac:dyDescent="0.35">
      <c r="A82" t="s">
        <v>67</v>
      </c>
      <c r="B82" s="1">
        <v>2500</v>
      </c>
      <c r="C82" s="1">
        <v>17.006802721088434</v>
      </c>
      <c r="D82" s="1" t="s">
        <v>259</v>
      </c>
      <c r="E82" s="27" t="s">
        <v>265</v>
      </c>
      <c r="F82" s="2">
        <v>44391</v>
      </c>
      <c r="G82" t="str">
        <f t="shared" si="2"/>
        <v>Jul</v>
      </c>
      <c r="H82" t="str">
        <f t="shared" si="3"/>
        <v>2021</v>
      </c>
    </row>
    <row r="83" spans="1:8" hidden="1" x14ac:dyDescent="0.35">
      <c r="A83" t="s">
        <v>68</v>
      </c>
      <c r="B83" s="1">
        <v>3000</v>
      </c>
      <c r="C83" s="1">
        <v>20.408163265306122</v>
      </c>
      <c r="D83" s="1" t="s">
        <v>263</v>
      </c>
      <c r="E83" s="27" t="s">
        <v>274</v>
      </c>
      <c r="F83" s="2">
        <v>44392</v>
      </c>
      <c r="G83" t="str">
        <f t="shared" si="2"/>
        <v>Jul</v>
      </c>
      <c r="H83" t="str">
        <f t="shared" si="3"/>
        <v>2021</v>
      </c>
    </row>
    <row r="84" spans="1:8" hidden="1" x14ac:dyDescent="0.35">
      <c r="A84" t="s">
        <v>69</v>
      </c>
      <c r="B84" s="1">
        <v>25500</v>
      </c>
      <c r="C84" s="1">
        <v>173.46938775510205</v>
      </c>
      <c r="D84" s="1" t="s">
        <v>263</v>
      </c>
      <c r="E84" s="27" t="s">
        <v>274</v>
      </c>
      <c r="F84" s="2">
        <v>44411</v>
      </c>
      <c r="G84" t="str">
        <f t="shared" si="2"/>
        <v>Aug</v>
      </c>
      <c r="H84" t="str">
        <f t="shared" si="3"/>
        <v>2021</v>
      </c>
    </row>
    <row r="85" spans="1:8" hidden="1" x14ac:dyDescent="0.35">
      <c r="A85" t="s">
        <v>6</v>
      </c>
      <c r="B85" s="1">
        <v>2251</v>
      </c>
      <c r="C85" s="1">
        <v>15.312925170068027</v>
      </c>
      <c r="D85" s="3" t="s">
        <v>261</v>
      </c>
      <c r="E85" s="27" t="s">
        <v>514</v>
      </c>
      <c r="F85" s="2">
        <v>44412</v>
      </c>
      <c r="G85" t="str">
        <f t="shared" si="2"/>
        <v>Aug</v>
      </c>
      <c r="H85" t="str">
        <f t="shared" si="3"/>
        <v>2021</v>
      </c>
    </row>
    <row r="86" spans="1:8" hidden="1" x14ac:dyDescent="0.35">
      <c r="A86" t="s">
        <v>89</v>
      </c>
      <c r="B86" s="27">
        <v>4000</v>
      </c>
      <c r="C86" s="27">
        <v>27.210884353741495</v>
      </c>
      <c r="D86" s="27" t="s">
        <v>259</v>
      </c>
      <c r="E86" s="27" t="s">
        <v>267</v>
      </c>
      <c r="F86" s="2">
        <v>44414</v>
      </c>
      <c r="G86" t="str">
        <f t="shared" si="2"/>
        <v>Aug</v>
      </c>
      <c r="H86" t="str">
        <f t="shared" si="3"/>
        <v>2021</v>
      </c>
    </row>
    <row r="87" spans="1:8" hidden="1" x14ac:dyDescent="0.35">
      <c r="A87" t="s">
        <v>90</v>
      </c>
      <c r="B87" s="27">
        <v>57000</v>
      </c>
      <c r="C87" s="27">
        <v>387.75510204081633</v>
      </c>
      <c r="D87" s="27" t="s">
        <v>259</v>
      </c>
      <c r="E87" s="27" t="s">
        <v>267</v>
      </c>
      <c r="F87" s="2">
        <v>44415</v>
      </c>
      <c r="G87" t="str">
        <f t="shared" si="2"/>
        <v>Aug</v>
      </c>
      <c r="H87" t="str">
        <f t="shared" si="3"/>
        <v>2021</v>
      </c>
    </row>
    <row r="88" spans="1:8" hidden="1" x14ac:dyDescent="0.35">
      <c r="A88" t="s">
        <v>42</v>
      </c>
      <c r="B88" s="1">
        <v>7884.08</v>
      </c>
      <c r="C88" s="1">
        <v>53.633197278911567</v>
      </c>
      <c r="D88" s="1" t="s">
        <v>42</v>
      </c>
      <c r="E88" s="27" t="s">
        <v>270</v>
      </c>
      <c r="F88" s="2">
        <v>44419</v>
      </c>
      <c r="G88" t="str">
        <f t="shared" si="2"/>
        <v>Aug</v>
      </c>
      <c r="H88" t="str">
        <f t="shared" si="3"/>
        <v>2021</v>
      </c>
    </row>
    <row r="89" spans="1:8" hidden="1" x14ac:dyDescent="0.35">
      <c r="A89" t="s">
        <v>90</v>
      </c>
      <c r="B89" s="1">
        <v>21000</v>
      </c>
      <c r="C89" s="1">
        <v>142.85714285714286</v>
      </c>
      <c r="D89" s="1" t="s">
        <v>259</v>
      </c>
      <c r="E89" s="27" t="s">
        <v>267</v>
      </c>
      <c r="F89" s="2">
        <v>44440</v>
      </c>
      <c r="G89" t="str">
        <f t="shared" si="2"/>
        <v>Sep</v>
      </c>
      <c r="H89" t="str">
        <f t="shared" si="3"/>
        <v>2021</v>
      </c>
    </row>
    <row r="90" spans="1:8" hidden="1" x14ac:dyDescent="0.35">
      <c r="A90" t="s">
        <v>63</v>
      </c>
      <c r="B90" s="45">
        <v>12000</v>
      </c>
      <c r="C90" s="45">
        <f>Balance[[#This Row],[COST]]/147</f>
        <v>81.632653061224488</v>
      </c>
      <c r="D90" s="1" t="s">
        <v>262</v>
      </c>
      <c r="E90" s="27" t="s">
        <v>271</v>
      </c>
      <c r="F90" s="2">
        <v>44440</v>
      </c>
      <c r="G90" t="str">
        <f t="shared" si="2"/>
        <v>Sep</v>
      </c>
      <c r="H90" t="str">
        <f t="shared" si="3"/>
        <v>2021</v>
      </c>
    </row>
    <row r="91" spans="1:8" hidden="1" x14ac:dyDescent="0.35">
      <c r="A91" t="s">
        <v>91</v>
      </c>
      <c r="B91" s="1">
        <v>10000</v>
      </c>
      <c r="C91" s="1">
        <v>68.027210884353735</v>
      </c>
      <c r="D91" s="1" t="s">
        <v>259</v>
      </c>
      <c r="E91" s="27" t="s">
        <v>267</v>
      </c>
      <c r="F91" s="2">
        <v>44441</v>
      </c>
      <c r="G91" t="str">
        <f t="shared" si="2"/>
        <v>Sep</v>
      </c>
      <c r="H91" t="str">
        <f t="shared" si="3"/>
        <v>2021</v>
      </c>
    </row>
    <row r="92" spans="1:8" hidden="1" x14ac:dyDescent="0.35">
      <c r="A92" t="s">
        <v>92</v>
      </c>
      <c r="B92" s="1">
        <v>10000</v>
      </c>
      <c r="C92" s="1">
        <v>68.027210884353735</v>
      </c>
      <c r="D92" s="1" t="s">
        <v>259</v>
      </c>
      <c r="E92" s="27" t="s">
        <v>268</v>
      </c>
      <c r="F92" s="2">
        <v>44442</v>
      </c>
      <c r="G92" t="str">
        <f t="shared" si="2"/>
        <v>Sep</v>
      </c>
      <c r="H92" t="str">
        <f t="shared" si="3"/>
        <v>2021</v>
      </c>
    </row>
    <row r="93" spans="1:8" hidden="1" x14ac:dyDescent="0.35">
      <c r="A93" t="s">
        <v>42</v>
      </c>
      <c r="B93" s="1">
        <v>7884.08</v>
      </c>
      <c r="C93" s="1">
        <v>53.633197278911567</v>
      </c>
      <c r="D93" s="1" t="s">
        <v>42</v>
      </c>
      <c r="E93" s="27" t="s">
        <v>270</v>
      </c>
      <c r="F93" s="2">
        <v>44442</v>
      </c>
      <c r="G93" t="str">
        <f t="shared" si="2"/>
        <v>Sep</v>
      </c>
      <c r="H93" t="str">
        <f t="shared" si="3"/>
        <v>2021</v>
      </c>
    </row>
    <row r="94" spans="1:8" hidden="1" x14ac:dyDescent="0.35">
      <c r="A94" t="s">
        <v>89</v>
      </c>
      <c r="B94" s="1">
        <v>3000</v>
      </c>
      <c r="C94" s="1">
        <v>20.408163265306122</v>
      </c>
      <c r="D94" s="1" t="s">
        <v>259</v>
      </c>
      <c r="E94" s="27" t="s">
        <v>267</v>
      </c>
      <c r="F94" s="2">
        <v>44443</v>
      </c>
      <c r="G94" t="str">
        <f t="shared" si="2"/>
        <v>Sep</v>
      </c>
      <c r="H94" t="str">
        <f t="shared" si="3"/>
        <v>2021</v>
      </c>
    </row>
    <row r="95" spans="1:8" hidden="1" x14ac:dyDescent="0.35">
      <c r="A95" t="s">
        <v>6</v>
      </c>
      <c r="B95" s="1">
        <v>2251</v>
      </c>
      <c r="C95" s="1">
        <v>15.312925170068027</v>
      </c>
      <c r="D95" s="3" t="s">
        <v>261</v>
      </c>
      <c r="E95" s="27" t="s">
        <v>514</v>
      </c>
      <c r="F95" s="2">
        <v>44443</v>
      </c>
      <c r="G95" t="str">
        <f t="shared" si="2"/>
        <v>Sep</v>
      </c>
      <c r="H95" t="str">
        <f t="shared" si="3"/>
        <v>2021</v>
      </c>
    </row>
    <row r="96" spans="1:8" hidden="1" x14ac:dyDescent="0.35">
      <c r="A96" t="s">
        <v>94</v>
      </c>
      <c r="B96" s="1">
        <v>28500</v>
      </c>
      <c r="C96" s="1">
        <v>193.87755102040816</v>
      </c>
      <c r="D96" s="1" t="s">
        <v>259</v>
      </c>
      <c r="E96" s="27" t="s">
        <v>267</v>
      </c>
      <c r="F96" s="2">
        <v>44444</v>
      </c>
      <c r="G96" t="str">
        <f t="shared" si="2"/>
        <v>Sep</v>
      </c>
      <c r="H96" t="str">
        <f t="shared" si="3"/>
        <v>2021</v>
      </c>
    </row>
    <row r="97" spans="1:8" hidden="1" x14ac:dyDescent="0.35">
      <c r="A97" t="s">
        <v>49</v>
      </c>
      <c r="B97" s="1">
        <v>15000</v>
      </c>
      <c r="C97" s="1">
        <v>102.04081632653062</v>
      </c>
      <c r="D97" s="1" t="s">
        <v>263</v>
      </c>
      <c r="E97" s="27" t="s">
        <v>274</v>
      </c>
      <c r="F97" s="2">
        <v>44444</v>
      </c>
      <c r="G97" t="str">
        <f t="shared" si="2"/>
        <v>Sep</v>
      </c>
      <c r="H97" t="str">
        <f t="shared" si="3"/>
        <v>2021</v>
      </c>
    </row>
    <row r="98" spans="1:8" hidden="1" x14ac:dyDescent="0.35">
      <c r="A98" t="s">
        <v>96</v>
      </c>
      <c r="B98" s="1">
        <v>5000</v>
      </c>
      <c r="C98" s="1">
        <v>34.013605442176868</v>
      </c>
      <c r="D98" s="1" t="s">
        <v>259</v>
      </c>
      <c r="E98" s="27" t="s">
        <v>267</v>
      </c>
      <c r="F98" s="2">
        <v>44444</v>
      </c>
      <c r="G98" t="str">
        <f t="shared" si="2"/>
        <v>Sep</v>
      </c>
      <c r="H98" t="str">
        <f t="shared" si="3"/>
        <v>2021</v>
      </c>
    </row>
    <row r="99" spans="1:8" hidden="1" x14ac:dyDescent="0.35">
      <c r="A99" t="s">
        <v>97</v>
      </c>
      <c r="B99" s="1">
        <v>5000</v>
      </c>
      <c r="C99" s="1">
        <v>34.013605442176868</v>
      </c>
      <c r="D99" s="1" t="s">
        <v>259</v>
      </c>
      <c r="E99" s="27" t="s">
        <v>268</v>
      </c>
      <c r="F99" s="2">
        <v>44470</v>
      </c>
      <c r="G99" t="str">
        <f t="shared" si="2"/>
        <v>Oct</v>
      </c>
      <c r="H99" t="str">
        <f t="shared" si="3"/>
        <v>2021</v>
      </c>
    </row>
    <row r="100" spans="1:8" hidden="1" x14ac:dyDescent="0.35">
      <c r="A100" t="s">
        <v>63</v>
      </c>
      <c r="B100" s="45">
        <v>12000</v>
      </c>
      <c r="C100" s="45">
        <f>Balance[[#This Row],[COST]]/147</f>
        <v>81.632653061224488</v>
      </c>
      <c r="D100" s="1" t="s">
        <v>262</v>
      </c>
      <c r="E100" s="27" t="s">
        <v>271</v>
      </c>
      <c r="F100" s="2">
        <v>44470</v>
      </c>
      <c r="G100" t="str">
        <f t="shared" si="2"/>
        <v>Oct</v>
      </c>
      <c r="H100" t="str">
        <f t="shared" si="3"/>
        <v>2021</v>
      </c>
    </row>
    <row r="101" spans="1:8" hidden="1" x14ac:dyDescent="0.35">
      <c r="A101" t="s">
        <v>100</v>
      </c>
      <c r="B101" s="1">
        <v>5385.03</v>
      </c>
      <c r="C101" s="1">
        <v>36.632857142857141</v>
      </c>
      <c r="D101" s="1" t="s">
        <v>259</v>
      </c>
      <c r="E101" s="27" t="s">
        <v>268</v>
      </c>
      <c r="F101" s="2">
        <v>44471</v>
      </c>
      <c r="G101" t="str">
        <f t="shared" si="2"/>
        <v>Oct</v>
      </c>
      <c r="H101" t="str">
        <f t="shared" si="3"/>
        <v>2021</v>
      </c>
    </row>
    <row r="102" spans="1:8" hidden="1" x14ac:dyDescent="0.35">
      <c r="A102" t="s">
        <v>92</v>
      </c>
      <c r="B102" s="1">
        <v>5000</v>
      </c>
      <c r="C102" s="1">
        <v>34.013605442176868</v>
      </c>
      <c r="D102" s="1" t="s">
        <v>259</v>
      </c>
      <c r="E102" s="27" t="s">
        <v>268</v>
      </c>
      <c r="F102" s="2">
        <v>44472</v>
      </c>
      <c r="G102" t="str">
        <f t="shared" si="2"/>
        <v>Oct</v>
      </c>
      <c r="H102" t="str">
        <f t="shared" si="3"/>
        <v>2021</v>
      </c>
    </row>
    <row r="103" spans="1:8" x14ac:dyDescent="0.35">
      <c r="A103" t="s">
        <v>39</v>
      </c>
      <c r="B103" s="1">
        <v>10500</v>
      </c>
      <c r="C103" s="1">
        <v>71.428571428571431</v>
      </c>
      <c r="D103" s="1" t="s">
        <v>689</v>
      </c>
      <c r="E103" s="27" t="s">
        <v>275</v>
      </c>
      <c r="F103" s="2">
        <v>44473</v>
      </c>
      <c r="G103" t="str">
        <f t="shared" si="2"/>
        <v>Oct</v>
      </c>
      <c r="H103" t="str">
        <f t="shared" si="3"/>
        <v>2021</v>
      </c>
    </row>
    <row r="104" spans="1:8" hidden="1" x14ac:dyDescent="0.35">
      <c r="A104" t="s">
        <v>42</v>
      </c>
      <c r="B104" s="1">
        <v>7884.08</v>
      </c>
      <c r="C104" s="1">
        <v>53.633197278911567</v>
      </c>
      <c r="D104" s="1" t="s">
        <v>42</v>
      </c>
      <c r="E104" s="27" t="s">
        <v>270</v>
      </c>
      <c r="F104" s="2">
        <v>44474</v>
      </c>
      <c r="G104" t="str">
        <f t="shared" si="2"/>
        <v>Oct</v>
      </c>
      <c r="H104" t="str">
        <f t="shared" si="3"/>
        <v>2021</v>
      </c>
    </row>
    <row r="105" spans="1:8" hidden="1" x14ac:dyDescent="0.35">
      <c r="A105" t="s">
        <v>102</v>
      </c>
      <c r="B105" s="1">
        <v>3300</v>
      </c>
      <c r="C105" s="1">
        <v>22.448979591836736</v>
      </c>
      <c r="D105" s="1" t="s">
        <v>262</v>
      </c>
      <c r="E105" s="27" t="s">
        <v>271</v>
      </c>
      <c r="F105" s="2">
        <v>44475</v>
      </c>
      <c r="G105" t="str">
        <f t="shared" si="2"/>
        <v>Oct</v>
      </c>
      <c r="H105" t="str">
        <f t="shared" si="3"/>
        <v>2021</v>
      </c>
    </row>
    <row r="106" spans="1:8" x14ac:dyDescent="0.35">
      <c r="A106" t="s">
        <v>103</v>
      </c>
      <c r="B106" s="1">
        <v>1700</v>
      </c>
      <c r="C106" s="1">
        <v>11.564625850340136</v>
      </c>
      <c r="D106" s="1" t="s">
        <v>689</v>
      </c>
      <c r="E106" s="27" t="s">
        <v>275</v>
      </c>
      <c r="F106" s="2">
        <v>44476</v>
      </c>
      <c r="G106" t="str">
        <f t="shared" si="2"/>
        <v>Oct</v>
      </c>
      <c r="H106" t="str">
        <f t="shared" si="3"/>
        <v>2021</v>
      </c>
    </row>
    <row r="107" spans="1:8" x14ac:dyDescent="0.35">
      <c r="A107" t="s">
        <v>104</v>
      </c>
      <c r="B107" s="1">
        <v>22000</v>
      </c>
      <c r="C107" s="1">
        <v>149.65986394557822</v>
      </c>
      <c r="D107" s="1" t="s">
        <v>689</v>
      </c>
      <c r="E107" s="27" t="s">
        <v>275</v>
      </c>
      <c r="F107" s="2">
        <v>44477</v>
      </c>
      <c r="G107" t="str">
        <f t="shared" si="2"/>
        <v>Oct</v>
      </c>
      <c r="H107" t="str">
        <f t="shared" si="3"/>
        <v>2021</v>
      </c>
    </row>
    <row r="108" spans="1:8" hidden="1" x14ac:dyDescent="0.35">
      <c r="A108" t="s">
        <v>49</v>
      </c>
      <c r="B108" s="1">
        <v>15000</v>
      </c>
      <c r="C108" s="1">
        <v>102.04081632653062</v>
      </c>
      <c r="D108" s="1" t="s">
        <v>263</v>
      </c>
      <c r="E108" s="27" t="s">
        <v>274</v>
      </c>
      <c r="F108" s="2">
        <v>44479</v>
      </c>
      <c r="G108" t="str">
        <f t="shared" si="2"/>
        <v>Oct</v>
      </c>
      <c r="H108" t="str">
        <f t="shared" si="3"/>
        <v>2021</v>
      </c>
    </row>
    <row r="109" spans="1:8" x14ac:dyDescent="0.35">
      <c r="A109" t="s">
        <v>39</v>
      </c>
      <c r="B109" s="1">
        <v>5000</v>
      </c>
      <c r="C109" s="1">
        <v>34.013605442176868</v>
      </c>
      <c r="D109" s="1" t="s">
        <v>689</v>
      </c>
      <c r="E109" s="27" t="s">
        <v>275</v>
      </c>
      <c r="F109" s="2">
        <v>44480</v>
      </c>
      <c r="G109" t="str">
        <f t="shared" si="2"/>
        <v>Oct</v>
      </c>
      <c r="H109" t="str">
        <f t="shared" si="3"/>
        <v>2021</v>
      </c>
    </row>
    <row r="110" spans="1:8" hidden="1" x14ac:dyDescent="0.35">
      <c r="A110" t="s">
        <v>105</v>
      </c>
      <c r="B110" s="45">
        <v>10000</v>
      </c>
      <c r="C110" s="45">
        <v>68.027210884353735</v>
      </c>
      <c r="D110" s="1" t="s">
        <v>259</v>
      </c>
      <c r="E110" s="27" t="s">
        <v>265</v>
      </c>
      <c r="F110" s="2">
        <v>44481</v>
      </c>
      <c r="G110" t="str">
        <f t="shared" si="2"/>
        <v>Oct</v>
      </c>
      <c r="H110" t="str">
        <f t="shared" si="3"/>
        <v>2021</v>
      </c>
    </row>
    <row r="111" spans="1:8" hidden="1" x14ac:dyDescent="0.35">
      <c r="A111" t="s">
        <v>114</v>
      </c>
      <c r="B111" s="1">
        <v>1100</v>
      </c>
      <c r="C111" s="1">
        <v>7.4829931972789119</v>
      </c>
      <c r="D111" s="1" t="s">
        <v>259</v>
      </c>
      <c r="E111" s="27" t="s">
        <v>265</v>
      </c>
      <c r="F111" s="2">
        <v>44481</v>
      </c>
      <c r="G111" t="str">
        <f t="shared" si="2"/>
        <v>Oct</v>
      </c>
      <c r="H111" t="str">
        <f t="shared" si="3"/>
        <v>2021</v>
      </c>
    </row>
    <row r="112" spans="1:8" hidden="1" x14ac:dyDescent="0.35">
      <c r="A112" t="s">
        <v>63</v>
      </c>
      <c r="B112" s="45">
        <v>12000</v>
      </c>
      <c r="C112" s="45">
        <f>Balance[[#This Row],[COST]]/147</f>
        <v>81.632653061224488</v>
      </c>
      <c r="D112" s="1" t="s">
        <v>262</v>
      </c>
      <c r="E112" s="27" t="s">
        <v>271</v>
      </c>
      <c r="F112" s="2">
        <v>44501</v>
      </c>
      <c r="G112" t="str">
        <f t="shared" si="2"/>
        <v>Nov</v>
      </c>
      <c r="H112" t="str">
        <f t="shared" si="3"/>
        <v>2021</v>
      </c>
    </row>
    <row r="113" spans="1:8" hidden="1" x14ac:dyDescent="0.35">
      <c r="A113" t="s">
        <v>69</v>
      </c>
      <c r="B113" s="1">
        <v>14500</v>
      </c>
      <c r="C113" s="1">
        <v>98.639455782312922</v>
      </c>
      <c r="D113" s="1" t="s">
        <v>263</v>
      </c>
      <c r="E113" s="27" t="s">
        <v>274</v>
      </c>
      <c r="F113" s="2">
        <v>44503</v>
      </c>
      <c r="G113" t="str">
        <f t="shared" si="2"/>
        <v>Nov</v>
      </c>
      <c r="H113" t="str">
        <f t="shared" si="3"/>
        <v>2021</v>
      </c>
    </row>
    <row r="114" spans="1:8" hidden="1" x14ac:dyDescent="0.35">
      <c r="A114" t="s">
        <v>115</v>
      </c>
      <c r="B114" s="1">
        <v>550</v>
      </c>
      <c r="C114" s="1">
        <v>3.7414965986394559</v>
      </c>
      <c r="D114" s="1" t="s">
        <v>259</v>
      </c>
      <c r="E114" s="27" t="s">
        <v>265</v>
      </c>
      <c r="F114" s="2">
        <v>44503</v>
      </c>
      <c r="G114" t="str">
        <f t="shared" si="2"/>
        <v>Nov</v>
      </c>
      <c r="H114" t="str">
        <f t="shared" si="3"/>
        <v>2021</v>
      </c>
    </row>
    <row r="115" spans="1:8" hidden="1" x14ac:dyDescent="0.35">
      <c r="A115" t="s">
        <v>42</v>
      </c>
      <c r="B115" s="1">
        <v>7884.08</v>
      </c>
      <c r="C115" s="1">
        <v>53.633197278911567</v>
      </c>
      <c r="D115" s="1" t="s">
        <v>42</v>
      </c>
      <c r="E115" s="27" t="s">
        <v>270</v>
      </c>
      <c r="F115" s="2">
        <v>44504</v>
      </c>
      <c r="G115" t="str">
        <f t="shared" si="2"/>
        <v>Nov</v>
      </c>
      <c r="H115" t="str">
        <f t="shared" si="3"/>
        <v>2021</v>
      </c>
    </row>
    <row r="116" spans="1:8" hidden="1" x14ac:dyDescent="0.35">
      <c r="A116" t="s">
        <v>49</v>
      </c>
      <c r="B116" s="1">
        <v>15000</v>
      </c>
      <c r="C116" s="1">
        <v>102.04081632653062</v>
      </c>
      <c r="D116" s="1" t="s">
        <v>263</v>
      </c>
      <c r="E116" s="27" t="s">
        <v>274</v>
      </c>
      <c r="F116" s="2">
        <v>44510</v>
      </c>
      <c r="G116" t="str">
        <f t="shared" si="2"/>
        <v>Nov</v>
      </c>
      <c r="H116" t="str">
        <f t="shared" si="3"/>
        <v>2021</v>
      </c>
    </row>
    <row r="117" spans="1:8" hidden="1" x14ac:dyDescent="0.35">
      <c r="A117" t="s">
        <v>105</v>
      </c>
      <c r="B117" s="45">
        <v>10000</v>
      </c>
      <c r="C117" s="45">
        <v>68.027210884353735</v>
      </c>
      <c r="D117" s="1" t="s">
        <v>259</v>
      </c>
      <c r="E117" s="27" t="s">
        <v>265</v>
      </c>
      <c r="F117" s="2">
        <v>44512</v>
      </c>
      <c r="G117" t="str">
        <f t="shared" si="2"/>
        <v>Nov</v>
      </c>
      <c r="H117" t="str">
        <f t="shared" si="3"/>
        <v>2021</v>
      </c>
    </row>
    <row r="118" spans="1:8" hidden="1" x14ac:dyDescent="0.35">
      <c r="A118" t="s">
        <v>6</v>
      </c>
      <c r="B118" s="1">
        <v>2251</v>
      </c>
      <c r="C118" s="1">
        <v>15.312925170068027</v>
      </c>
      <c r="D118" s="3" t="s">
        <v>261</v>
      </c>
      <c r="E118" s="27" t="s">
        <v>514</v>
      </c>
      <c r="F118" s="2">
        <v>44513</v>
      </c>
      <c r="G118" t="str">
        <f t="shared" si="2"/>
        <v>Nov</v>
      </c>
      <c r="H118" t="str">
        <f t="shared" si="3"/>
        <v>2021</v>
      </c>
    </row>
    <row r="119" spans="1:8" hidden="1" x14ac:dyDescent="0.35">
      <c r="A119" t="s">
        <v>63</v>
      </c>
      <c r="B119" s="45">
        <v>12000</v>
      </c>
      <c r="C119" s="45">
        <f>Balance[[#This Row],[COST]]/147</f>
        <v>81.632653061224488</v>
      </c>
      <c r="D119" s="1" t="s">
        <v>262</v>
      </c>
      <c r="E119" s="27" t="s">
        <v>271</v>
      </c>
      <c r="F119" s="2">
        <v>44531</v>
      </c>
      <c r="G119" t="str">
        <f t="shared" si="2"/>
        <v>Dec</v>
      </c>
      <c r="H119" t="str">
        <f t="shared" si="3"/>
        <v>2021</v>
      </c>
    </row>
    <row r="120" spans="1:8" hidden="1" x14ac:dyDescent="0.35">
      <c r="A120" t="s">
        <v>116</v>
      </c>
      <c r="B120" s="1">
        <v>75000</v>
      </c>
      <c r="C120" s="1">
        <v>510.20408163265307</v>
      </c>
      <c r="D120" s="1" t="s">
        <v>259</v>
      </c>
      <c r="E120" s="27" t="s">
        <v>267</v>
      </c>
      <c r="F120" s="2">
        <v>44538</v>
      </c>
      <c r="G120" t="str">
        <f t="shared" si="2"/>
        <v>Dec</v>
      </c>
      <c r="H120" t="str">
        <f t="shared" si="3"/>
        <v>2021</v>
      </c>
    </row>
    <row r="121" spans="1:8" hidden="1" x14ac:dyDescent="0.35">
      <c r="A121" t="s">
        <v>117</v>
      </c>
      <c r="B121" s="1">
        <v>1500</v>
      </c>
      <c r="C121" s="1">
        <v>10.204081632653061</v>
      </c>
      <c r="D121" s="1" t="s">
        <v>259</v>
      </c>
      <c r="E121" s="27" t="s">
        <v>267</v>
      </c>
      <c r="F121" s="2">
        <v>44539</v>
      </c>
      <c r="G121" t="str">
        <f t="shared" si="2"/>
        <v>Dec</v>
      </c>
      <c r="H121" t="str">
        <f t="shared" si="3"/>
        <v>2021</v>
      </c>
    </row>
    <row r="122" spans="1:8" hidden="1" x14ac:dyDescent="0.35">
      <c r="A122" t="s">
        <v>118</v>
      </c>
      <c r="B122" s="1">
        <v>18500</v>
      </c>
      <c r="C122" s="1">
        <v>125.85034013605443</v>
      </c>
      <c r="D122" s="1" t="s">
        <v>259</v>
      </c>
      <c r="E122" s="27" t="s">
        <v>268</v>
      </c>
      <c r="F122" s="2">
        <v>44540</v>
      </c>
      <c r="G122" t="str">
        <f t="shared" si="2"/>
        <v>Dec</v>
      </c>
      <c r="H122" t="str">
        <f t="shared" si="3"/>
        <v>2021</v>
      </c>
    </row>
    <row r="123" spans="1:8" hidden="1" x14ac:dyDescent="0.35">
      <c r="A123" t="s">
        <v>123</v>
      </c>
      <c r="B123" s="1">
        <v>82841.509999999995</v>
      </c>
      <c r="C123" s="1">
        <v>563.54768707482992</v>
      </c>
      <c r="D123" s="1" t="s">
        <v>259</v>
      </c>
      <c r="E123" s="27" t="s">
        <v>267</v>
      </c>
      <c r="F123" s="2">
        <v>44541</v>
      </c>
      <c r="G123" t="str">
        <f t="shared" si="2"/>
        <v>Dec</v>
      </c>
      <c r="H123" t="str">
        <f t="shared" si="3"/>
        <v>2021</v>
      </c>
    </row>
    <row r="124" spans="1:8" x14ac:dyDescent="0.35">
      <c r="A124" t="s">
        <v>103</v>
      </c>
      <c r="B124" s="1">
        <v>680</v>
      </c>
      <c r="C124" s="1">
        <v>4.6258503401360542</v>
      </c>
      <c r="D124" s="1" t="s">
        <v>689</v>
      </c>
      <c r="E124" s="27" t="s">
        <v>275</v>
      </c>
      <c r="F124" s="2">
        <v>44542</v>
      </c>
      <c r="G124" t="str">
        <f t="shared" si="2"/>
        <v>Dec</v>
      </c>
      <c r="H124" t="str">
        <f t="shared" si="3"/>
        <v>2021</v>
      </c>
    </row>
    <row r="125" spans="1:8" x14ac:dyDescent="0.35">
      <c r="A125" t="s">
        <v>124</v>
      </c>
      <c r="B125" s="1">
        <v>5537.47</v>
      </c>
      <c r="C125" s="1">
        <v>37.669863945578236</v>
      </c>
      <c r="D125" s="1" t="s">
        <v>689</v>
      </c>
      <c r="E125" s="27" t="s">
        <v>275</v>
      </c>
      <c r="F125" s="2">
        <v>44544</v>
      </c>
      <c r="G125" t="str">
        <f t="shared" si="2"/>
        <v>Dec</v>
      </c>
      <c r="H125" t="str">
        <f t="shared" si="3"/>
        <v>2021</v>
      </c>
    </row>
    <row r="126" spans="1:8" hidden="1" x14ac:dyDescent="0.35">
      <c r="A126" t="s">
        <v>125</v>
      </c>
      <c r="B126" s="1">
        <v>6043.06</v>
      </c>
      <c r="C126" s="1">
        <v>41.109251700680275</v>
      </c>
      <c r="D126" s="3" t="s">
        <v>261</v>
      </c>
      <c r="E126" s="27" t="s">
        <v>514</v>
      </c>
      <c r="F126" s="2">
        <v>44545</v>
      </c>
      <c r="G126" t="str">
        <f t="shared" si="2"/>
        <v>Dec</v>
      </c>
      <c r="H126" t="str">
        <f t="shared" si="3"/>
        <v>2021</v>
      </c>
    </row>
    <row r="127" spans="1:8" hidden="1" x14ac:dyDescent="0.35">
      <c r="A127" t="s">
        <v>126</v>
      </c>
      <c r="B127" s="1">
        <v>2000</v>
      </c>
      <c r="C127" s="1">
        <v>13.605442176870747</v>
      </c>
      <c r="D127" s="1" t="s">
        <v>259</v>
      </c>
      <c r="E127" s="27" t="s">
        <v>265</v>
      </c>
      <c r="F127" s="2">
        <v>44546</v>
      </c>
      <c r="G127" t="str">
        <f t="shared" si="2"/>
        <v>Dec</v>
      </c>
      <c r="H127" t="str">
        <f t="shared" si="3"/>
        <v>2021</v>
      </c>
    </row>
    <row r="128" spans="1:8" hidden="1" x14ac:dyDescent="0.35">
      <c r="A128" t="s">
        <v>127</v>
      </c>
      <c r="B128" s="1">
        <f>1450+(750*2)</f>
        <v>2950</v>
      </c>
      <c r="C128" s="1">
        <v>20.068027210884352</v>
      </c>
      <c r="D128" s="1" t="s">
        <v>259</v>
      </c>
      <c r="E128" s="27" t="s">
        <v>265</v>
      </c>
      <c r="F128" s="2">
        <v>44547</v>
      </c>
      <c r="G128" t="str">
        <f t="shared" si="2"/>
        <v>Dec</v>
      </c>
      <c r="H128" t="str">
        <f t="shared" si="3"/>
        <v>2021</v>
      </c>
    </row>
    <row r="129" spans="1:8" hidden="1" x14ac:dyDescent="0.35">
      <c r="A129" t="s">
        <v>6</v>
      </c>
      <c r="B129" s="1">
        <v>2251</v>
      </c>
      <c r="C129" s="1">
        <v>15.312925170068027</v>
      </c>
      <c r="D129" s="3" t="s">
        <v>261</v>
      </c>
      <c r="E129" s="27" t="s">
        <v>514</v>
      </c>
      <c r="F129" s="2">
        <v>44548</v>
      </c>
      <c r="G129" t="str">
        <f t="shared" si="2"/>
        <v>Dec</v>
      </c>
      <c r="H129" t="str">
        <f t="shared" si="3"/>
        <v>2021</v>
      </c>
    </row>
    <row r="130" spans="1:8" hidden="1" x14ac:dyDescent="0.35">
      <c r="A130" t="s">
        <v>129</v>
      </c>
      <c r="B130" s="1">
        <v>2500</v>
      </c>
      <c r="C130" s="1">
        <v>17.006802721088434</v>
      </c>
      <c r="D130" s="1" t="s">
        <v>259</v>
      </c>
      <c r="E130" s="27" t="s">
        <v>265</v>
      </c>
      <c r="F130" s="2">
        <v>44549</v>
      </c>
      <c r="G130" t="str">
        <f t="shared" ref="G130:G193" si="4">TEXT(F130,"mmm")</f>
        <v>Dec</v>
      </c>
      <c r="H130" t="str">
        <f t="shared" ref="H130:H193" si="5">TEXT(F130,"yyy")</f>
        <v>2021</v>
      </c>
    </row>
    <row r="131" spans="1:8" hidden="1" x14ac:dyDescent="0.35">
      <c r="A131" t="s">
        <v>132</v>
      </c>
      <c r="B131" s="1">
        <v>5000</v>
      </c>
      <c r="C131" s="1">
        <v>34.013605442176868</v>
      </c>
      <c r="D131" s="1" t="s">
        <v>263</v>
      </c>
      <c r="E131" s="27" t="s">
        <v>274</v>
      </c>
      <c r="F131" s="2">
        <v>44550</v>
      </c>
      <c r="G131" t="str">
        <f t="shared" si="4"/>
        <v>Dec</v>
      </c>
      <c r="H131" t="str">
        <f t="shared" si="5"/>
        <v>2021</v>
      </c>
    </row>
    <row r="132" spans="1:8" hidden="1" x14ac:dyDescent="0.35">
      <c r="A132" t="s">
        <v>133</v>
      </c>
      <c r="B132" s="1">
        <v>6800</v>
      </c>
      <c r="C132" s="1">
        <v>46.258503401360542</v>
      </c>
      <c r="D132" s="1" t="s">
        <v>259</v>
      </c>
      <c r="E132" s="27" t="s">
        <v>265</v>
      </c>
      <c r="F132" s="2">
        <v>44551</v>
      </c>
      <c r="G132" t="str">
        <f t="shared" si="4"/>
        <v>Dec</v>
      </c>
      <c r="H132" t="str">
        <f t="shared" si="5"/>
        <v>2021</v>
      </c>
    </row>
    <row r="133" spans="1:8" hidden="1" x14ac:dyDescent="0.35">
      <c r="A133" t="s">
        <v>49</v>
      </c>
      <c r="B133" s="45">
        <v>15000</v>
      </c>
      <c r="C133" s="45">
        <v>102.04081632653062</v>
      </c>
      <c r="D133" s="1" t="s">
        <v>263</v>
      </c>
      <c r="E133" s="27" t="s">
        <v>274</v>
      </c>
      <c r="F133" s="2">
        <v>44552</v>
      </c>
      <c r="G133" t="str">
        <f t="shared" si="4"/>
        <v>Dec</v>
      </c>
      <c r="H133" t="str">
        <f t="shared" si="5"/>
        <v>2021</v>
      </c>
    </row>
    <row r="134" spans="1:8" hidden="1" x14ac:dyDescent="0.35">
      <c r="A134" t="s">
        <v>134</v>
      </c>
      <c r="B134" s="1">
        <v>2000</v>
      </c>
      <c r="C134" s="1">
        <v>13.605442176870747</v>
      </c>
      <c r="D134" s="1" t="s">
        <v>259</v>
      </c>
      <c r="E134" s="27" t="s">
        <v>265</v>
      </c>
      <c r="F134" s="2">
        <v>44552</v>
      </c>
      <c r="G134" t="str">
        <f t="shared" si="4"/>
        <v>Dec</v>
      </c>
      <c r="H134" t="str">
        <f t="shared" si="5"/>
        <v>2021</v>
      </c>
    </row>
    <row r="135" spans="1:8" hidden="1" x14ac:dyDescent="0.35">
      <c r="A135" t="s">
        <v>105</v>
      </c>
      <c r="B135" s="45">
        <v>10000</v>
      </c>
      <c r="C135" s="45">
        <v>68.027210884353735</v>
      </c>
      <c r="D135" s="1" t="s">
        <v>259</v>
      </c>
      <c r="E135" s="27" t="s">
        <v>265</v>
      </c>
      <c r="F135" s="2">
        <v>44553</v>
      </c>
      <c r="G135" t="str">
        <f t="shared" si="4"/>
        <v>Dec</v>
      </c>
      <c r="H135" t="str">
        <f t="shared" si="5"/>
        <v>2021</v>
      </c>
    </row>
    <row r="136" spans="1:8" hidden="1" x14ac:dyDescent="0.35">
      <c r="A136" t="s">
        <v>42</v>
      </c>
      <c r="B136" s="1">
        <v>7884.08</v>
      </c>
      <c r="C136" s="1">
        <v>53.633197278911567</v>
      </c>
      <c r="D136" s="1" t="s">
        <v>42</v>
      </c>
      <c r="E136" s="27" t="s">
        <v>270</v>
      </c>
      <c r="F136" s="2">
        <v>44554</v>
      </c>
      <c r="G136" t="str">
        <f t="shared" si="4"/>
        <v>Dec</v>
      </c>
      <c r="H136" t="str">
        <f t="shared" si="5"/>
        <v>2021</v>
      </c>
    </row>
    <row r="137" spans="1:8" hidden="1" x14ac:dyDescent="0.35">
      <c r="A137" t="s">
        <v>63</v>
      </c>
      <c r="B137" s="45">
        <v>12000</v>
      </c>
      <c r="C137" s="45">
        <f>Balance[[#This Row],[COST]]/147</f>
        <v>81.632653061224488</v>
      </c>
      <c r="D137" s="1" t="s">
        <v>262</v>
      </c>
      <c r="E137" s="27" t="s">
        <v>271</v>
      </c>
      <c r="F137" s="2">
        <v>44562</v>
      </c>
      <c r="G137" t="str">
        <f t="shared" si="4"/>
        <v>Jan</v>
      </c>
      <c r="H137" t="str">
        <f t="shared" si="5"/>
        <v>2022</v>
      </c>
    </row>
    <row r="138" spans="1:8" hidden="1" x14ac:dyDescent="0.35">
      <c r="A138" t="s">
        <v>151</v>
      </c>
      <c r="B138" s="45">
        <v>7050.2</v>
      </c>
      <c r="C138" s="45">
        <v>47.960544217687072</v>
      </c>
      <c r="D138" s="1" t="s">
        <v>259</v>
      </c>
      <c r="E138" s="27" t="s">
        <v>265</v>
      </c>
      <c r="F138" s="2">
        <v>44569</v>
      </c>
      <c r="G138" t="str">
        <f t="shared" si="4"/>
        <v>Jan</v>
      </c>
      <c r="H138" t="str">
        <f t="shared" si="5"/>
        <v>2022</v>
      </c>
    </row>
    <row r="139" spans="1:8" hidden="1" x14ac:dyDescent="0.35">
      <c r="A139" t="s">
        <v>152</v>
      </c>
      <c r="B139" s="45">
        <v>4000</v>
      </c>
      <c r="C139" s="45">
        <v>27.210884353741495</v>
      </c>
      <c r="D139" s="1" t="s">
        <v>263</v>
      </c>
      <c r="E139" s="27" t="s">
        <v>274</v>
      </c>
      <c r="F139" s="2">
        <v>44571</v>
      </c>
      <c r="G139" t="str">
        <f t="shared" si="4"/>
        <v>Jan</v>
      </c>
      <c r="H139" t="str">
        <f t="shared" si="5"/>
        <v>2022</v>
      </c>
    </row>
    <row r="140" spans="1:8" hidden="1" x14ac:dyDescent="0.35">
      <c r="A140" t="s">
        <v>155</v>
      </c>
      <c r="B140" s="45">
        <v>15000</v>
      </c>
      <c r="C140" s="45">
        <v>102.04081632653062</v>
      </c>
      <c r="D140" s="1" t="s">
        <v>515</v>
      </c>
      <c r="E140" s="27" t="s">
        <v>272</v>
      </c>
      <c r="F140" s="2">
        <v>44573</v>
      </c>
      <c r="G140" t="str">
        <f t="shared" si="4"/>
        <v>Jan</v>
      </c>
      <c r="H140" t="str">
        <f t="shared" si="5"/>
        <v>2022</v>
      </c>
    </row>
    <row r="141" spans="1:8" hidden="1" x14ac:dyDescent="0.35">
      <c r="A141" t="s">
        <v>132</v>
      </c>
      <c r="B141" s="45">
        <v>5000</v>
      </c>
      <c r="C141" s="45">
        <v>34.013605442176868</v>
      </c>
      <c r="D141" s="1" t="s">
        <v>263</v>
      </c>
      <c r="E141" s="27" t="s">
        <v>274</v>
      </c>
      <c r="F141" s="2">
        <v>44578</v>
      </c>
      <c r="G141" t="str">
        <f t="shared" si="4"/>
        <v>Jan</v>
      </c>
      <c r="H141" t="str">
        <f t="shared" si="5"/>
        <v>2022</v>
      </c>
    </row>
    <row r="142" spans="1:8" hidden="1" x14ac:dyDescent="0.35">
      <c r="A142" t="s">
        <v>67</v>
      </c>
      <c r="B142" s="45">
        <v>2200</v>
      </c>
      <c r="C142" s="45">
        <v>14.965986394557824</v>
      </c>
      <c r="D142" s="1" t="s">
        <v>259</v>
      </c>
      <c r="E142" s="27" t="s">
        <v>265</v>
      </c>
      <c r="F142" s="2">
        <v>44578</v>
      </c>
      <c r="G142" t="str">
        <f t="shared" si="4"/>
        <v>Jan</v>
      </c>
      <c r="H142" t="str">
        <f t="shared" si="5"/>
        <v>2022</v>
      </c>
    </row>
    <row r="143" spans="1:8" hidden="1" x14ac:dyDescent="0.35">
      <c r="A143" t="s">
        <v>156</v>
      </c>
      <c r="B143" s="45">
        <v>10922</v>
      </c>
      <c r="C143" s="45">
        <v>74.299319727891159</v>
      </c>
      <c r="D143" s="1" t="s">
        <v>263</v>
      </c>
      <c r="E143" s="27" t="s">
        <v>274</v>
      </c>
      <c r="F143" s="2">
        <v>44579</v>
      </c>
      <c r="G143" t="str">
        <f t="shared" si="4"/>
        <v>Jan</v>
      </c>
      <c r="H143" t="str">
        <f t="shared" si="5"/>
        <v>2022</v>
      </c>
    </row>
    <row r="144" spans="1:8" hidden="1" x14ac:dyDescent="0.35">
      <c r="A144" t="s">
        <v>6</v>
      </c>
      <c r="B144" s="45">
        <v>2251</v>
      </c>
      <c r="C144" s="45">
        <v>15.312925170068027</v>
      </c>
      <c r="D144" s="3" t="s">
        <v>261</v>
      </c>
      <c r="E144" s="27" t="s">
        <v>514</v>
      </c>
      <c r="F144" s="2">
        <v>44585</v>
      </c>
      <c r="G144" t="str">
        <f t="shared" si="4"/>
        <v>Jan</v>
      </c>
      <c r="H144" t="str">
        <f t="shared" si="5"/>
        <v>2022</v>
      </c>
    </row>
    <row r="145" spans="1:8" hidden="1" x14ac:dyDescent="0.35">
      <c r="A145" t="s">
        <v>100</v>
      </c>
      <c r="B145" s="45">
        <v>2600</v>
      </c>
      <c r="C145" s="45">
        <v>17.687074829931973</v>
      </c>
      <c r="D145" s="1" t="s">
        <v>259</v>
      </c>
      <c r="E145" s="27" t="s">
        <v>268</v>
      </c>
      <c r="F145" s="2">
        <v>44586</v>
      </c>
      <c r="G145" t="str">
        <f t="shared" si="4"/>
        <v>Jan</v>
      </c>
      <c r="H145" t="str">
        <f t="shared" si="5"/>
        <v>2022</v>
      </c>
    </row>
    <row r="146" spans="1:8" hidden="1" x14ac:dyDescent="0.35">
      <c r="A146" t="s">
        <v>49</v>
      </c>
      <c r="B146" s="45">
        <v>15000</v>
      </c>
      <c r="C146" s="45">
        <v>102.04081632653062</v>
      </c>
      <c r="D146" s="1" t="s">
        <v>263</v>
      </c>
      <c r="E146" s="27" t="s">
        <v>274</v>
      </c>
      <c r="F146" s="2">
        <v>44587</v>
      </c>
      <c r="G146" t="str">
        <f t="shared" si="4"/>
        <v>Jan</v>
      </c>
      <c r="H146" t="str">
        <f t="shared" si="5"/>
        <v>2022</v>
      </c>
    </row>
    <row r="147" spans="1:8" hidden="1" x14ac:dyDescent="0.35">
      <c r="A147" t="s">
        <v>42</v>
      </c>
      <c r="B147" s="1">
        <v>7884.08</v>
      </c>
      <c r="C147" s="1">
        <v>53.633197278911567</v>
      </c>
      <c r="D147" s="1" t="s">
        <v>42</v>
      </c>
      <c r="E147" s="27" t="s">
        <v>270</v>
      </c>
      <c r="F147" s="2">
        <v>44588</v>
      </c>
      <c r="G147" t="str">
        <f t="shared" si="4"/>
        <v>Jan</v>
      </c>
      <c r="H147" t="str">
        <f t="shared" si="5"/>
        <v>2022</v>
      </c>
    </row>
    <row r="148" spans="1:8" hidden="1" x14ac:dyDescent="0.35">
      <c r="A148" t="s">
        <v>105</v>
      </c>
      <c r="B148" s="45">
        <v>10000</v>
      </c>
      <c r="C148" s="45">
        <v>68.027210884353735</v>
      </c>
      <c r="D148" s="1" t="s">
        <v>259</v>
      </c>
      <c r="E148" s="27" t="s">
        <v>265</v>
      </c>
      <c r="F148" s="2">
        <v>44588</v>
      </c>
      <c r="G148" t="str">
        <f t="shared" si="4"/>
        <v>Jan</v>
      </c>
      <c r="H148" t="str">
        <f t="shared" si="5"/>
        <v>2022</v>
      </c>
    </row>
    <row r="149" spans="1:8" hidden="1" x14ac:dyDescent="0.35">
      <c r="A149" t="s">
        <v>63</v>
      </c>
      <c r="B149" s="45">
        <v>12000</v>
      </c>
      <c r="C149" s="45">
        <f>Balance[[#This Row],[COST]]/147</f>
        <v>81.632653061224488</v>
      </c>
      <c r="D149" s="1" t="s">
        <v>262</v>
      </c>
      <c r="E149" s="27" t="s">
        <v>271</v>
      </c>
      <c r="F149" s="2">
        <v>44593</v>
      </c>
      <c r="G149" t="str">
        <f t="shared" si="4"/>
        <v>Feb</v>
      </c>
      <c r="H149" t="str">
        <f t="shared" si="5"/>
        <v>2022</v>
      </c>
    </row>
    <row r="150" spans="1:8" hidden="1" x14ac:dyDescent="0.35">
      <c r="A150" t="s">
        <v>100</v>
      </c>
      <c r="B150" s="45">
        <v>2439.91</v>
      </c>
      <c r="C150" s="45">
        <v>16.598027210884354</v>
      </c>
      <c r="D150" s="1" t="s">
        <v>259</v>
      </c>
      <c r="E150" s="27" t="s">
        <v>268</v>
      </c>
      <c r="F150" s="2">
        <v>44606</v>
      </c>
      <c r="G150" t="str">
        <f t="shared" si="4"/>
        <v>Feb</v>
      </c>
      <c r="H150" t="str">
        <f t="shared" si="5"/>
        <v>2022</v>
      </c>
    </row>
    <row r="151" spans="1:8" hidden="1" x14ac:dyDescent="0.35">
      <c r="A151" t="s">
        <v>67</v>
      </c>
      <c r="B151" s="45">
        <v>2000</v>
      </c>
      <c r="C151" s="45">
        <v>13.605442176870747</v>
      </c>
      <c r="D151" s="1" t="s">
        <v>259</v>
      </c>
      <c r="E151" s="27" t="s">
        <v>265</v>
      </c>
      <c r="F151" s="2">
        <v>44607</v>
      </c>
      <c r="G151" t="str">
        <f t="shared" si="4"/>
        <v>Feb</v>
      </c>
      <c r="H151" t="str">
        <f t="shared" si="5"/>
        <v>2022</v>
      </c>
    </row>
    <row r="152" spans="1:8" hidden="1" x14ac:dyDescent="0.35">
      <c r="A152" t="s">
        <v>160</v>
      </c>
      <c r="B152" s="45">
        <v>8780</v>
      </c>
      <c r="C152" s="45">
        <v>59.727891156462583</v>
      </c>
      <c r="D152" s="1" t="s">
        <v>259</v>
      </c>
      <c r="E152" s="27" t="s">
        <v>265</v>
      </c>
      <c r="F152" s="2">
        <v>44620</v>
      </c>
      <c r="G152" t="str">
        <f t="shared" si="4"/>
        <v>Feb</v>
      </c>
      <c r="H152" t="str">
        <f t="shared" si="5"/>
        <v>2022</v>
      </c>
    </row>
    <row r="153" spans="1:8" hidden="1" x14ac:dyDescent="0.35">
      <c r="A153" t="s">
        <v>161</v>
      </c>
      <c r="B153" s="45">
        <v>7200</v>
      </c>
      <c r="C153" s="45">
        <v>48.979591836734691</v>
      </c>
      <c r="D153" s="1" t="s">
        <v>263</v>
      </c>
      <c r="E153" s="27" t="s">
        <v>274</v>
      </c>
      <c r="F153" s="2">
        <v>44620</v>
      </c>
      <c r="G153" t="str">
        <f t="shared" si="4"/>
        <v>Feb</v>
      </c>
      <c r="H153" t="str">
        <f t="shared" si="5"/>
        <v>2022</v>
      </c>
    </row>
    <row r="154" spans="1:8" hidden="1" x14ac:dyDescent="0.35">
      <c r="A154" t="s">
        <v>114</v>
      </c>
      <c r="B154" s="45">
        <v>1200</v>
      </c>
      <c r="C154" s="45">
        <v>8.1632653061224492</v>
      </c>
      <c r="D154" s="1" t="s">
        <v>259</v>
      </c>
      <c r="E154" s="27" t="s">
        <v>265</v>
      </c>
      <c r="F154" s="2">
        <v>44620</v>
      </c>
      <c r="G154" t="str">
        <f t="shared" si="4"/>
        <v>Feb</v>
      </c>
      <c r="H154" t="str">
        <f t="shared" si="5"/>
        <v>2022</v>
      </c>
    </row>
    <row r="155" spans="1:8" hidden="1" x14ac:dyDescent="0.35">
      <c r="A155" t="s">
        <v>49</v>
      </c>
      <c r="B155" s="45">
        <v>15000</v>
      </c>
      <c r="C155" s="45">
        <v>102.04081632653062</v>
      </c>
      <c r="D155" s="1" t="s">
        <v>263</v>
      </c>
      <c r="E155" s="27" t="s">
        <v>274</v>
      </c>
      <c r="F155" s="2">
        <v>44620</v>
      </c>
      <c r="G155" t="str">
        <f t="shared" si="4"/>
        <v>Feb</v>
      </c>
      <c r="H155" t="str">
        <f t="shared" si="5"/>
        <v>2022</v>
      </c>
    </row>
    <row r="156" spans="1:8" hidden="1" x14ac:dyDescent="0.35">
      <c r="A156" t="s">
        <v>42</v>
      </c>
      <c r="B156" s="45">
        <v>7884.08</v>
      </c>
      <c r="C156" s="45">
        <v>53.633197278911567</v>
      </c>
      <c r="D156" s="1" t="s">
        <v>42</v>
      </c>
      <c r="E156" s="27" t="s">
        <v>270</v>
      </c>
      <c r="F156" s="2">
        <v>44620</v>
      </c>
      <c r="G156" t="str">
        <f t="shared" si="4"/>
        <v>Feb</v>
      </c>
      <c r="H156" t="str">
        <f t="shared" si="5"/>
        <v>2022</v>
      </c>
    </row>
    <row r="157" spans="1:8" hidden="1" x14ac:dyDescent="0.35">
      <c r="A157" t="s">
        <v>105</v>
      </c>
      <c r="B157" s="45">
        <v>10000</v>
      </c>
      <c r="C157" s="45">
        <v>68.027210884353735</v>
      </c>
      <c r="D157" s="1" t="s">
        <v>259</v>
      </c>
      <c r="E157" s="27" t="s">
        <v>265</v>
      </c>
      <c r="F157" s="2">
        <v>44620</v>
      </c>
      <c r="G157" t="str">
        <f t="shared" si="4"/>
        <v>Feb</v>
      </c>
      <c r="H157" t="str">
        <f t="shared" si="5"/>
        <v>2022</v>
      </c>
    </row>
    <row r="158" spans="1:8" hidden="1" x14ac:dyDescent="0.35">
      <c r="A158" t="s">
        <v>63</v>
      </c>
      <c r="B158" s="45">
        <v>12000</v>
      </c>
      <c r="C158" s="45">
        <f>Balance[[#This Row],[COST]]/147</f>
        <v>81.632653061224488</v>
      </c>
      <c r="D158" s="1" t="s">
        <v>262</v>
      </c>
      <c r="E158" s="27" t="s">
        <v>271</v>
      </c>
      <c r="F158" s="2">
        <v>44621</v>
      </c>
      <c r="G158" t="str">
        <f t="shared" si="4"/>
        <v>Mar</v>
      </c>
      <c r="H158" t="str">
        <f t="shared" si="5"/>
        <v>2022</v>
      </c>
    </row>
    <row r="159" spans="1:8" hidden="1" x14ac:dyDescent="0.35">
      <c r="A159" t="s">
        <v>46</v>
      </c>
      <c r="B159" s="45">
        <v>1000</v>
      </c>
      <c r="C159" s="45">
        <v>6.8027210884353737</v>
      </c>
      <c r="D159" s="1" t="s">
        <v>259</v>
      </c>
      <c r="E159" s="27" t="s">
        <v>265</v>
      </c>
      <c r="F159" s="2">
        <v>44622</v>
      </c>
      <c r="G159" t="str">
        <f t="shared" si="4"/>
        <v>Mar</v>
      </c>
      <c r="H159" t="str">
        <f t="shared" si="5"/>
        <v>2022</v>
      </c>
    </row>
    <row r="160" spans="1:8" hidden="1" x14ac:dyDescent="0.35">
      <c r="A160" t="s">
        <v>105</v>
      </c>
      <c r="B160" s="45">
        <v>10000</v>
      </c>
      <c r="C160" s="45">
        <v>68.027210884353735</v>
      </c>
      <c r="D160" s="1" t="s">
        <v>259</v>
      </c>
      <c r="E160" s="27" t="s">
        <v>265</v>
      </c>
      <c r="F160" s="2">
        <v>44623</v>
      </c>
      <c r="G160" t="str">
        <f t="shared" si="4"/>
        <v>Mar</v>
      </c>
      <c r="H160" t="str">
        <f t="shared" si="5"/>
        <v>2022</v>
      </c>
    </row>
    <row r="161" spans="1:8" hidden="1" x14ac:dyDescent="0.35">
      <c r="A161" t="s">
        <v>6</v>
      </c>
      <c r="B161" s="45">
        <v>2251</v>
      </c>
      <c r="C161" s="45">
        <v>15.312925170068027</v>
      </c>
      <c r="D161" s="3" t="s">
        <v>261</v>
      </c>
      <c r="E161" s="27" t="s">
        <v>514</v>
      </c>
      <c r="F161" s="2">
        <v>44623</v>
      </c>
      <c r="G161" t="str">
        <f t="shared" si="4"/>
        <v>Mar</v>
      </c>
      <c r="H161" t="str">
        <f t="shared" si="5"/>
        <v>2022</v>
      </c>
    </row>
    <row r="162" spans="1:8" hidden="1" x14ac:dyDescent="0.35">
      <c r="A162" t="s">
        <v>162</v>
      </c>
      <c r="B162" s="45">
        <v>3900</v>
      </c>
      <c r="C162" s="45">
        <v>26.530612244897959</v>
      </c>
      <c r="D162" s="1" t="s">
        <v>515</v>
      </c>
      <c r="E162" s="27" t="s">
        <v>272</v>
      </c>
      <c r="F162" s="2">
        <v>44625</v>
      </c>
      <c r="G162" t="str">
        <f t="shared" si="4"/>
        <v>Mar</v>
      </c>
      <c r="H162" t="str">
        <f t="shared" si="5"/>
        <v>2022</v>
      </c>
    </row>
    <row r="163" spans="1:8" hidden="1" x14ac:dyDescent="0.35">
      <c r="A163" t="s">
        <v>163</v>
      </c>
      <c r="B163" s="45">
        <v>3000</v>
      </c>
      <c r="C163" s="45">
        <v>20.408163265306122</v>
      </c>
      <c r="D163" s="1" t="s">
        <v>259</v>
      </c>
      <c r="E163" s="27" t="s">
        <v>265</v>
      </c>
      <c r="F163" s="2">
        <v>44626</v>
      </c>
      <c r="G163" t="str">
        <f t="shared" si="4"/>
        <v>Mar</v>
      </c>
      <c r="H163" t="str">
        <f t="shared" si="5"/>
        <v>2022</v>
      </c>
    </row>
    <row r="164" spans="1:8" hidden="1" x14ac:dyDescent="0.35">
      <c r="A164" t="s">
        <v>114</v>
      </c>
      <c r="B164" s="45">
        <v>1400</v>
      </c>
      <c r="C164" s="45">
        <v>9.5238095238095237</v>
      </c>
      <c r="D164" s="1" t="s">
        <v>259</v>
      </c>
      <c r="E164" s="27" t="s">
        <v>265</v>
      </c>
      <c r="F164" s="2">
        <v>44627</v>
      </c>
      <c r="G164" t="str">
        <f t="shared" si="4"/>
        <v>Mar</v>
      </c>
      <c r="H164" t="str">
        <f t="shared" si="5"/>
        <v>2022</v>
      </c>
    </row>
    <row r="165" spans="1:8" hidden="1" x14ac:dyDescent="0.35">
      <c r="A165" t="s">
        <v>162</v>
      </c>
      <c r="B165" s="45">
        <v>7000</v>
      </c>
      <c r="C165" s="45">
        <v>47.61904761904762</v>
      </c>
      <c r="D165" s="1" t="s">
        <v>515</v>
      </c>
      <c r="E165" s="27" t="s">
        <v>272</v>
      </c>
      <c r="F165" s="2">
        <v>44640</v>
      </c>
      <c r="G165" t="str">
        <f t="shared" si="4"/>
        <v>Mar</v>
      </c>
      <c r="H165" t="str">
        <f t="shared" si="5"/>
        <v>2022</v>
      </c>
    </row>
    <row r="166" spans="1:8" x14ac:dyDescent="0.35">
      <c r="A166" t="s">
        <v>164</v>
      </c>
      <c r="B166" s="45">
        <v>1500</v>
      </c>
      <c r="C166" s="45">
        <v>10.204081632653061</v>
      </c>
      <c r="D166" s="1" t="s">
        <v>689</v>
      </c>
      <c r="E166" s="27" t="s">
        <v>275</v>
      </c>
      <c r="F166" s="2">
        <v>44640</v>
      </c>
      <c r="G166" t="str">
        <f t="shared" si="4"/>
        <v>Mar</v>
      </c>
      <c r="H166" t="str">
        <f t="shared" si="5"/>
        <v>2022</v>
      </c>
    </row>
    <row r="167" spans="1:8" hidden="1" x14ac:dyDescent="0.35">
      <c r="A167" t="s">
        <v>169</v>
      </c>
      <c r="B167" s="45">
        <v>11250</v>
      </c>
      <c r="C167" s="45">
        <v>76.530612244897952</v>
      </c>
      <c r="D167" s="1" t="s">
        <v>260</v>
      </c>
      <c r="E167" s="27" t="s">
        <v>273</v>
      </c>
      <c r="F167" s="2">
        <v>44641</v>
      </c>
      <c r="G167" t="str">
        <f t="shared" si="4"/>
        <v>Mar</v>
      </c>
      <c r="H167" t="str">
        <f t="shared" si="5"/>
        <v>2022</v>
      </c>
    </row>
    <row r="168" spans="1:8" hidden="1" x14ac:dyDescent="0.35">
      <c r="A168" t="s">
        <v>49</v>
      </c>
      <c r="B168" s="45">
        <v>15000</v>
      </c>
      <c r="C168" s="45">
        <v>102.04081632653062</v>
      </c>
      <c r="D168" s="1" t="s">
        <v>263</v>
      </c>
      <c r="E168" s="27" t="s">
        <v>274</v>
      </c>
      <c r="F168" s="2">
        <v>44642</v>
      </c>
      <c r="G168" t="str">
        <f t="shared" si="4"/>
        <v>Mar</v>
      </c>
      <c r="H168" t="str">
        <f t="shared" si="5"/>
        <v>2022</v>
      </c>
    </row>
    <row r="169" spans="1:8" hidden="1" x14ac:dyDescent="0.35">
      <c r="A169" t="s">
        <v>42</v>
      </c>
      <c r="B169" s="45">
        <v>7884.08</v>
      </c>
      <c r="C169" s="45">
        <v>53.633197278911567</v>
      </c>
      <c r="D169" s="1" t="s">
        <v>42</v>
      </c>
      <c r="E169" s="27" t="s">
        <v>270</v>
      </c>
      <c r="F169" s="2">
        <v>44642</v>
      </c>
      <c r="G169" t="str">
        <f t="shared" si="4"/>
        <v>Mar</v>
      </c>
      <c r="H169" t="str">
        <f t="shared" si="5"/>
        <v>2022</v>
      </c>
    </row>
    <row r="170" spans="1:8" hidden="1" x14ac:dyDescent="0.35">
      <c r="A170" t="s">
        <v>100</v>
      </c>
      <c r="B170" s="45">
        <v>2703</v>
      </c>
      <c r="C170" s="45">
        <v>18.387755102040817</v>
      </c>
      <c r="D170" s="1" t="s">
        <v>259</v>
      </c>
      <c r="E170" s="27" t="s">
        <v>268</v>
      </c>
      <c r="F170" s="2">
        <v>44650</v>
      </c>
      <c r="G170" t="str">
        <f t="shared" si="4"/>
        <v>Mar</v>
      </c>
      <c r="H170" t="str">
        <f t="shared" si="5"/>
        <v>2022</v>
      </c>
    </row>
    <row r="171" spans="1:8" hidden="1" x14ac:dyDescent="0.35">
      <c r="A171" t="s">
        <v>114</v>
      </c>
      <c r="B171" s="45">
        <v>1000</v>
      </c>
      <c r="C171" s="45">
        <v>6.8027210884353737</v>
      </c>
      <c r="D171" s="1" t="s">
        <v>259</v>
      </c>
      <c r="E171" s="27" t="s">
        <v>265</v>
      </c>
      <c r="F171" s="2">
        <v>44652</v>
      </c>
      <c r="G171" t="str">
        <f t="shared" si="4"/>
        <v>Apr</v>
      </c>
      <c r="H171" t="str">
        <f t="shared" si="5"/>
        <v>2022</v>
      </c>
    </row>
    <row r="172" spans="1:8" hidden="1" x14ac:dyDescent="0.35">
      <c r="A172" t="s">
        <v>63</v>
      </c>
      <c r="B172" s="45">
        <v>12000</v>
      </c>
      <c r="C172" s="45">
        <f>Balance[[#This Row],[COST]]/147</f>
        <v>81.632653061224488</v>
      </c>
      <c r="D172" s="1" t="s">
        <v>262</v>
      </c>
      <c r="E172" s="27" t="s">
        <v>271</v>
      </c>
      <c r="F172" s="2">
        <v>44652</v>
      </c>
      <c r="G172" t="str">
        <f t="shared" si="4"/>
        <v>Apr</v>
      </c>
      <c r="H172" t="str">
        <f t="shared" si="5"/>
        <v>2022</v>
      </c>
    </row>
    <row r="173" spans="1:8" hidden="1" x14ac:dyDescent="0.35">
      <c r="A173" t="s">
        <v>162</v>
      </c>
      <c r="B173" s="45">
        <v>3000</v>
      </c>
      <c r="C173" s="45">
        <v>20.408163265306122</v>
      </c>
      <c r="D173" s="1" t="s">
        <v>515</v>
      </c>
      <c r="E173" s="27" t="s">
        <v>272</v>
      </c>
      <c r="F173" s="2">
        <v>44653</v>
      </c>
      <c r="G173" t="str">
        <f t="shared" si="4"/>
        <v>Apr</v>
      </c>
      <c r="H173" t="str">
        <f t="shared" si="5"/>
        <v>2022</v>
      </c>
    </row>
    <row r="174" spans="1:8" hidden="1" x14ac:dyDescent="0.35">
      <c r="A174" t="s">
        <v>168</v>
      </c>
      <c r="B174" s="45">
        <v>2000</v>
      </c>
      <c r="C174" s="45">
        <v>13.605442176870747</v>
      </c>
      <c r="D174" s="1" t="s">
        <v>259</v>
      </c>
      <c r="E174" s="27" t="s">
        <v>265</v>
      </c>
      <c r="F174" s="2">
        <v>44654</v>
      </c>
      <c r="G174" t="str">
        <f t="shared" si="4"/>
        <v>Apr</v>
      </c>
      <c r="H174" t="str">
        <f t="shared" si="5"/>
        <v>2022</v>
      </c>
    </row>
    <row r="175" spans="1:8" hidden="1" x14ac:dyDescent="0.35">
      <c r="A175" t="s">
        <v>167</v>
      </c>
      <c r="B175" s="45">
        <v>2854.16</v>
      </c>
      <c r="C175" s="45">
        <v>19.416054421768706</v>
      </c>
      <c r="D175" s="1" t="s">
        <v>259</v>
      </c>
      <c r="E175" s="27" t="s">
        <v>273</v>
      </c>
      <c r="F175" s="2">
        <v>44656</v>
      </c>
      <c r="G175" t="str">
        <f t="shared" si="4"/>
        <v>Apr</v>
      </c>
      <c r="H175" t="str">
        <f t="shared" si="5"/>
        <v>2022</v>
      </c>
    </row>
    <row r="176" spans="1:8" hidden="1" x14ac:dyDescent="0.35">
      <c r="A176" t="s">
        <v>105</v>
      </c>
      <c r="B176" s="45">
        <v>10000</v>
      </c>
      <c r="C176" s="45">
        <v>68.027210884353735</v>
      </c>
      <c r="D176" s="1" t="s">
        <v>259</v>
      </c>
      <c r="E176" s="27" t="s">
        <v>265</v>
      </c>
      <c r="F176" s="2">
        <v>44657</v>
      </c>
      <c r="G176" t="str">
        <f t="shared" si="4"/>
        <v>Apr</v>
      </c>
      <c r="H176" t="str">
        <f t="shared" si="5"/>
        <v>2022</v>
      </c>
    </row>
    <row r="177" spans="1:8" hidden="1" x14ac:dyDescent="0.35">
      <c r="A177" t="s">
        <v>165</v>
      </c>
      <c r="B177" s="45">
        <v>35000</v>
      </c>
      <c r="C177" s="45">
        <v>238.0952380952381</v>
      </c>
      <c r="D177" s="1" t="s">
        <v>259</v>
      </c>
      <c r="E177" s="27" t="s">
        <v>4</v>
      </c>
      <c r="F177" s="2">
        <v>44658</v>
      </c>
      <c r="G177" t="str">
        <f t="shared" si="4"/>
        <v>Apr</v>
      </c>
      <c r="H177" t="str">
        <f t="shared" si="5"/>
        <v>2022</v>
      </c>
    </row>
    <row r="178" spans="1:8" hidden="1" x14ac:dyDescent="0.35">
      <c r="A178" t="s">
        <v>183</v>
      </c>
      <c r="B178" s="45">
        <v>7500</v>
      </c>
      <c r="C178" s="45">
        <v>51.020408163265309</v>
      </c>
      <c r="D178" s="1" t="s">
        <v>259</v>
      </c>
      <c r="E178" s="27" t="s">
        <v>4</v>
      </c>
      <c r="F178" s="2">
        <v>44658</v>
      </c>
      <c r="G178" t="str">
        <f t="shared" si="4"/>
        <v>Apr</v>
      </c>
      <c r="H178" t="str">
        <f t="shared" si="5"/>
        <v>2022</v>
      </c>
    </row>
    <row r="179" spans="1:8" hidden="1" x14ac:dyDescent="0.35">
      <c r="A179" t="s">
        <v>184</v>
      </c>
      <c r="B179" s="45">
        <v>7500</v>
      </c>
      <c r="C179" s="45">
        <v>51.020408163265309</v>
      </c>
      <c r="D179" s="1" t="s">
        <v>259</v>
      </c>
      <c r="E179" s="27" t="s">
        <v>268</v>
      </c>
      <c r="F179" s="2">
        <v>44659</v>
      </c>
      <c r="G179" t="str">
        <f t="shared" si="4"/>
        <v>Apr</v>
      </c>
      <c r="H179" t="str">
        <f t="shared" si="5"/>
        <v>2022</v>
      </c>
    </row>
    <row r="180" spans="1:8" hidden="1" x14ac:dyDescent="0.35">
      <c r="A180" t="s">
        <v>185</v>
      </c>
      <c r="B180" s="45">
        <v>813</v>
      </c>
      <c r="C180" s="45">
        <v>5.5306122448979593</v>
      </c>
      <c r="D180" s="1" t="s">
        <v>259</v>
      </c>
      <c r="E180" s="27" t="s">
        <v>267</v>
      </c>
      <c r="F180" s="2">
        <v>44660</v>
      </c>
      <c r="G180" t="str">
        <f t="shared" si="4"/>
        <v>Apr</v>
      </c>
      <c r="H180" t="str">
        <f t="shared" si="5"/>
        <v>2022</v>
      </c>
    </row>
    <row r="181" spans="1:8" hidden="1" x14ac:dyDescent="0.35">
      <c r="A181" t="s">
        <v>184</v>
      </c>
      <c r="B181" s="45">
        <v>2084.17</v>
      </c>
      <c r="C181" s="45">
        <v>14.178027210884354</v>
      </c>
      <c r="D181" s="1" t="s">
        <v>259</v>
      </c>
      <c r="E181" s="27" t="s">
        <v>268</v>
      </c>
      <c r="F181" s="2">
        <v>44660</v>
      </c>
      <c r="G181" t="str">
        <f t="shared" si="4"/>
        <v>Apr</v>
      </c>
      <c r="H181" t="str">
        <f t="shared" si="5"/>
        <v>2022</v>
      </c>
    </row>
    <row r="182" spans="1:8" hidden="1" x14ac:dyDescent="0.35">
      <c r="A182" t="s">
        <v>114</v>
      </c>
      <c r="B182" s="45">
        <v>869.99</v>
      </c>
      <c r="C182" s="45">
        <v>5.9182993197278915</v>
      </c>
      <c r="D182" s="1" t="s">
        <v>259</v>
      </c>
      <c r="E182" s="27" t="s">
        <v>265</v>
      </c>
      <c r="F182" s="2">
        <v>44664</v>
      </c>
      <c r="G182" t="str">
        <f t="shared" si="4"/>
        <v>Apr</v>
      </c>
      <c r="H182" t="str">
        <f t="shared" si="5"/>
        <v>2022</v>
      </c>
    </row>
    <row r="183" spans="1:8" hidden="1" x14ac:dyDescent="0.35">
      <c r="A183" t="s">
        <v>185</v>
      </c>
      <c r="B183" s="45">
        <v>813</v>
      </c>
      <c r="C183" s="45">
        <v>5.5306122448979593</v>
      </c>
      <c r="D183" s="1" t="s">
        <v>259</v>
      </c>
      <c r="E183" s="27" t="s">
        <v>267</v>
      </c>
      <c r="F183" s="2">
        <v>44664</v>
      </c>
      <c r="G183" t="str">
        <f t="shared" si="4"/>
        <v>Apr</v>
      </c>
      <c r="H183" t="str">
        <f t="shared" si="5"/>
        <v>2022</v>
      </c>
    </row>
    <row r="184" spans="1:8" hidden="1" x14ac:dyDescent="0.35">
      <c r="A184" t="s">
        <v>191</v>
      </c>
      <c r="B184" s="45">
        <v>7000</v>
      </c>
      <c r="C184" s="45">
        <v>47.61904761904762</v>
      </c>
      <c r="D184" s="1" t="s">
        <v>515</v>
      </c>
      <c r="E184" s="27" t="s">
        <v>272</v>
      </c>
      <c r="F184" s="2">
        <v>44665</v>
      </c>
      <c r="G184" t="str">
        <f t="shared" si="4"/>
        <v>Apr</v>
      </c>
      <c r="H184" t="str">
        <f t="shared" si="5"/>
        <v>2022</v>
      </c>
    </row>
    <row r="185" spans="1:8" x14ac:dyDescent="0.35">
      <c r="A185" t="s">
        <v>103</v>
      </c>
      <c r="B185" s="45">
        <v>1000</v>
      </c>
      <c r="C185" s="45">
        <v>6.8027210884353737</v>
      </c>
      <c r="D185" s="1" t="s">
        <v>689</v>
      </c>
      <c r="E185" s="27" t="s">
        <v>275</v>
      </c>
      <c r="F185" s="2">
        <v>44668</v>
      </c>
      <c r="G185" t="str">
        <f t="shared" si="4"/>
        <v>Apr</v>
      </c>
      <c r="H185" t="str">
        <f t="shared" si="5"/>
        <v>2022</v>
      </c>
    </row>
    <row r="186" spans="1:8" hidden="1" x14ac:dyDescent="0.35">
      <c r="A186" t="s">
        <v>192</v>
      </c>
      <c r="B186" s="45">
        <v>11000</v>
      </c>
      <c r="C186" s="45">
        <v>74.829931972789112</v>
      </c>
      <c r="D186" s="1" t="s">
        <v>259</v>
      </c>
      <c r="E186" s="27" t="s">
        <v>268</v>
      </c>
      <c r="F186" s="2">
        <v>44671</v>
      </c>
      <c r="G186" t="str">
        <f t="shared" si="4"/>
        <v>Apr</v>
      </c>
      <c r="H186" t="str">
        <f t="shared" si="5"/>
        <v>2022</v>
      </c>
    </row>
    <row r="187" spans="1:8" hidden="1" x14ac:dyDescent="0.35">
      <c r="A187" t="s">
        <v>193</v>
      </c>
      <c r="B187" s="45">
        <v>5500</v>
      </c>
      <c r="C187" s="45">
        <v>37.414965986394556</v>
      </c>
      <c r="D187" s="1" t="s">
        <v>259</v>
      </c>
      <c r="E187" s="27" t="s">
        <v>268</v>
      </c>
      <c r="F187" s="2">
        <v>44671</v>
      </c>
      <c r="G187" t="str">
        <f t="shared" si="4"/>
        <v>Apr</v>
      </c>
      <c r="H187" t="str">
        <f t="shared" si="5"/>
        <v>2022</v>
      </c>
    </row>
    <row r="188" spans="1:8" hidden="1" x14ac:dyDescent="0.35">
      <c r="A188" t="s">
        <v>192</v>
      </c>
      <c r="B188" s="45">
        <f>58*150</f>
        <v>8700</v>
      </c>
      <c r="C188" s="45">
        <v>59.183673469387756</v>
      </c>
      <c r="D188" s="1" t="s">
        <v>259</v>
      </c>
      <c r="E188" s="27" t="s">
        <v>268</v>
      </c>
      <c r="F188" s="2">
        <v>44677</v>
      </c>
      <c r="G188" t="str">
        <f t="shared" si="4"/>
        <v>Apr</v>
      </c>
      <c r="H188" t="str">
        <f t="shared" si="5"/>
        <v>2022</v>
      </c>
    </row>
    <row r="189" spans="1:8" hidden="1" x14ac:dyDescent="0.35">
      <c r="A189" t="s">
        <v>194</v>
      </c>
      <c r="B189" s="45">
        <v>1400</v>
      </c>
      <c r="C189" s="45">
        <v>9.5238095238095237</v>
      </c>
      <c r="D189" s="1" t="s">
        <v>259</v>
      </c>
      <c r="E189" s="27" t="s">
        <v>265</v>
      </c>
      <c r="F189" s="2">
        <v>44677</v>
      </c>
      <c r="G189" t="str">
        <f t="shared" si="4"/>
        <v>Apr</v>
      </c>
      <c r="H189" t="str">
        <f t="shared" si="5"/>
        <v>2022</v>
      </c>
    </row>
    <row r="190" spans="1:8" hidden="1" x14ac:dyDescent="0.35">
      <c r="A190" t="s">
        <v>42</v>
      </c>
      <c r="B190" s="45">
        <v>7884</v>
      </c>
      <c r="C190" s="45">
        <v>53.632653061224488</v>
      </c>
      <c r="D190" s="1" t="s">
        <v>42</v>
      </c>
      <c r="E190" s="27" t="s">
        <v>270</v>
      </c>
      <c r="F190" s="2">
        <v>44679</v>
      </c>
      <c r="G190" t="str">
        <f t="shared" si="4"/>
        <v>Apr</v>
      </c>
      <c r="H190" t="str">
        <f t="shared" si="5"/>
        <v>2022</v>
      </c>
    </row>
    <row r="191" spans="1:8" hidden="1" x14ac:dyDescent="0.35">
      <c r="A191" t="s">
        <v>49</v>
      </c>
      <c r="B191" s="45">
        <v>15000</v>
      </c>
      <c r="C191" s="45">
        <v>102.04081632653062</v>
      </c>
      <c r="D191" s="1" t="s">
        <v>263</v>
      </c>
      <c r="E191" s="27" t="s">
        <v>274</v>
      </c>
      <c r="F191" s="2">
        <v>44680</v>
      </c>
      <c r="G191" t="str">
        <f t="shared" si="4"/>
        <v>Apr</v>
      </c>
      <c r="H191" t="str">
        <f t="shared" si="5"/>
        <v>2022</v>
      </c>
    </row>
    <row r="192" spans="1:8" hidden="1" x14ac:dyDescent="0.35">
      <c r="A192" t="s">
        <v>195</v>
      </c>
      <c r="B192" s="45">
        <v>1500</v>
      </c>
      <c r="C192" s="45">
        <v>10.204081632653061</v>
      </c>
      <c r="D192" s="1" t="s">
        <v>259</v>
      </c>
      <c r="E192" s="27" t="s">
        <v>265</v>
      </c>
      <c r="F192" s="2">
        <v>44680</v>
      </c>
      <c r="G192" t="str">
        <f t="shared" si="4"/>
        <v>Apr</v>
      </c>
      <c r="H192" t="str">
        <f t="shared" si="5"/>
        <v>2022</v>
      </c>
    </row>
    <row r="193" spans="1:8" hidden="1" x14ac:dyDescent="0.35">
      <c r="A193" t="s">
        <v>114</v>
      </c>
      <c r="B193" s="45">
        <v>1000</v>
      </c>
      <c r="C193" s="45">
        <v>6.8027210884353737</v>
      </c>
      <c r="D193" s="1" t="s">
        <v>259</v>
      </c>
      <c r="E193" s="27" t="s">
        <v>265</v>
      </c>
      <c r="F193" s="2">
        <v>44681</v>
      </c>
      <c r="G193" t="str">
        <f t="shared" si="4"/>
        <v>Apr</v>
      </c>
      <c r="H193" t="str">
        <f t="shared" si="5"/>
        <v>2022</v>
      </c>
    </row>
    <row r="194" spans="1:8" hidden="1" x14ac:dyDescent="0.35">
      <c r="A194" t="s">
        <v>196</v>
      </c>
      <c r="B194" s="45">
        <v>1000</v>
      </c>
      <c r="C194" s="45">
        <v>6.8027210884353737</v>
      </c>
      <c r="D194" s="1" t="s">
        <v>259</v>
      </c>
      <c r="E194" s="27" t="s">
        <v>268</v>
      </c>
      <c r="F194" s="2">
        <v>44681</v>
      </c>
      <c r="G194" t="str">
        <f t="shared" ref="G194:G214" si="6">TEXT(F194,"mmm")</f>
        <v>Apr</v>
      </c>
      <c r="H194" t="str">
        <f t="shared" ref="H194:H214" si="7">TEXT(F194,"yyy")</f>
        <v>2022</v>
      </c>
    </row>
    <row r="195" spans="1:8" hidden="1" x14ac:dyDescent="0.35">
      <c r="A195" t="s">
        <v>6</v>
      </c>
      <c r="B195" s="45">
        <v>2500</v>
      </c>
      <c r="C195" s="45">
        <v>17.006802721088434</v>
      </c>
      <c r="D195" s="1" t="s">
        <v>261</v>
      </c>
      <c r="E195" s="27" t="s">
        <v>514</v>
      </c>
      <c r="F195" s="2">
        <v>44681</v>
      </c>
      <c r="G195" t="str">
        <f t="shared" si="6"/>
        <v>Apr</v>
      </c>
      <c r="H195" t="str">
        <f t="shared" si="7"/>
        <v>2022</v>
      </c>
    </row>
    <row r="196" spans="1:8" hidden="1" x14ac:dyDescent="0.35">
      <c r="A196" t="s">
        <v>63</v>
      </c>
      <c r="B196" s="45">
        <v>12000</v>
      </c>
      <c r="C196" s="45">
        <f>Balance[[#This Row],[COST]]/147</f>
        <v>81.632653061224488</v>
      </c>
      <c r="D196" s="1" t="s">
        <v>262</v>
      </c>
      <c r="E196" s="27" t="s">
        <v>271</v>
      </c>
      <c r="F196" s="2">
        <v>44682</v>
      </c>
      <c r="G196" t="str">
        <f t="shared" si="6"/>
        <v>May</v>
      </c>
      <c r="H196" t="str">
        <f t="shared" si="7"/>
        <v>2022</v>
      </c>
    </row>
    <row r="197" spans="1:8" x14ac:dyDescent="0.35">
      <c r="A197" t="s">
        <v>197</v>
      </c>
      <c r="B197" s="45">
        <v>12500</v>
      </c>
      <c r="C197" s="45">
        <v>85.034013605442183</v>
      </c>
      <c r="D197" s="1" t="s">
        <v>689</v>
      </c>
      <c r="E197" s="27" t="s">
        <v>275</v>
      </c>
      <c r="F197" s="2">
        <v>44684</v>
      </c>
      <c r="G197" t="str">
        <f t="shared" si="6"/>
        <v>May</v>
      </c>
      <c r="H197" t="str">
        <f t="shared" si="7"/>
        <v>2022</v>
      </c>
    </row>
    <row r="198" spans="1:8" hidden="1" x14ac:dyDescent="0.35">
      <c r="A198" t="s">
        <v>105</v>
      </c>
      <c r="B198" s="1">
        <v>10000</v>
      </c>
      <c r="C198" s="1">
        <v>68.027210884353735</v>
      </c>
      <c r="D198" s="1" t="s">
        <v>259</v>
      </c>
      <c r="E198" s="27" t="s">
        <v>265</v>
      </c>
      <c r="F198" s="2">
        <v>44686</v>
      </c>
      <c r="G198" t="str">
        <f t="shared" si="6"/>
        <v>May</v>
      </c>
      <c r="H198" t="str">
        <f t="shared" si="7"/>
        <v>2022</v>
      </c>
    </row>
    <row r="199" spans="1:8" hidden="1" x14ac:dyDescent="0.35">
      <c r="A199" t="s">
        <v>198</v>
      </c>
      <c r="B199" s="1">
        <v>27200</v>
      </c>
      <c r="C199" s="1">
        <v>185.03401360544217</v>
      </c>
      <c r="D199" s="1" t="s">
        <v>260</v>
      </c>
      <c r="E199" s="27" t="s">
        <v>273</v>
      </c>
      <c r="F199" s="2">
        <v>44687</v>
      </c>
      <c r="G199" t="str">
        <f t="shared" si="6"/>
        <v>May</v>
      </c>
      <c r="H199" t="str">
        <f t="shared" si="7"/>
        <v>2022</v>
      </c>
    </row>
    <row r="200" spans="1:8" hidden="1" x14ac:dyDescent="0.35">
      <c r="A200" t="s">
        <v>199</v>
      </c>
      <c r="B200" s="45">
        <v>15000</v>
      </c>
      <c r="C200" s="45">
        <v>102.04081632653062</v>
      </c>
      <c r="D200" s="1" t="s">
        <v>259</v>
      </c>
      <c r="E200" s="27" t="s">
        <v>267</v>
      </c>
      <c r="F200" s="2">
        <v>44692</v>
      </c>
      <c r="G200" t="str">
        <f t="shared" si="6"/>
        <v>May</v>
      </c>
      <c r="H200" t="str">
        <f t="shared" si="7"/>
        <v>2022</v>
      </c>
    </row>
    <row r="201" spans="1:8" hidden="1" x14ac:dyDescent="0.35">
      <c r="A201" t="s">
        <v>200</v>
      </c>
      <c r="B201" s="45">
        <v>1000</v>
      </c>
      <c r="C201" s="45">
        <v>6.8027210884353737</v>
      </c>
      <c r="D201" s="1" t="s">
        <v>259</v>
      </c>
      <c r="E201" s="27" t="s">
        <v>265</v>
      </c>
      <c r="F201" s="2">
        <v>44696</v>
      </c>
      <c r="G201" t="str">
        <f t="shared" si="6"/>
        <v>May</v>
      </c>
      <c r="H201" t="str">
        <f t="shared" si="7"/>
        <v>2022</v>
      </c>
    </row>
    <row r="202" spans="1:8" hidden="1" x14ac:dyDescent="0.35">
      <c r="A202" t="s">
        <v>201</v>
      </c>
      <c r="B202" s="45">
        <v>6500</v>
      </c>
      <c r="C202" s="45">
        <v>44.217687074829932</v>
      </c>
      <c r="D202" s="1" t="s">
        <v>515</v>
      </c>
      <c r="E202" s="27" t="s">
        <v>272</v>
      </c>
      <c r="F202" s="2">
        <v>44697</v>
      </c>
      <c r="G202" t="str">
        <f t="shared" si="6"/>
        <v>May</v>
      </c>
      <c r="H202" t="str">
        <f t="shared" si="7"/>
        <v>2022</v>
      </c>
    </row>
    <row r="203" spans="1:8" hidden="1" x14ac:dyDescent="0.35">
      <c r="A203" t="s">
        <v>202</v>
      </c>
      <c r="B203" s="45">
        <v>1200</v>
      </c>
      <c r="C203" s="45">
        <v>8.1632653061224492</v>
      </c>
      <c r="D203" s="1" t="s">
        <v>259</v>
      </c>
      <c r="E203" s="27" t="s">
        <v>265</v>
      </c>
      <c r="F203" s="2">
        <v>44698</v>
      </c>
      <c r="G203" t="str">
        <f t="shared" si="6"/>
        <v>May</v>
      </c>
      <c r="H203" t="str">
        <f t="shared" si="7"/>
        <v>2022</v>
      </c>
    </row>
    <row r="204" spans="1:8" hidden="1" x14ac:dyDescent="0.35">
      <c r="A204" t="s">
        <v>205</v>
      </c>
      <c r="B204" s="45">
        <v>75000</v>
      </c>
      <c r="C204" s="45">
        <v>510.20408163265307</v>
      </c>
      <c r="D204" s="1" t="s">
        <v>263</v>
      </c>
      <c r="E204" s="27" t="s">
        <v>274</v>
      </c>
      <c r="F204" s="2">
        <v>44699</v>
      </c>
      <c r="G204" t="str">
        <f t="shared" si="6"/>
        <v>May</v>
      </c>
      <c r="H204" t="str">
        <f t="shared" si="7"/>
        <v>2022</v>
      </c>
    </row>
    <row r="205" spans="1:8" hidden="1" x14ac:dyDescent="0.35">
      <c r="A205" t="s">
        <v>67</v>
      </c>
      <c r="B205" s="45">
        <v>1300</v>
      </c>
      <c r="C205" s="45">
        <v>8.8435374149659864</v>
      </c>
      <c r="D205" s="1" t="s">
        <v>259</v>
      </c>
      <c r="E205" s="27" t="s">
        <v>265</v>
      </c>
      <c r="F205" s="2">
        <v>44700</v>
      </c>
      <c r="G205" t="str">
        <f t="shared" si="6"/>
        <v>May</v>
      </c>
      <c r="H205" t="str">
        <f t="shared" si="7"/>
        <v>2022</v>
      </c>
    </row>
    <row r="206" spans="1:8" hidden="1" x14ac:dyDescent="0.35">
      <c r="A206" t="s">
        <v>206</v>
      </c>
      <c r="B206" s="45">
        <v>7000</v>
      </c>
      <c r="C206" s="45">
        <v>47.61904761904762</v>
      </c>
      <c r="D206" s="1" t="s">
        <v>259</v>
      </c>
      <c r="E206" s="27" t="s">
        <v>267</v>
      </c>
      <c r="F206" s="2">
        <v>44701</v>
      </c>
      <c r="G206" t="str">
        <f t="shared" si="6"/>
        <v>May</v>
      </c>
      <c r="H206" t="str">
        <f t="shared" si="7"/>
        <v>2022</v>
      </c>
    </row>
    <row r="207" spans="1:8" hidden="1" x14ac:dyDescent="0.35">
      <c r="A207" t="s">
        <v>203</v>
      </c>
      <c r="B207" s="45">
        <f>225*158</f>
        <v>35550</v>
      </c>
      <c r="C207" s="45">
        <v>241.83673469387756</v>
      </c>
      <c r="D207" s="1" t="s">
        <v>260</v>
      </c>
      <c r="E207" s="27" t="s">
        <v>267</v>
      </c>
      <c r="F207" s="2">
        <v>44702</v>
      </c>
      <c r="G207" t="str">
        <f t="shared" si="6"/>
        <v>May</v>
      </c>
      <c r="H207" t="str">
        <f t="shared" si="7"/>
        <v>2022</v>
      </c>
    </row>
    <row r="208" spans="1:8" hidden="1" x14ac:dyDescent="0.35">
      <c r="A208" t="s">
        <v>49</v>
      </c>
      <c r="B208" s="45">
        <v>15000</v>
      </c>
      <c r="C208" s="45">
        <v>102.04081632653062</v>
      </c>
      <c r="D208" s="1" t="s">
        <v>263</v>
      </c>
      <c r="E208" s="27" t="s">
        <v>274</v>
      </c>
      <c r="F208" s="2">
        <v>44703</v>
      </c>
      <c r="G208" t="str">
        <f t="shared" si="6"/>
        <v>May</v>
      </c>
      <c r="H208" t="str">
        <f t="shared" si="7"/>
        <v>2022</v>
      </c>
    </row>
    <row r="209" spans="1:8" hidden="1" x14ac:dyDescent="0.35">
      <c r="A209" t="s">
        <v>42</v>
      </c>
      <c r="B209" s="45">
        <v>7884</v>
      </c>
      <c r="C209" s="45">
        <v>53.632653061224488</v>
      </c>
      <c r="D209" s="1" t="s">
        <v>42</v>
      </c>
      <c r="E209" s="27" t="s">
        <v>270</v>
      </c>
      <c r="F209" s="2">
        <v>44703</v>
      </c>
      <c r="G209" t="str">
        <f t="shared" si="6"/>
        <v>May</v>
      </c>
      <c r="H209" t="str">
        <f t="shared" si="7"/>
        <v>2022</v>
      </c>
    </row>
    <row r="210" spans="1:8" hidden="1" x14ac:dyDescent="0.35">
      <c r="A210" t="s">
        <v>160</v>
      </c>
      <c r="B210" s="45">
        <v>11600</v>
      </c>
      <c r="C210" s="45">
        <v>78.911564625850346</v>
      </c>
      <c r="D210" s="1" t="s">
        <v>259</v>
      </c>
      <c r="E210" s="27" t="s">
        <v>265</v>
      </c>
      <c r="F210" s="2">
        <v>44703</v>
      </c>
      <c r="G210" t="str">
        <f t="shared" si="6"/>
        <v>May</v>
      </c>
      <c r="H210" t="str">
        <f t="shared" si="7"/>
        <v>2022</v>
      </c>
    </row>
    <row r="211" spans="1:8" hidden="1" x14ac:dyDescent="0.35">
      <c r="A211" t="s">
        <v>6</v>
      </c>
      <c r="B211" s="45">
        <v>2400</v>
      </c>
      <c r="C211" s="45">
        <v>16.326530612244898</v>
      </c>
      <c r="D211" s="1" t="s">
        <v>261</v>
      </c>
      <c r="E211" s="27" t="s">
        <v>514</v>
      </c>
      <c r="F211" s="2">
        <v>44704</v>
      </c>
      <c r="G211" t="str">
        <f t="shared" si="6"/>
        <v>May</v>
      </c>
      <c r="H211" t="str">
        <f t="shared" si="7"/>
        <v>2022</v>
      </c>
    </row>
    <row r="212" spans="1:8" hidden="1" x14ac:dyDescent="0.35">
      <c r="A212" t="s">
        <v>210</v>
      </c>
      <c r="B212" s="45">
        <v>6000</v>
      </c>
      <c r="C212" s="45">
        <v>40.816326530612244</v>
      </c>
      <c r="D212" s="1" t="s">
        <v>263</v>
      </c>
      <c r="E212" s="27" t="s">
        <v>274</v>
      </c>
      <c r="F212" s="2">
        <v>44713</v>
      </c>
      <c r="G212" t="str">
        <f t="shared" si="6"/>
        <v>Jun</v>
      </c>
      <c r="H212" t="str">
        <f t="shared" si="7"/>
        <v>2022</v>
      </c>
    </row>
    <row r="213" spans="1:8" hidden="1" x14ac:dyDescent="0.35">
      <c r="A213" t="s">
        <v>63</v>
      </c>
      <c r="B213" s="45">
        <v>12000</v>
      </c>
      <c r="C213" s="45">
        <f>Balance[[#This Row],[COST]]/147</f>
        <v>81.632653061224488</v>
      </c>
      <c r="D213" s="1" t="s">
        <v>262</v>
      </c>
      <c r="E213" s="27" t="s">
        <v>271</v>
      </c>
      <c r="F213" s="2">
        <v>44713</v>
      </c>
      <c r="G213" t="str">
        <f t="shared" si="6"/>
        <v>Jun</v>
      </c>
      <c r="H213" t="str">
        <f t="shared" si="7"/>
        <v>2022</v>
      </c>
    </row>
    <row r="214" spans="1:8" x14ac:dyDescent="0.35">
      <c r="A214" t="s">
        <v>211</v>
      </c>
      <c r="B214" s="45">
        <v>6000</v>
      </c>
      <c r="C214" s="45">
        <v>40.816326530612244</v>
      </c>
      <c r="D214" s="1" t="s">
        <v>689</v>
      </c>
      <c r="E214" s="27" t="s">
        <v>275</v>
      </c>
      <c r="F214" s="2">
        <v>44719</v>
      </c>
      <c r="G214" t="str">
        <f t="shared" si="6"/>
        <v>Jun</v>
      </c>
      <c r="H214" t="str">
        <f t="shared" si="7"/>
        <v>2022</v>
      </c>
    </row>
    <row r="215" spans="1:8" hidden="1" x14ac:dyDescent="0.35">
      <c r="A215" t="s">
        <v>212</v>
      </c>
      <c r="B215" s="45">
        <v>500</v>
      </c>
      <c r="C215" s="45">
        <v>3.4013605442176869</v>
      </c>
      <c r="D215" s="1" t="s">
        <v>515</v>
      </c>
      <c r="E215" s="27" t="s">
        <v>272</v>
      </c>
      <c r="F215" s="2">
        <v>44720</v>
      </c>
      <c r="G215" t="str">
        <f>TEXT(F216,"mmm")</f>
        <v>Jun</v>
      </c>
      <c r="H215" t="str">
        <f>TEXT(F216,"yyy")</f>
        <v>2022</v>
      </c>
    </row>
    <row r="216" spans="1:8" x14ac:dyDescent="0.35">
      <c r="A216" t="s">
        <v>213</v>
      </c>
      <c r="B216" s="45">
        <v>4600</v>
      </c>
      <c r="C216" s="45">
        <v>31.292517006802722</v>
      </c>
      <c r="D216" s="1" t="s">
        <v>689</v>
      </c>
      <c r="E216" s="27" t="s">
        <v>275</v>
      </c>
      <c r="F216" s="2">
        <v>44721</v>
      </c>
      <c r="G216" t="str">
        <f>TEXT(F217,"mmm")</f>
        <v>Jun</v>
      </c>
      <c r="H216" t="str">
        <f>TEXT(F217,"yyy")</f>
        <v>2022</v>
      </c>
    </row>
    <row r="217" spans="1:8" hidden="1" x14ac:dyDescent="0.35">
      <c r="A217" t="s">
        <v>133</v>
      </c>
      <c r="B217" s="45">
        <v>6600</v>
      </c>
      <c r="C217" s="45">
        <v>44.897959183673471</v>
      </c>
      <c r="D217" s="1" t="s">
        <v>259</v>
      </c>
      <c r="E217" s="27" t="s">
        <v>265</v>
      </c>
      <c r="F217" s="2">
        <v>44722</v>
      </c>
      <c r="G217" t="str">
        <f>TEXT(F217,"mmm")</f>
        <v>Jun</v>
      </c>
      <c r="H217" t="str">
        <f>TEXT(F217,"yyy")</f>
        <v>2022</v>
      </c>
    </row>
    <row r="218" spans="1:8" hidden="1" x14ac:dyDescent="0.35">
      <c r="A218" t="s">
        <v>283</v>
      </c>
      <c r="B218" s="45">
        <v>55040</v>
      </c>
      <c r="C218" s="45">
        <v>374.42176870748301</v>
      </c>
      <c r="D218" s="1" t="s">
        <v>15</v>
      </c>
      <c r="E218" s="27" t="s">
        <v>269</v>
      </c>
      <c r="F218" s="2">
        <v>44722</v>
      </c>
      <c r="G218" t="str">
        <f>TEXT(F218,"mmm")</f>
        <v>Jun</v>
      </c>
      <c r="H218" t="str">
        <f>TEXT(F218,"yyy")</f>
        <v>2022</v>
      </c>
    </row>
    <row r="219" spans="1:8" hidden="1" x14ac:dyDescent="0.35">
      <c r="A219" t="s">
        <v>214</v>
      </c>
      <c r="B219" s="45">
        <v>187000</v>
      </c>
      <c r="C219" s="45">
        <v>1272.1088435374149</v>
      </c>
      <c r="D219" s="1" t="s">
        <v>42</v>
      </c>
      <c r="E219" s="27" t="s">
        <v>214</v>
      </c>
      <c r="F219" s="2">
        <v>44723</v>
      </c>
      <c r="G219" t="str">
        <f>TEXT(F219,"mmm")</f>
        <v>Jun</v>
      </c>
      <c r="H219" t="str">
        <f>TEXT(F219,"yyy")</f>
        <v>2022</v>
      </c>
    </row>
    <row r="220" spans="1:8" hidden="1" x14ac:dyDescent="0.35">
      <c r="A220" t="s">
        <v>215</v>
      </c>
      <c r="B220" s="45">
        <v>11000</v>
      </c>
      <c r="C220" s="45">
        <v>74.829931972789112</v>
      </c>
      <c r="D220" s="1" t="s">
        <v>259</v>
      </c>
      <c r="E220" s="27" t="s">
        <v>265</v>
      </c>
      <c r="F220" s="2">
        <v>44729</v>
      </c>
      <c r="G220" t="str">
        <f>TEXT(F220,"mmm")</f>
        <v>Jun</v>
      </c>
      <c r="H220" t="str">
        <f>TEXT(F220,"yyy")</f>
        <v>2022</v>
      </c>
    </row>
    <row r="221" spans="1:8" hidden="1" x14ac:dyDescent="0.35">
      <c r="A221" t="s">
        <v>216</v>
      </c>
      <c r="B221" s="45">
        <v>2000</v>
      </c>
      <c r="C221" s="45">
        <v>13.605442176870747</v>
      </c>
      <c r="D221" s="1" t="s">
        <v>259</v>
      </c>
      <c r="E221" s="27" t="s">
        <v>268</v>
      </c>
      <c r="F221" s="2">
        <v>44730</v>
      </c>
      <c r="G221" t="str">
        <f>TEXT(F222,"mmm")</f>
        <v>Jun</v>
      </c>
      <c r="H221" t="str">
        <f>TEXT(F222,"yyy")</f>
        <v>2022</v>
      </c>
    </row>
    <row r="222" spans="1:8" x14ac:dyDescent="0.35">
      <c r="A222" t="s">
        <v>217</v>
      </c>
      <c r="B222" s="45">
        <v>43000</v>
      </c>
      <c r="C222" s="45">
        <v>292.51700680272108</v>
      </c>
      <c r="D222" s="1" t="s">
        <v>689</v>
      </c>
      <c r="E222" s="27" t="s">
        <v>275</v>
      </c>
      <c r="F222" s="2">
        <v>44731</v>
      </c>
      <c r="G222" t="str">
        <f>TEXT(F224,"mmm")</f>
        <v>Jun</v>
      </c>
      <c r="H222" t="str">
        <f>TEXT(F224,"yyy")</f>
        <v>2022</v>
      </c>
    </row>
    <row r="223" spans="1:8" hidden="1" x14ac:dyDescent="0.35">
      <c r="A223" t="s">
        <v>105</v>
      </c>
      <c r="B223" s="45">
        <v>10000</v>
      </c>
      <c r="C223" s="45">
        <v>68.027210884353735</v>
      </c>
      <c r="D223" s="1" t="s">
        <v>259</v>
      </c>
      <c r="E223" s="27" t="s">
        <v>265</v>
      </c>
      <c r="F223" s="2">
        <v>44732</v>
      </c>
      <c r="G223" t="str">
        <f t="shared" ref="G223:G286" si="8">TEXT(F223,"mmm")</f>
        <v>Jun</v>
      </c>
      <c r="H223" t="str">
        <f t="shared" ref="H223:H286" si="9">TEXT(F223,"yyy")</f>
        <v>2022</v>
      </c>
    </row>
    <row r="224" spans="1:8" hidden="1" x14ac:dyDescent="0.35">
      <c r="A224" t="s">
        <v>218</v>
      </c>
      <c r="B224" s="45">
        <v>2500</v>
      </c>
      <c r="C224" s="45">
        <v>17.006802721088434</v>
      </c>
      <c r="D224" s="1" t="s">
        <v>259</v>
      </c>
      <c r="E224" s="27" t="s">
        <v>265</v>
      </c>
      <c r="F224" s="2">
        <v>44732</v>
      </c>
      <c r="G224" t="str">
        <f t="shared" si="8"/>
        <v>Jun</v>
      </c>
      <c r="H224" t="str">
        <f t="shared" si="9"/>
        <v>2022</v>
      </c>
    </row>
    <row r="225" spans="1:8" hidden="1" x14ac:dyDescent="0.35">
      <c r="A225" t="s">
        <v>219</v>
      </c>
      <c r="B225" s="45">
        <v>4000</v>
      </c>
      <c r="C225" s="45">
        <v>27.210884353741495</v>
      </c>
      <c r="D225" s="1" t="s">
        <v>259</v>
      </c>
      <c r="E225" s="27" t="s">
        <v>268</v>
      </c>
      <c r="F225" s="2">
        <v>44733</v>
      </c>
      <c r="G225" t="str">
        <f t="shared" si="8"/>
        <v>Jun</v>
      </c>
      <c r="H225" t="str">
        <f t="shared" si="9"/>
        <v>2022</v>
      </c>
    </row>
    <row r="226" spans="1:8" hidden="1" x14ac:dyDescent="0.35">
      <c r="A226" t="s">
        <v>183</v>
      </c>
      <c r="B226" s="45">
        <v>4700</v>
      </c>
      <c r="C226" s="45">
        <v>31.972789115646258</v>
      </c>
      <c r="D226" s="1" t="s">
        <v>259</v>
      </c>
      <c r="E226" s="27" t="s">
        <v>4</v>
      </c>
      <c r="F226" s="2">
        <v>44734</v>
      </c>
      <c r="G226" t="str">
        <f t="shared" si="8"/>
        <v>Jun</v>
      </c>
      <c r="H226" t="str">
        <f t="shared" si="9"/>
        <v>2022</v>
      </c>
    </row>
    <row r="227" spans="1:8" hidden="1" x14ac:dyDescent="0.35">
      <c r="A227" t="s">
        <v>49</v>
      </c>
      <c r="B227" s="45">
        <v>15000</v>
      </c>
      <c r="C227" s="45">
        <v>102.04081632653062</v>
      </c>
      <c r="D227" s="1" t="s">
        <v>263</v>
      </c>
      <c r="E227" s="27" t="s">
        <v>274</v>
      </c>
      <c r="F227" s="2">
        <v>44735</v>
      </c>
      <c r="G227" t="str">
        <f t="shared" si="8"/>
        <v>Jun</v>
      </c>
      <c r="H227" t="str">
        <f t="shared" si="9"/>
        <v>2022</v>
      </c>
    </row>
    <row r="228" spans="1:8" hidden="1" x14ac:dyDescent="0.35">
      <c r="A228" t="s">
        <v>215</v>
      </c>
      <c r="B228" s="45">
        <v>56000</v>
      </c>
      <c r="C228" s="45">
        <v>380.95238095238096</v>
      </c>
      <c r="D228" s="1" t="s">
        <v>259</v>
      </c>
      <c r="E228" s="27" t="s">
        <v>265</v>
      </c>
      <c r="F228" s="2">
        <v>44736</v>
      </c>
      <c r="G228" t="str">
        <f t="shared" si="8"/>
        <v>Jun</v>
      </c>
      <c r="H228" t="str">
        <f t="shared" si="9"/>
        <v>2022</v>
      </c>
    </row>
    <row r="229" spans="1:8" hidden="1" x14ac:dyDescent="0.35">
      <c r="A229" t="s">
        <v>215</v>
      </c>
      <c r="B229" s="45">
        <v>4500</v>
      </c>
      <c r="C229" s="45">
        <v>30.612244897959183</v>
      </c>
      <c r="D229" s="1" t="s">
        <v>259</v>
      </c>
      <c r="E229" s="27" t="s">
        <v>265</v>
      </c>
      <c r="F229" s="2">
        <v>44737</v>
      </c>
      <c r="G229" t="str">
        <f t="shared" si="8"/>
        <v>Jun</v>
      </c>
      <c r="H229" t="str">
        <f t="shared" si="9"/>
        <v>2022</v>
      </c>
    </row>
    <row r="230" spans="1:8" hidden="1" x14ac:dyDescent="0.35">
      <c r="A230" t="s">
        <v>220</v>
      </c>
      <c r="B230" s="45">
        <v>4000</v>
      </c>
      <c r="C230" s="45">
        <v>27.210884353741495</v>
      </c>
      <c r="D230" s="1" t="s">
        <v>259</v>
      </c>
      <c r="E230" s="27" t="s">
        <v>267</v>
      </c>
      <c r="F230" s="2">
        <v>44738</v>
      </c>
      <c r="G230" t="str">
        <f t="shared" si="8"/>
        <v>Jun</v>
      </c>
      <c r="H230" t="str">
        <f t="shared" si="9"/>
        <v>2022</v>
      </c>
    </row>
    <row r="231" spans="1:8" hidden="1" x14ac:dyDescent="0.35">
      <c r="A231" t="s">
        <v>221</v>
      </c>
      <c r="B231" s="45">
        <v>4000</v>
      </c>
      <c r="C231" s="45">
        <v>27.210884353741495</v>
      </c>
      <c r="D231" s="1" t="s">
        <v>259</v>
      </c>
      <c r="E231" s="27" t="s">
        <v>267</v>
      </c>
      <c r="F231" s="2">
        <v>44739</v>
      </c>
      <c r="G231" t="str">
        <f t="shared" si="8"/>
        <v>Jun</v>
      </c>
      <c r="H231" t="str">
        <f t="shared" si="9"/>
        <v>2022</v>
      </c>
    </row>
    <row r="232" spans="1:8" hidden="1" x14ac:dyDescent="0.35">
      <c r="A232" t="s">
        <v>222</v>
      </c>
      <c r="B232" s="45">
        <v>19300</v>
      </c>
      <c r="C232" s="45">
        <v>131.29251700680271</v>
      </c>
      <c r="D232" s="1" t="s">
        <v>259</v>
      </c>
      <c r="E232" s="27" t="s">
        <v>4</v>
      </c>
      <c r="F232" s="2">
        <v>44740</v>
      </c>
      <c r="G232" t="str">
        <f t="shared" si="8"/>
        <v>Jun</v>
      </c>
      <c r="H232" t="str">
        <f t="shared" si="9"/>
        <v>2022</v>
      </c>
    </row>
    <row r="233" spans="1:8" hidden="1" x14ac:dyDescent="0.35">
      <c r="A233" t="s">
        <v>114</v>
      </c>
      <c r="B233" s="45">
        <v>2500</v>
      </c>
      <c r="C233" s="45">
        <v>17.006802721088434</v>
      </c>
      <c r="D233" s="1" t="s">
        <v>259</v>
      </c>
      <c r="E233" s="27" t="s">
        <v>265</v>
      </c>
      <c r="F233" s="2">
        <v>44741</v>
      </c>
      <c r="G233" t="str">
        <f t="shared" si="8"/>
        <v>Jun</v>
      </c>
      <c r="H233" t="str">
        <f t="shared" si="9"/>
        <v>2022</v>
      </c>
    </row>
    <row r="234" spans="1:8" hidden="1" x14ac:dyDescent="0.35">
      <c r="A234" t="s">
        <v>42</v>
      </c>
      <c r="B234" s="45">
        <v>7884</v>
      </c>
      <c r="C234" s="45">
        <v>53.632653061224488</v>
      </c>
      <c r="D234" s="1" t="s">
        <v>42</v>
      </c>
      <c r="E234" s="27" t="s">
        <v>270</v>
      </c>
      <c r="F234" s="2">
        <v>44742</v>
      </c>
      <c r="G234" t="str">
        <f t="shared" si="8"/>
        <v>Jun</v>
      </c>
      <c r="H234" t="str">
        <f t="shared" si="9"/>
        <v>2022</v>
      </c>
    </row>
    <row r="235" spans="1:8" hidden="1" x14ac:dyDescent="0.35">
      <c r="A235" t="s">
        <v>24</v>
      </c>
      <c r="B235" s="45">
        <v>1200</v>
      </c>
      <c r="C235" s="45">
        <v>8.1632653061224492</v>
      </c>
      <c r="D235" s="1" t="s">
        <v>259</v>
      </c>
      <c r="E235" s="27" t="s">
        <v>267</v>
      </c>
      <c r="F235" s="2">
        <v>44742</v>
      </c>
      <c r="G235" t="str">
        <f t="shared" si="8"/>
        <v>Jun</v>
      </c>
      <c r="H235" t="str">
        <f t="shared" si="9"/>
        <v>2022</v>
      </c>
    </row>
    <row r="236" spans="1:8" hidden="1" x14ac:dyDescent="0.35">
      <c r="A236" t="s">
        <v>105</v>
      </c>
      <c r="B236" s="45">
        <v>10000</v>
      </c>
      <c r="C236" s="45">
        <v>68.027210884353735</v>
      </c>
      <c r="D236" s="1" t="s">
        <v>259</v>
      </c>
      <c r="E236" s="27" t="s">
        <v>265</v>
      </c>
      <c r="F236" s="2">
        <v>44742</v>
      </c>
      <c r="G236" t="str">
        <f t="shared" si="8"/>
        <v>Jun</v>
      </c>
      <c r="H236" t="str">
        <f t="shared" si="9"/>
        <v>2022</v>
      </c>
    </row>
    <row r="237" spans="1:8" hidden="1" x14ac:dyDescent="0.35">
      <c r="A237" t="s">
        <v>223</v>
      </c>
      <c r="B237" s="45">
        <v>3100</v>
      </c>
      <c r="C237" s="45">
        <v>21.088435374149661</v>
      </c>
      <c r="D237" s="1" t="s">
        <v>515</v>
      </c>
      <c r="E237" s="27" t="s">
        <v>204</v>
      </c>
      <c r="F237" s="2">
        <v>44743</v>
      </c>
      <c r="G237" t="str">
        <f t="shared" si="8"/>
        <v>Jul</v>
      </c>
      <c r="H237" t="str">
        <f t="shared" si="9"/>
        <v>2022</v>
      </c>
    </row>
    <row r="238" spans="1:8" hidden="1" x14ac:dyDescent="0.35">
      <c r="A238" t="s">
        <v>63</v>
      </c>
      <c r="B238" s="45">
        <v>12000</v>
      </c>
      <c r="C238" s="45">
        <f>Balance[[#This Row],[COST]]/147</f>
        <v>81.632653061224488</v>
      </c>
      <c r="D238" s="1" t="s">
        <v>262</v>
      </c>
      <c r="E238" s="27" t="s">
        <v>271</v>
      </c>
      <c r="F238" s="2">
        <v>44743</v>
      </c>
      <c r="G238" t="str">
        <f t="shared" si="8"/>
        <v>Jul</v>
      </c>
      <c r="H238" t="str">
        <f t="shared" si="9"/>
        <v>2022</v>
      </c>
    </row>
    <row r="239" spans="1:8" hidden="1" x14ac:dyDescent="0.35">
      <c r="A239" t="s">
        <v>224</v>
      </c>
      <c r="B239" s="45">
        <v>2600</v>
      </c>
      <c r="C239" s="45">
        <v>17.687074829931973</v>
      </c>
      <c r="D239" s="1" t="s">
        <v>259</v>
      </c>
      <c r="E239" s="27" t="s">
        <v>267</v>
      </c>
      <c r="F239" s="2">
        <v>44744</v>
      </c>
      <c r="G239" t="str">
        <f t="shared" si="8"/>
        <v>Jul</v>
      </c>
      <c r="H239" t="str">
        <f t="shared" si="9"/>
        <v>2022</v>
      </c>
    </row>
    <row r="240" spans="1:8" hidden="1" x14ac:dyDescent="0.35">
      <c r="A240" t="s">
        <v>105</v>
      </c>
      <c r="B240" s="45">
        <v>10000</v>
      </c>
      <c r="C240" s="45">
        <v>68.027210884353735</v>
      </c>
      <c r="D240" s="1" t="s">
        <v>259</v>
      </c>
      <c r="E240" s="27" t="s">
        <v>265</v>
      </c>
      <c r="F240" s="2">
        <v>44745</v>
      </c>
      <c r="G240" t="str">
        <f t="shared" si="8"/>
        <v>Jul</v>
      </c>
      <c r="H240" t="str">
        <f t="shared" si="9"/>
        <v>2022</v>
      </c>
    </row>
    <row r="241" spans="1:8" hidden="1" x14ac:dyDescent="0.35">
      <c r="A241" t="s">
        <v>225</v>
      </c>
      <c r="B241" s="45">
        <v>400</v>
      </c>
      <c r="C241" s="45">
        <v>2.7210884353741496</v>
      </c>
      <c r="D241" s="1" t="s">
        <v>259</v>
      </c>
      <c r="E241" s="27" t="s">
        <v>265</v>
      </c>
      <c r="F241" s="2">
        <v>44745</v>
      </c>
      <c r="G241" t="str">
        <f t="shared" si="8"/>
        <v>Jul</v>
      </c>
      <c r="H241" t="str">
        <f t="shared" si="9"/>
        <v>2022</v>
      </c>
    </row>
    <row r="242" spans="1:8" hidden="1" x14ac:dyDescent="0.35">
      <c r="A242" t="s">
        <v>316</v>
      </c>
      <c r="B242" s="45">
        <v>5000</v>
      </c>
      <c r="C242" s="45">
        <v>34.013605442176868</v>
      </c>
      <c r="D242" s="1" t="s">
        <v>263</v>
      </c>
      <c r="E242" s="27" t="s">
        <v>274</v>
      </c>
      <c r="F242" s="2">
        <v>44746</v>
      </c>
      <c r="G242" t="str">
        <f t="shared" si="8"/>
        <v>Jul</v>
      </c>
      <c r="H242" t="str">
        <f t="shared" si="9"/>
        <v>2022</v>
      </c>
    </row>
    <row r="243" spans="1:8" hidden="1" x14ac:dyDescent="0.35">
      <c r="A243" t="s">
        <v>226</v>
      </c>
      <c r="B243" s="45">
        <v>1100</v>
      </c>
      <c r="C243" s="45">
        <v>7.4829931972789119</v>
      </c>
      <c r="D243" s="1" t="s">
        <v>259</v>
      </c>
      <c r="E243" s="27" t="s">
        <v>268</v>
      </c>
      <c r="F243" s="2">
        <v>44747</v>
      </c>
      <c r="G243" t="str">
        <f t="shared" si="8"/>
        <v>Jul</v>
      </c>
      <c r="H243" t="str">
        <f t="shared" si="9"/>
        <v>2022</v>
      </c>
    </row>
    <row r="244" spans="1:8" hidden="1" x14ac:dyDescent="0.35">
      <c r="A244" t="s">
        <v>63</v>
      </c>
      <c r="B244" s="45">
        <v>3000</v>
      </c>
      <c r="C244" s="45">
        <v>20.408163265306122</v>
      </c>
      <c r="D244" s="1" t="s">
        <v>262</v>
      </c>
      <c r="E244" s="27" t="s">
        <v>271</v>
      </c>
      <c r="F244" s="2">
        <v>44748</v>
      </c>
      <c r="G244" t="str">
        <f t="shared" si="8"/>
        <v>Jul</v>
      </c>
      <c r="H244" t="str">
        <f t="shared" si="9"/>
        <v>2022</v>
      </c>
    </row>
    <row r="245" spans="1:8" hidden="1" x14ac:dyDescent="0.35">
      <c r="A245" t="s">
        <v>53</v>
      </c>
      <c r="B245" s="45">
        <v>2500</v>
      </c>
      <c r="C245" s="45">
        <v>17.006802721088434</v>
      </c>
      <c r="D245" s="1" t="s">
        <v>515</v>
      </c>
      <c r="E245" s="27" t="s">
        <v>204</v>
      </c>
      <c r="F245" s="2">
        <v>44749</v>
      </c>
      <c r="G245" t="str">
        <f t="shared" si="8"/>
        <v>Jul</v>
      </c>
      <c r="H245" t="str">
        <f t="shared" si="9"/>
        <v>2022</v>
      </c>
    </row>
    <row r="246" spans="1:8" hidden="1" x14ac:dyDescent="0.35">
      <c r="A246" t="s">
        <v>53</v>
      </c>
      <c r="B246" s="45">
        <v>1600</v>
      </c>
      <c r="C246" s="45">
        <v>10.884353741496598</v>
      </c>
      <c r="D246" s="1" t="s">
        <v>515</v>
      </c>
      <c r="E246" s="27" t="s">
        <v>204</v>
      </c>
      <c r="F246" s="2">
        <v>44750</v>
      </c>
      <c r="G246" t="str">
        <f t="shared" si="8"/>
        <v>Jul</v>
      </c>
      <c r="H246" t="str">
        <f t="shared" si="9"/>
        <v>2022</v>
      </c>
    </row>
    <row r="247" spans="1:8" hidden="1" x14ac:dyDescent="0.35">
      <c r="A247" t="s">
        <v>202</v>
      </c>
      <c r="B247" s="45">
        <v>2000</v>
      </c>
      <c r="C247" s="45">
        <v>13.605442176870747</v>
      </c>
      <c r="D247" s="1" t="s">
        <v>259</v>
      </c>
      <c r="E247" s="27" t="s">
        <v>265</v>
      </c>
      <c r="F247" s="2">
        <v>44751</v>
      </c>
      <c r="G247" t="str">
        <f t="shared" si="8"/>
        <v>Jul</v>
      </c>
      <c r="H247" t="str">
        <f t="shared" si="9"/>
        <v>2022</v>
      </c>
    </row>
    <row r="248" spans="1:8" hidden="1" x14ac:dyDescent="0.35">
      <c r="A248" t="s">
        <v>114</v>
      </c>
      <c r="B248" s="45">
        <v>1100</v>
      </c>
      <c r="C248" s="45">
        <v>7.4829931972789119</v>
      </c>
      <c r="D248" s="1" t="s">
        <v>259</v>
      </c>
      <c r="E248" s="27" t="s">
        <v>265</v>
      </c>
      <c r="F248" s="2">
        <v>44752</v>
      </c>
      <c r="G248" t="str">
        <f t="shared" si="8"/>
        <v>Jul</v>
      </c>
      <c r="H248" t="str">
        <f t="shared" si="9"/>
        <v>2022</v>
      </c>
    </row>
    <row r="249" spans="1:8" hidden="1" x14ac:dyDescent="0.35">
      <c r="A249" t="s">
        <v>283</v>
      </c>
      <c r="B249" s="45">
        <v>55040</v>
      </c>
      <c r="C249" s="45">
        <v>374.42176870748301</v>
      </c>
      <c r="D249" s="1" t="s">
        <v>15</v>
      </c>
      <c r="E249" s="27" t="s">
        <v>269</v>
      </c>
      <c r="F249" s="2">
        <v>44752</v>
      </c>
      <c r="G249" t="str">
        <f t="shared" si="8"/>
        <v>Jul</v>
      </c>
      <c r="H249" t="str">
        <f t="shared" si="9"/>
        <v>2022</v>
      </c>
    </row>
    <row r="250" spans="1:8" hidden="1" x14ac:dyDescent="0.35">
      <c r="A250" t="s">
        <v>183</v>
      </c>
      <c r="B250" s="45">
        <v>5100</v>
      </c>
      <c r="C250" s="45">
        <v>34.693877551020407</v>
      </c>
      <c r="D250" s="1" t="s">
        <v>259</v>
      </c>
      <c r="E250" s="27" t="s">
        <v>4</v>
      </c>
      <c r="F250" s="2">
        <v>44753</v>
      </c>
      <c r="G250" t="str">
        <f t="shared" si="8"/>
        <v>Jul</v>
      </c>
      <c r="H250" t="str">
        <f t="shared" si="9"/>
        <v>2022</v>
      </c>
    </row>
    <row r="251" spans="1:8" x14ac:dyDescent="0.35">
      <c r="A251" t="s">
        <v>39</v>
      </c>
      <c r="B251" s="45">
        <v>2500</v>
      </c>
      <c r="C251" s="45">
        <v>17.006802721088434</v>
      </c>
      <c r="D251" s="1" t="s">
        <v>689</v>
      </c>
      <c r="E251" s="27" t="s">
        <v>275</v>
      </c>
      <c r="F251" s="2">
        <v>44754</v>
      </c>
      <c r="G251" t="str">
        <f t="shared" si="8"/>
        <v>Jul</v>
      </c>
      <c r="H251" t="str">
        <f t="shared" si="9"/>
        <v>2022</v>
      </c>
    </row>
    <row r="252" spans="1:8" hidden="1" x14ac:dyDescent="0.35">
      <c r="A252" t="s">
        <v>42</v>
      </c>
      <c r="B252" s="45">
        <v>7884</v>
      </c>
      <c r="C252" s="45">
        <v>53.632653061224488</v>
      </c>
      <c r="D252" s="1" t="s">
        <v>42</v>
      </c>
      <c r="E252" s="27" t="s">
        <v>270</v>
      </c>
      <c r="F252" s="2">
        <v>44755</v>
      </c>
      <c r="G252" t="str">
        <f t="shared" si="8"/>
        <v>Jul</v>
      </c>
      <c r="H252" t="str">
        <f t="shared" si="9"/>
        <v>2022</v>
      </c>
    </row>
    <row r="253" spans="1:8" x14ac:dyDescent="0.35">
      <c r="A253" t="s">
        <v>40</v>
      </c>
      <c r="B253" s="45">
        <v>8000</v>
      </c>
      <c r="C253" s="45">
        <v>54.42176870748299</v>
      </c>
      <c r="D253" s="1" t="s">
        <v>689</v>
      </c>
      <c r="E253" s="27" t="s">
        <v>275</v>
      </c>
      <c r="F253" s="2">
        <v>44755</v>
      </c>
      <c r="G253" t="str">
        <f t="shared" si="8"/>
        <v>Jul</v>
      </c>
      <c r="H253" t="str">
        <f t="shared" si="9"/>
        <v>2022</v>
      </c>
    </row>
    <row r="254" spans="1:8" hidden="1" x14ac:dyDescent="0.35">
      <c r="A254" t="s">
        <v>49</v>
      </c>
      <c r="B254" s="45">
        <v>15000</v>
      </c>
      <c r="C254" s="45">
        <v>102.04081632653062</v>
      </c>
      <c r="D254" s="1" t="s">
        <v>263</v>
      </c>
      <c r="E254" s="27" t="s">
        <v>274</v>
      </c>
      <c r="F254" s="2">
        <v>44756</v>
      </c>
      <c r="G254" t="str">
        <f t="shared" si="8"/>
        <v>Jul</v>
      </c>
      <c r="H254" t="str">
        <f t="shared" si="9"/>
        <v>2022</v>
      </c>
    </row>
    <row r="255" spans="1:8" hidden="1" x14ac:dyDescent="0.35">
      <c r="A255" t="s">
        <v>227</v>
      </c>
      <c r="B255" s="45">
        <v>20000</v>
      </c>
      <c r="C255" s="45">
        <v>136.05442176870747</v>
      </c>
      <c r="D255" s="1" t="s">
        <v>259</v>
      </c>
      <c r="E255" s="27" t="s">
        <v>267</v>
      </c>
      <c r="F255" s="2">
        <v>44756</v>
      </c>
      <c r="G255" t="str">
        <f t="shared" si="8"/>
        <v>Jul</v>
      </c>
      <c r="H255" t="str">
        <f t="shared" si="9"/>
        <v>2022</v>
      </c>
    </row>
    <row r="256" spans="1:8" hidden="1" x14ac:dyDescent="0.35">
      <c r="A256" t="s">
        <v>63</v>
      </c>
      <c r="B256" s="45">
        <v>12000</v>
      </c>
      <c r="C256" s="45">
        <f>Balance[[#This Row],[COST]]/147</f>
        <v>81.632653061224488</v>
      </c>
      <c r="D256" s="1" t="s">
        <v>262</v>
      </c>
      <c r="E256" s="27" t="s">
        <v>271</v>
      </c>
      <c r="F256" s="2">
        <v>44774</v>
      </c>
      <c r="G256" t="str">
        <f t="shared" si="8"/>
        <v>Aug</v>
      </c>
      <c r="H256" t="str">
        <f t="shared" si="9"/>
        <v>2022</v>
      </c>
    </row>
    <row r="257" spans="1:8" hidden="1" x14ac:dyDescent="0.35">
      <c r="A257" t="s">
        <v>53</v>
      </c>
      <c r="B257" s="45">
        <v>7000</v>
      </c>
      <c r="C257" s="45">
        <v>47.61904761904762</v>
      </c>
      <c r="D257" s="1" t="s">
        <v>515</v>
      </c>
      <c r="E257" s="27" t="s">
        <v>204</v>
      </c>
      <c r="F257" s="2">
        <v>44781</v>
      </c>
      <c r="G257" t="str">
        <f t="shared" si="8"/>
        <v>Aug</v>
      </c>
      <c r="H257" t="str">
        <f t="shared" si="9"/>
        <v>2022</v>
      </c>
    </row>
    <row r="258" spans="1:8" hidden="1" x14ac:dyDescent="0.35">
      <c r="A258" t="s">
        <v>76</v>
      </c>
      <c r="B258" s="45">
        <v>26000</v>
      </c>
      <c r="C258" s="45">
        <v>176.87074829931973</v>
      </c>
      <c r="D258" s="1" t="s">
        <v>263</v>
      </c>
      <c r="E258" s="27" t="s">
        <v>274</v>
      </c>
      <c r="F258" s="2">
        <v>44782</v>
      </c>
      <c r="G258" t="str">
        <f t="shared" si="8"/>
        <v>Aug</v>
      </c>
      <c r="H258" t="str">
        <f t="shared" si="9"/>
        <v>2022</v>
      </c>
    </row>
    <row r="259" spans="1:8" hidden="1" x14ac:dyDescent="0.35">
      <c r="A259" t="s">
        <v>100</v>
      </c>
      <c r="B259" s="45">
        <v>1500</v>
      </c>
      <c r="C259" s="45">
        <v>10.204081632653061</v>
      </c>
      <c r="D259" s="1" t="s">
        <v>259</v>
      </c>
      <c r="E259" s="27" t="s">
        <v>268</v>
      </c>
      <c r="F259" s="2">
        <v>44782</v>
      </c>
      <c r="G259" t="str">
        <f t="shared" si="8"/>
        <v>Aug</v>
      </c>
      <c r="H259" t="str">
        <f t="shared" si="9"/>
        <v>2022</v>
      </c>
    </row>
    <row r="260" spans="1:8" hidden="1" x14ac:dyDescent="0.35">
      <c r="A260" t="s">
        <v>222</v>
      </c>
      <c r="B260" s="45">
        <v>3200</v>
      </c>
      <c r="C260" s="45">
        <v>21.768707482993197</v>
      </c>
      <c r="D260" s="1" t="s">
        <v>259</v>
      </c>
      <c r="E260" s="27" t="s">
        <v>4</v>
      </c>
      <c r="F260" s="2">
        <v>44783</v>
      </c>
      <c r="G260" t="str">
        <f t="shared" si="8"/>
        <v>Aug</v>
      </c>
      <c r="H260" t="str">
        <f t="shared" si="9"/>
        <v>2022</v>
      </c>
    </row>
    <row r="261" spans="1:8" hidden="1" x14ac:dyDescent="0.35">
      <c r="A261" t="s">
        <v>283</v>
      </c>
      <c r="B261" s="45">
        <v>55040</v>
      </c>
      <c r="C261" s="45">
        <v>374.42176870748301</v>
      </c>
      <c r="D261" s="1" t="s">
        <v>15</v>
      </c>
      <c r="E261" s="27" t="s">
        <v>269</v>
      </c>
      <c r="F261" s="2">
        <v>44783</v>
      </c>
      <c r="G261" t="str">
        <f t="shared" si="8"/>
        <v>Aug</v>
      </c>
      <c r="H261" t="str">
        <f t="shared" si="9"/>
        <v>2022</v>
      </c>
    </row>
    <row r="262" spans="1:8" hidden="1" x14ac:dyDescent="0.35">
      <c r="A262" t="s">
        <v>228</v>
      </c>
      <c r="B262" s="45">
        <f>49*147</f>
        <v>7203</v>
      </c>
      <c r="C262" s="45">
        <v>49</v>
      </c>
      <c r="D262" s="1" t="s">
        <v>260</v>
      </c>
      <c r="E262" s="27" t="s">
        <v>273</v>
      </c>
      <c r="F262" s="2">
        <v>44784</v>
      </c>
      <c r="G262" t="str">
        <f t="shared" si="8"/>
        <v>Aug</v>
      </c>
      <c r="H262" t="str">
        <f t="shared" si="9"/>
        <v>2022</v>
      </c>
    </row>
    <row r="263" spans="1:8" hidden="1" x14ac:dyDescent="0.35">
      <c r="A263" t="s">
        <v>53</v>
      </c>
      <c r="B263" s="45">
        <v>2000</v>
      </c>
      <c r="C263" s="45">
        <v>13.605442176870747</v>
      </c>
      <c r="D263" s="1" t="s">
        <v>515</v>
      </c>
      <c r="E263" s="27" t="s">
        <v>204</v>
      </c>
      <c r="F263" s="2">
        <v>44785</v>
      </c>
      <c r="G263" t="str">
        <f t="shared" si="8"/>
        <v>Aug</v>
      </c>
      <c r="H263" t="str">
        <f t="shared" si="9"/>
        <v>2022</v>
      </c>
    </row>
    <row r="264" spans="1:8" hidden="1" x14ac:dyDescent="0.35">
      <c r="A264" t="s">
        <v>183</v>
      </c>
      <c r="B264" s="45">
        <v>3500</v>
      </c>
      <c r="C264" s="45">
        <v>23.80952380952381</v>
      </c>
      <c r="D264" s="1" t="s">
        <v>259</v>
      </c>
      <c r="E264" s="27" t="s">
        <v>4</v>
      </c>
      <c r="F264" s="2">
        <v>44786</v>
      </c>
      <c r="G264" t="str">
        <f t="shared" si="8"/>
        <v>Aug</v>
      </c>
      <c r="H264" t="str">
        <f t="shared" si="9"/>
        <v>2022</v>
      </c>
    </row>
    <row r="265" spans="1:8" hidden="1" x14ac:dyDescent="0.35">
      <c r="A265" t="s">
        <v>67</v>
      </c>
      <c r="B265" s="45">
        <v>1300</v>
      </c>
      <c r="C265" s="45">
        <v>8.8435374149659864</v>
      </c>
      <c r="D265" s="1" t="s">
        <v>259</v>
      </c>
      <c r="E265" s="27" t="s">
        <v>265</v>
      </c>
      <c r="F265" s="2">
        <v>44787</v>
      </c>
      <c r="G265" t="str">
        <f t="shared" si="8"/>
        <v>Aug</v>
      </c>
      <c r="H265" t="str">
        <f t="shared" si="9"/>
        <v>2022</v>
      </c>
    </row>
    <row r="266" spans="1:8" x14ac:dyDescent="0.35">
      <c r="A266" t="s">
        <v>103</v>
      </c>
      <c r="B266" s="45">
        <v>550</v>
      </c>
      <c r="C266" s="45">
        <v>3.7414965986394559</v>
      </c>
      <c r="D266" s="1" t="s">
        <v>689</v>
      </c>
      <c r="E266" s="27" t="s">
        <v>275</v>
      </c>
      <c r="F266" s="2">
        <v>44788</v>
      </c>
      <c r="G266" t="str">
        <f t="shared" si="8"/>
        <v>Aug</v>
      </c>
      <c r="H266" t="str">
        <f t="shared" si="9"/>
        <v>2022</v>
      </c>
    </row>
    <row r="267" spans="1:8" hidden="1" x14ac:dyDescent="0.35">
      <c r="A267" t="s">
        <v>229</v>
      </c>
      <c r="B267" s="45">
        <f>5.99*147</f>
        <v>880.53000000000009</v>
      </c>
      <c r="C267" s="45">
        <v>5.99</v>
      </c>
      <c r="D267" s="1" t="s">
        <v>259</v>
      </c>
      <c r="E267" s="27" t="s">
        <v>267</v>
      </c>
      <c r="F267" s="2">
        <v>44789</v>
      </c>
      <c r="G267" t="str">
        <f t="shared" si="8"/>
        <v>Aug</v>
      </c>
      <c r="H267" t="str">
        <f t="shared" si="9"/>
        <v>2022</v>
      </c>
    </row>
    <row r="268" spans="1:8" hidden="1" x14ac:dyDescent="0.35">
      <c r="A268" t="s">
        <v>183</v>
      </c>
      <c r="B268" s="45">
        <v>6500</v>
      </c>
      <c r="C268" s="45">
        <v>44.217687074829932</v>
      </c>
      <c r="D268" s="1" t="s">
        <v>259</v>
      </c>
      <c r="E268" s="27" t="s">
        <v>4</v>
      </c>
      <c r="F268" s="2">
        <v>44792</v>
      </c>
      <c r="G268" t="str">
        <f t="shared" si="8"/>
        <v>Aug</v>
      </c>
      <c r="H268" t="str">
        <f t="shared" si="9"/>
        <v>2022</v>
      </c>
    </row>
    <row r="269" spans="1:8" hidden="1" x14ac:dyDescent="0.35">
      <c r="A269" t="s">
        <v>114</v>
      </c>
      <c r="B269" s="45">
        <v>1400</v>
      </c>
      <c r="C269" s="45">
        <v>9.5238095238095237</v>
      </c>
      <c r="D269" s="1" t="s">
        <v>259</v>
      </c>
      <c r="E269" s="27" t="s">
        <v>265</v>
      </c>
      <c r="F269" s="2">
        <v>44792</v>
      </c>
      <c r="G269" t="str">
        <f t="shared" si="8"/>
        <v>Aug</v>
      </c>
      <c r="H269" t="str">
        <f t="shared" si="9"/>
        <v>2022</v>
      </c>
    </row>
    <row r="270" spans="1:8" hidden="1" x14ac:dyDescent="0.35">
      <c r="A270" t="s">
        <v>53</v>
      </c>
      <c r="B270" s="45">
        <v>2200</v>
      </c>
      <c r="C270" s="45">
        <v>14.965986394557824</v>
      </c>
      <c r="D270" s="1" t="s">
        <v>515</v>
      </c>
      <c r="E270" s="27" t="s">
        <v>204</v>
      </c>
      <c r="F270" s="2">
        <v>44796</v>
      </c>
      <c r="G270" t="str">
        <f t="shared" si="8"/>
        <v>Aug</v>
      </c>
      <c r="H270" t="str">
        <f t="shared" si="9"/>
        <v>2022</v>
      </c>
    </row>
    <row r="271" spans="1:8" hidden="1" x14ac:dyDescent="0.35">
      <c r="A271" t="s">
        <v>105</v>
      </c>
      <c r="B271" s="45">
        <v>10000</v>
      </c>
      <c r="C271" s="45">
        <v>68.027210884353735</v>
      </c>
      <c r="D271" s="1" t="s">
        <v>259</v>
      </c>
      <c r="E271" s="27" t="s">
        <v>265</v>
      </c>
      <c r="F271" s="2">
        <v>44797</v>
      </c>
      <c r="G271" t="str">
        <f t="shared" si="8"/>
        <v>Aug</v>
      </c>
      <c r="H271" t="str">
        <f t="shared" si="9"/>
        <v>2022</v>
      </c>
    </row>
    <row r="272" spans="1:8" hidden="1" x14ac:dyDescent="0.35">
      <c r="A272" t="s">
        <v>183</v>
      </c>
      <c r="B272" s="45">
        <v>3000</v>
      </c>
      <c r="C272" s="45">
        <v>20.408163265306122</v>
      </c>
      <c r="D272" s="1" t="s">
        <v>259</v>
      </c>
      <c r="E272" s="27" t="s">
        <v>4</v>
      </c>
      <c r="F272" s="2">
        <v>44798</v>
      </c>
      <c r="G272" t="str">
        <f t="shared" si="8"/>
        <v>Aug</v>
      </c>
      <c r="H272" t="str">
        <f t="shared" si="9"/>
        <v>2022</v>
      </c>
    </row>
    <row r="273" spans="1:8" hidden="1" x14ac:dyDescent="0.35">
      <c r="A273" t="s">
        <v>215</v>
      </c>
      <c r="B273" s="45">
        <v>5678</v>
      </c>
      <c r="C273" s="45">
        <v>38.625850340136054</v>
      </c>
      <c r="D273" s="1" t="s">
        <v>259</v>
      </c>
      <c r="E273" s="27" t="s">
        <v>265</v>
      </c>
      <c r="F273" s="2">
        <v>44798</v>
      </c>
      <c r="G273" t="str">
        <f t="shared" si="8"/>
        <v>Aug</v>
      </c>
      <c r="H273" t="str">
        <f t="shared" si="9"/>
        <v>2022</v>
      </c>
    </row>
    <row r="274" spans="1:8" x14ac:dyDescent="0.35">
      <c r="A274" t="s">
        <v>39</v>
      </c>
      <c r="B274" s="45">
        <v>8500</v>
      </c>
      <c r="C274" s="45">
        <v>57.823129251700678</v>
      </c>
      <c r="D274" s="1" t="s">
        <v>689</v>
      </c>
      <c r="E274" s="27" t="s">
        <v>275</v>
      </c>
      <c r="F274" s="2">
        <v>44799</v>
      </c>
      <c r="G274" t="str">
        <f t="shared" si="8"/>
        <v>Aug</v>
      </c>
      <c r="H274" t="str">
        <f t="shared" si="9"/>
        <v>2022</v>
      </c>
    </row>
    <row r="275" spans="1:8" hidden="1" x14ac:dyDescent="0.35">
      <c r="A275" t="s">
        <v>53</v>
      </c>
      <c r="B275" s="45">
        <v>1755</v>
      </c>
      <c r="C275" s="45">
        <v>11.938775510204081</v>
      </c>
      <c r="D275" s="1" t="s">
        <v>515</v>
      </c>
      <c r="E275" s="27" t="s">
        <v>204</v>
      </c>
      <c r="F275" s="2">
        <v>44800</v>
      </c>
      <c r="G275" t="str">
        <f t="shared" si="8"/>
        <v>Aug</v>
      </c>
      <c r="H275" t="str">
        <f t="shared" si="9"/>
        <v>2022</v>
      </c>
    </row>
    <row r="276" spans="1:8" hidden="1" x14ac:dyDescent="0.35">
      <c r="A276" t="s">
        <v>114</v>
      </c>
      <c r="B276" s="45">
        <v>1400</v>
      </c>
      <c r="C276" s="45">
        <v>9.5238095238095237</v>
      </c>
      <c r="D276" s="1" t="s">
        <v>259</v>
      </c>
      <c r="E276" s="27" t="s">
        <v>265</v>
      </c>
      <c r="F276" s="2">
        <v>44801</v>
      </c>
      <c r="G276" t="str">
        <f t="shared" si="8"/>
        <v>Aug</v>
      </c>
      <c r="H276" t="str">
        <f t="shared" si="9"/>
        <v>2022</v>
      </c>
    </row>
    <row r="277" spans="1:8" hidden="1" x14ac:dyDescent="0.35">
      <c r="A277" t="s">
        <v>232</v>
      </c>
      <c r="B277" s="45">
        <v>2917.55</v>
      </c>
      <c r="C277" s="45">
        <v>19.847278911564626</v>
      </c>
      <c r="D277" s="1" t="s">
        <v>259</v>
      </c>
      <c r="E277" s="27" t="s">
        <v>268</v>
      </c>
      <c r="F277" s="2">
        <v>44802</v>
      </c>
      <c r="G277" t="str">
        <f t="shared" si="8"/>
        <v>Aug</v>
      </c>
      <c r="H277" t="str">
        <f t="shared" si="9"/>
        <v>2022</v>
      </c>
    </row>
    <row r="278" spans="1:8" x14ac:dyDescent="0.35">
      <c r="A278" t="s">
        <v>103</v>
      </c>
      <c r="B278" s="45">
        <v>7970.71</v>
      </c>
      <c r="C278" s="45">
        <v>54.222517006802718</v>
      </c>
      <c r="D278" s="1" t="s">
        <v>689</v>
      </c>
      <c r="E278" s="27" t="s">
        <v>275</v>
      </c>
      <c r="F278" s="2">
        <v>44802</v>
      </c>
      <c r="G278" t="str">
        <f t="shared" si="8"/>
        <v>Aug</v>
      </c>
      <c r="H278" t="str">
        <f t="shared" si="9"/>
        <v>2022</v>
      </c>
    </row>
    <row r="279" spans="1:8" hidden="1" x14ac:dyDescent="0.35">
      <c r="A279" t="s">
        <v>42</v>
      </c>
      <c r="B279" s="45">
        <v>7884</v>
      </c>
      <c r="C279" s="45">
        <v>53.632653061224488</v>
      </c>
      <c r="D279" s="1" t="s">
        <v>42</v>
      </c>
      <c r="E279" s="27" t="s">
        <v>270</v>
      </c>
      <c r="F279" s="2">
        <v>44802</v>
      </c>
      <c r="G279" t="str">
        <f t="shared" si="8"/>
        <v>Aug</v>
      </c>
      <c r="H279" t="str">
        <f t="shared" si="9"/>
        <v>2022</v>
      </c>
    </row>
    <row r="280" spans="1:8" hidden="1" x14ac:dyDescent="0.35">
      <c r="A280" t="s">
        <v>49</v>
      </c>
      <c r="B280" s="45">
        <v>15000</v>
      </c>
      <c r="C280" s="45">
        <v>102.04081632653062</v>
      </c>
      <c r="D280" s="1" t="s">
        <v>263</v>
      </c>
      <c r="E280" s="27" t="s">
        <v>274</v>
      </c>
      <c r="F280" s="2">
        <v>44802</v>
      </c>
      <c r="G280" t="str">
        <f t="shared" si="8"/>
        <v>Aug</v>
      </c>
      <c r="H280" t="str">
        <f t="shared" si="9"/>
        <v>2022</v>
      </c>
    </row>
    <row r="281" spans="1:8" x14ac:dyDescent="0.35">
      <c r="A281" t="s">
        <v>233</v>
      </c>
      <c r="B281" s="45">
        <v>9200</v>
      </c>
      <c r="C281" s="45">
        <v>62.585034013605444</v>
      </c>
      <c r="D281" s="1" t="s">
        <v>689</v>
      </c>
      <c r="E281" s="27" t="s">
        <v>275</v>
      </c>
      <c r="F281" s="2">
        <v>44803</v>
      </c>
      <c r="G281" t="str">
        <f t="shared" si="8"/>
        <v>Aug</v>
      </c>
      <c r="H281" t="str">
        <f t="shared" si="9"/>
        <v>2022</v>
      </c>
    </row>
    <row r="282" spans="1:8" hidden="1" x14ac:dyDescent="0.35">
      <c r="A282" t="s">
        <v>24</v>
      </c>
      <c r="B282" s="45">
        <f>7.56*147</f>
        <v>1111.32</v>
      </c>
      <c r="C282" s="45">
        <v>7.56</v>
      </c>
      <c r="D282" s="1" t="s">
        <v>259</v>
      </c>
      <c r="E282" s="27" t="s">
        <v>265</v>
      </c>
      <c r="F282" s="2">
        <v>44804</v>
      </c>
      <c r="G282" t="str">
        <f t="shared" si="8"/>
        <v>Aug</v>
      </c>
      <c r="H282" t="str">
        <f t="shared" si="9"/>
        <v>2022</v>
      </c>
    </row>
    <row r="283" spans="1:8" hidden="1" x14ac:dyDescent="0.35">
      <c r="A283" t="s">
        <v>183</v>
      </c>
      <c r="B283" s="45">
        <v>7000</v>
      </c>
      <c r="C283" s="45">
        <v>47.61904761904762</v>
      </c>
      <c r="D283" s="1" t="s">
        <v>259</v>
      </c>
      <c r="E283" s="27" t="s">
        <v>4</v>
      </c>
      <c r="F283" s="2">
        <v>44804</v>
      </c>
      <c r="G283" t="str">
        <f t="shared" si="8"/>
        <v>Aug</v>
      </c>
      <c r="H283" t="str">
        <f t="shared" si="9"/>
        <v>2022</v>
      </c>
    </row>
    <row r="284" spans="1:8" x14ac:dyDescent="0.35">
      <c r="A284" t="s">
        <v>234</v>
      </c>
      <c r="B284" s="45">
        <v>1000</v>
      </c>
      <c r="C284" s="45">
        <v>6.8027210884353737</v>
      </c>
      <c r="D284" s="1" t="s">
        <v>689</v>
      </c>
      <c r="E284" s="27" t="s">
        <v>275</v>
      </c>
      <c r="F284" s="2">
        <v>44805</v>
      </c>
      <c r="G284" t="str">
        <f t="shared" si="8"/>
        <v>Sep</v>
      </c>
      <c r="H284" t="str">
        <f t="shared" si="9"/>
        <v>2022</v>
      </c>
    </row>
    <row r="285" spans="1:8" hidden="1" x14ac:dyDescent="0.35">
      <c r="A285" t="s">
        <v>63</v>
      </c>
      <c r="B285" s="45">
        <v>12000</v>
      </c>
      <c r="C285" s="45">
        <f>Balance[[#This Row],[COST]]/147</f>
        <v>81.632653061224488</v>
      </c>
      <c r="D285" s="1" t="s">
        <v>262</v>
      </c>
      <c r="E285" s="27" t="s">
        <v>271</v>
      </c>
      <c r="F285" s="2">
        <v>44805</v>
      </c>
      <c r="G285" t="str">
        <f t="shared" si="8"/>
        <v>Sep</v>
      </c>
      <c r="H285" t="str">
        <f t="shared" si="9"/>
        <v>2022</v>
      </c>
    </row>
    <row r="286" spans="1:8" hidden="1" x14ac:dyDescent="0.35">
      <c r="A286" t="s">
        <v>114</v>
      </c>
      <c r="B286" s="45">
        <v>1000</v>
      </c>
      <c r="C286" s="45">
        <v>6.8027210884353737</v>
      </c>
      <c r="D286" s="1" t="s">
        <v>259</v>
      </c>
      <c r="E286" s="27" t="s">
        <v>265</v>
      </c>
      <c r="F286" s="2">
        <v>44806</v>
      </c>
      <c r="G286" t="str">
        <f t="shared" si="8"/>
        <v>Sep</v>
      </c>
      <c r="H286" t="str">
        <f t="shared" si="9"/>
        <v>2022</v>
      </c>
    </row>
    <row r="287" spans="1:8" hidden="1" x14ac:dyDescent="0.35">
      <c r="A287" t="s">
        <v>235</v>
      </c>
      <c r="B287" s="45">
        <v>1000</v>
      </c>
      <c r="C287" s="45">
        <v>6.8027210884353737</v>
      </c>
      <c r="D287" s="1" t="s">
        <v>259</v>
      </c>
      <c r="E287" s="27" t="s">
        <v>4</v>
      </c>
      <c r="F287" s="2">
        <v>44807</v>
      </c>
      <c r="G287" t="str">
        <f t="shared" ref="G287:G350" si="10">TEXT(F287,"mmm")</f>
        <v>Sep</v>
      </c>
      <c r="H287" t="str">
        <f t="shared" ref="H287:H350" si="11">TEXT(F287,"yyy")</f>
        <v>2022</v>
      </c>
    </row>
    <row r="288" spans="1:8" hidden="1" x14ac:dyDescent="0.35">
      <c r="A288" t="s">
        <v>236</v>
      </c>
      <c r="B288" s="45">
        <v>1500</v>
      </c>
      <c r="C288" s="45">
        <v>10.204081632653061</v>
      </c>
      <c r="D288" s="1" t="s">
        <v>259</v>
      </c>
      <c r="E288" s="27" t="s">
        <v>265</v>
      </c>
      <c r="F288" s="2">
        <v>44808</v>
      </c>
      <c r="G288" t="str">
        <f t="shared" si="10"/>
        <v>Sep</v>
      </c>
      <c r="H288" t="str">
        <f t="shared" si="11"/>
        <v>2022</v>
      </c>
    </row>
    <row r="289" spans="1:10" hidden="1" x14ac:dyDescent="0.35">
      <c r="A289" t="s">
        <v>53</v>
      </c>
      <c r="B289" s="45">
        <v>1000</v>
      </c>
      <c r="C289" s="45">
        <v>6.8027210884353737</v>
      </c>
      <c r="D289" s="1" t="s">
        <v>515</v>
      </c>
      <c r="E289" s="27" t="s">
        <v>204</v>
      </c>
      <c r="F289" s="2">
        <v>44811</v>
      </c>
      <c r="G289" t="str">
        <f t="shared" si="10"/>
        <v>Sep</v>
      </c>
      <c r="H289" t="str">
        <f t="shared" si="11"/>
        <v>2022</v>
      </c>
    </row>
    <row r="290" spans="1:10" hidden="1" x14ac:dyDescent="0.35">
      <c r="A290" t="s">
        <v>53</v>
      </c>
      <c r="B290" s="45">
        <v>2700</v>
      </c>
      <c r="C290" s="45">
        <v>18.367346938775512</v>
      </c>
      <c r="D290" s="1" t="s">
        <v>515</v>
      </c>
      <c r="E290" s="27" t="s">
        <v>204</v>
      </c>
      <c r="F290" s="2">
        <v>44812</v>
      </c>
      <c r="G290" t="str">
        <f t="shared" si="10"/>
        <v>Sep</v>
      </c>
      <c r="H290" t="str">
        <f t="shared" si="11"/>
        <v>2022</v>
      </c>
    </row>
    <row r="291" spans="1:10" hidden="1" x14ac:dyDescent="0.35">
      <c r="A291" t="s">
        <v>215</v>
      </c>
      <c r="B291" s="45">
        <v>2000</v>
      </c>
      <c r="C291" s="45">
        <v>13.605442176870747</v>
      </c>
      <c r="D291" s="1" t="s">
        <v>259</v>
      </c>
      <c r="E291" s="27" t="s">
        <v>265</v>
      </c>
      <c r="F291" s="2">
        <v>44812</v>
      </c>
      <c r="G291" t="str">
        <f t="shared" si="10"/>
        <v>Sep</v>
      </c>
      <c r="H291" t="str">
        <f t="shared" si="11"/>
        <v>2022</v>
      </c>
    </row>
    <row r="292" spans="1:10" hidden="1" x14ac:dyDescent="0.35">
      <c r="A292" t="s">
        <v>283</v>
      </c>
      <c r="B292" s="45">
        <v>55040</v>
      </c>
      <c r="C292" s="45">
        <v>374.42176870748301</v>
      </c>
      <c r="D292" s="1" t="s">
        <v>15</v>
      </c>
      <c r="E292" s="27" t="s">
        <v>269</v>
      </c>
      <c r="F292" s="2">
        <v>44814</v>
      </c>
      <c r="G292" t="str">
        <f t="shared" si="10"/>
        <v>Sep</v>
      </c>
      <c r="H292" t="str">
        <f t="shared" si="11"/>
        <v>2022</v>
      </c>
    </row>
    <row r="293" spans="1:10" hidden="1" x14ac:dyDescent="0.35">
      <c r="A293" t="s">
        <v>53</v>
      </c>
      <c r="B293" s="45">
        <v>800</v>
      </c>
      <c r="C293" s="45">
        <v>5.4421768707482991</v>
      </c>
      <c r="D293" s="1" t="s">
        <v>515</v>
      </c>
      <c r="E293" s="27" t="s">
        <v>204</v>
      </c>
      <c r="F293" s="2">
        <v>44815</v>
      </c>
      <c r="G293" t="str">
        <f t="shared" si="10"/>
        <v>Sep</v>
      </c>
      <c r="H293" t="str">
        <f t="shared" si="11"/>
        <v>2022</v>
      </c>
    </row>
    <row r="294" spans="1:10" hidden="1" x14ac:dyDescent="0.35">
      <c r="A294" t="s">
        <v>237</v>
      </c>
      <c r="B294" s="45">
        <f>60*155</f>
        <v>9300</v>
      </c>
      <c r="C294" s="45">
        <v>63.265306122448976</v>
      </c>
      <c r="D294" s="1" t="s">
        <v>261</v>
      </c>
      <c r="E294" s="27" t="s">
        <v>514</v>
      </c>
      <c r="F294" s="2">
        <v>44815</v>
      </c>
      <c r="G294" t="str">
        <f t="shared" si="10"/>
        <v>Sep</v>
      </c>
      <c r="H294" t="str">
        <f t="shared" si="11"/>
        <v>2022</v>
      </c>
    </row>
    <row r="295" spans="1:10" hidden="1" x14ac:dyDescent="0.35">
      <c r="A295" t="s">
        <v>229</v>
      </c>
      <c r="B295" s="45">
        <f>5.99*147</f>
        <v>880.53000000000009</v>
      </c>
      <c r="C295" s="45">
        <v>5.99</v>
      </c>
      <c r="D295" s="1" t="s">
        <v>259</v>
      </c>
      <c r="E295" s="27" t="s">
        <v>267</v>
      </c>
      <c r="F295" s="2">
        <v>44817</v>
      </c>
      <c r="G295" t="str">
        <f t="shared" si="10"/>
        <v>Sep</v>
      </c>
      <c r="H295" t="str">
        <f t="shared" si="11"/>
        <v>2022</v>
      </c>
    </row>
    <row r="296" spans="1:10" x14ac:dyDescent="0.35">
      <c r="A296" t="s">
        <v>39</v>
      </c>
      <c r="B296" s="45">
        <v>2500</v>
      </c>
      <c r="C296" s="45">
        <v>17.006802721088434</v>
      </c>
      <c r="D296" s="1" t="s">
        <v>689</v>
      </c>
      <c r="E296" s="27" t="s">
        <v>275</v>
      </c>
      <c r="F296" s="2">
        <v>44818</v>
      </c>
      <c r="G296" t="str">
        <f t="shared" si="10"/>
        <v>Sep</v>
      </c>
      <c r="H296" t="str">
        <f t="shared" si="11"/>
        <v>2022</v>
      </c>
    </row>
    <row r="297" spans="1:10" x14ac:dyDescent="0.35">
      <c r="A297" t="s">
        <v>40</v>
      </c>
      <c r="B297" s="45">
        <v>8150</v>
      </c>
      <c r="C297" s="45">
        <v>55.442176870748298</v>
      </c>
      <c r="D297" s="1" t="s">
        <v>689</v>
      </c>
      <c r="E297" s="27" t="s">
        <v>275</v>
      </c>
      <c r="F297" s="2">
        <v>44818</v>
      </c>
      <c r="G297" t="str">
        <f t="shared" si="10"/>
        <v>Sep</v>
      </c>
      <c r="H297" t="str">
        <f t="shared" si="11"/>
        <v>2022</v>
      </c>
      <c r="J297" s="24"/>
    </row>
    <row r="298" spans="1:10" hidden="1" x14ac:dyDescent="0.35">
      <c r="A298" t="s">
        <v>129</v>
      </c>
      <c r="B298" s="45">
        <v>1020</v>
      </c>
      <c r="C298" s="45">
        <v>6.9387755102040813</v>
      </c>
      <c r="D298" s="1" t="s">
        <v>259</v>
      </c>
      <c r="E298" s="27" t="s">
        <v>265</v>
      </c>
      <c r="F298" s="2">
        <v>44819</v>
      </c>
      <c r="G298" t="str">
        <f t="shared" si="10"/>
        <v>Sep</v>
      </c>
      <c r="H298" t="str">
        <f t="shared" si="11"/>
        <v>2022</v>
      </c>
      <c r="J298" s="24"/>
    </row>
    <row r="299" spans="1:10" x14ac:dyDescent="0.35">
      <c r="A299" t="s">
        <v>39</v>
      </c>
      <c r="B299" s="45">
        <v>2500</v>
      </c>
      <c r="C299" s="45">
        <v>17.006802721088434</v>
      </c>
      <c r="D299" s="1" t="s">
        <v>689</v>
      </c>
      <c r="E299" s="27" t="s">
        <v>275</v>
      </c>
      <c r="F299" s="2">
        <v>44820</v>
      </c>
      <c r="G299" t="str">
        <f t="shared" si="10"/>
        <v>Sep</v>
      </c>
      <c r="H299" t="str">
        <f t="shared" si="11"/>
        <v>2022</v>
      </c>
    </row>
    <row r="300" spans="1:10" x14ac:dyDescent="0.35">
      <c r="A300" t="s">
        <v>40</v>
      </c>
      <c r="B300" s="45">
        <v>5300</v>
      </c>
      <c r="C300" s="45">
        <v>36.054421768707485</v>
      </c>
      <c r="D300" s="1" t="s">
        <v>689</v>
      </c>
      <c r="E300" s="27" t="s">
        <v>275</v>
      </c>
      <c r="F300" s="2">
        <v>44820</v>
      </c>
      <c r="G300" t="str">
        <f t="shared" si="10"/>
        <v>Sep</v>
      </c>
      <c r="H300" t="str">
        <f t="shared" si="11"/>
        <v>2022</v>
      </c>
    </row>
    <row r="301" spans="1:10" hidden="1" x14ac:dyDescent="0.35">
      <c r="A301" t="s">
        <v>129</v>
      </c>
      <c r="B301" s="45">
        <v>1020</v>
      </c>
      <c r="C301" s="45">
        <v>6.9387755102040813</v>
      </c>
      <c r="D301" s="1" t="s">
        <v>259</v>
      </c>
      <c r="E301" s="27" t="s">
        <v>265</v>
      </c>
      <c r="F301" s="2">
        <v>44825</v>
      </c>
      <c r="G301" t="str">
        <f t="shared" si="10"/>
        <v>Sep</v>
      </c>
      <c r="H301" t="str">
        <f t="shared" si="11"/>
        <v>2022</v>
      </c>
      <c r="J301" s="24"/>
    </row>
    <row r="302" spans="1:10" hidden="1" x14ac:dyDescent="0.35">
      <c r="A302" t="s">
        <v>183</v>
      </c>
      <c r="B302" s="45">
        <v>4000</v>
      </c>
      <c r="C302" s="45">
        <v>27.210884353741495</v>
      </c>
      <c r="D302" s="1" t="s">
        <v>259</v>
      </c>
      <c r="E302" s="27" t="s">
        <v>4</v>
      </c>
      <c r="F302" s="2">
        <v>44826</v>
      </c>
      <c r="G302" t="str">
        <f t="shared" si="10"/>
        <v>Sep</v>
      </c>
      <c r="H302" t="str">
        <f t="shared" si="11"/>
        <v>2022</v>
      </c>
    </row>
    <row r="303" spans="1:10" hidden="1" x14ac:dyDescent="0.35">
      <c r="A303" t="s">
        <v>215</v>
      </c>
      <c r="B303" s="45">
        <v>6000</v>
      </c>
      <c r="C303" s="45">
        <v>40.816326530612244</v>
      </c>
      <c r="D303" s="1" t="s">
        <v>259</v>
      </c>
      <c r="E303" s="27" t="s">
        <v>265</v>
      </c>
      <c r="F303" s="2">
        <v>44827</v>
      </c>
      <c r="G303" t="str">
        <f t="shared" si="10"/>
        <v>Sep</v>
      </c>
      <c r="H303" t="str">
        <f t="shared" si="11"/>
        <v>2022</v>
      </c>
    </row>
    <row r="304" spans="1:10" hidden="1" x14ac:dyDescent="0.35">
      <c r="A304" t="s">
        <v>215</v>
      </c>
      <c r="B304" s="45">
        <v>2000</v>
      </c>
      <c r="C304" s="45">
        <v>13.605442176870747</v>
      </c>
      <c r="D304" s="1" t="s">
        <v>259</v>
      </c>
      <c r="E304" s="27" t="s">
        <v>265</v>
      </c>
      <c r="F304" s="2">
        <v>44828</v>
      </c>
      <c r="G304" t="str">
        <f t="shared" si="10"/>
        <v>Sep</v>
      </c>
      <c r="H304" t="str">
        <f t="shared" si="11"/>
        <v>2022</v>
      </c>
    </row>
    <row r="305" spans="1:8" hidden="1" x14ac:dyDescent="0.35">
      <c r="A305" t="s">
        <v>42</v>
      </c>
      <c r="B305" s="45">
        <v>7884</v>
      </c>
      <c r="C305" s="45">
        <v>53.632653061224488</v>
      </c>
      <c r="D305" s="1" t="s">
        <v>42</v>
      </c>
      <c r="E305" s="27" t="s">
        <v>270</v>
      </c>
      <c r="F305" s="2">
        <v>44829</v>
      </c>
      <c r="G305" t="str">
        <f t="shared" si="10"/>
        <v>Sep</v>
      </c>
      <c r="H305" t="str">
        <f t="shared" si="11"/>
        <v>2022</v>
      </c>
    </row>
    <row r="306" spans="1:8" hidden="1" x14ac:dyDescent="0.35">
      <c r="A306" t="s">
        <v>49</v>
      </c>
      <c r="B306" s="45">
        <v>15000</v>
      </c>
      <c r="C306" s="45">
        <v>102.04081632653062</v>
      </c>
      <c r="D306" s="1" t="s">
        <v>263</v>
      </c>
      <c r="E306" s="27" t="s">
        <v>274</v>
      </c>
      <c r="F306" s="2">
        <v>44830</v>
      </c>
      <c r="G306" t="str">
        <f t="shared" si="10"/>
        <v>Sep</v>
      </c>
      <c r="H306" t="str">
        <f t="shared" si="11"/>
        <v>2022</v>
      </c>
    </row>
    <row r="307" spans="1:8" hidden="1" x14ac:dyDescent="0.35">
      <c r="A307" t="s">
        <v>105</v>
      </c>
      <c r="B307" s="45">
        <v>10000</v>
      </c>
      <c r="C307" s="45">
        <v>68.027210884353735</v>
      </c>
      <c r="D307" s="1" t="s">
        <v>259</v>
      </c>
      <c r="E307" s="27" t="s">
        <v>265</v>
      </c>
      <c r="F307" s="2">
        <v>44831</v>
      </c>
      <c r="G307" t="str">
        <f t="shared" si="10"/>
        <v>Sep</v>
      </c>
      <c r="H307" t="str">
        <f t="shared" si="11"/>
        <v>2022</v>
      </c>
    </row>
    <row r="308" spans="1:8" hidden="1" x14ac:dyDescent="0.35">
      <c r="A308" t="s">
        <v>240</v>
      </c>
      <c r="B308" s="45">
        <v>5500</v>
      </c>
      <c r="C308" s="45">
        <v>37.414965986394556</v>
      </c>
      <c r="D308" s="1" t="s">
        <v>259</v>
      </c>
      <c r="E308" s="27" t="s">
        <v>268</v>
      </c>
      <c r="F308" s="2">
        <v>44833</v>
      </c>
      <c r="G308" t="str">
        <f t="shared" si="10"/>
        <v>Sep</v>
      </c>
      <c r="H308" t="str">
        <f t="shared" si="11"/>
        <v>2022</v>
      </c>
    </row>
    <row r="309" spans="1:8" hidden="1" x14ac:dyDescent="0.35">
      <c r="A309" t="s">
        <v>24</v>
      </c>
      <c r="B309" s="45">
        <f>8.15*150</f>
        <v>1222.5</v>
      </c>
      <c r="C309" s="45">
        <v>8.316326530612244</v>
      </c>
      <c r="D309" s="1" t="s">
        <v>259</v>
      </c>
      <c r="E309" s="27" t="s">
        <v>267</v>
      </c>
      <c r="F309" s="2">
        <v>44834</v>
      </c>
      <c r="G309" t="str">
        <f t="shared" si="10"/>
        <v>Sep</v>
      </c>
      <c r="H309" t="str">
        <f t="shared" si="11"/>
        <v>2022</v>
      </c>
    </row>
    <row r="310" spans="1:8" hidden="1" x14ac:dyDescent="0.35">
      <c r="A310" t="s">
        <v>67</v>
      </c>
      <c r="B310" s="45">
        <v>500</v>
      </c>
      <c r="C310" s="45">
        <v>3.4013605442176869</v>
      </c>
      <c r="D310" s="1" t="s">
        <v>259</v>
      </c>
      <c r="E310" s="27" t="s">
        <v>265</v>
      </c>
      <c r="F310" s="2">
        <v>44838</v>
      </c>
      <c r="G310" t="str">
        <f t="shared" si="10"/>
        <v>Oct</v>
      </c>
      <c r="H310" t="str">
        <f t="shared" si="11"/>
        <v>2022</v>
      </c>
    </row>
    <row r="311" spans="1:8" hidden="1" x14ac:dyDescent="0.35">
      <c r="A311" t="s">
        <v>183</v>
      </c>
      <c r="B311" s="45">
        <v>4000</v>
      </c>
      <c r="C311" s="45">
        <v>27.210884353741495</v>
      </c>
      <c r="D311" s="1" t="s">
        <v>259</v>
      </c>
      <c r="E311" s="27" t="s">
        <v>4</v>
      </c>
      <c r="F311" s="2">
        <v>44839</v>
      </c>
      <c r="G311" t="str">
        <f t="shared" si="10"/>
        <v>Oct</v>
      </c>
      <c r="H311" t="str">
        <f t="shared" si="11"/>
        <v>2022</v>
      </c>
    </row>
    <row r="312" spans="1:8" hidden="1" x14ac:dyDescent="0.35">
      <c r="A312" t="s">
        <v>240</v>
      </c>
      <c r="B312" s="45">
        <v>7000</v>
      </c>
      <c r="C312" s="45">
        <v>47.61904761904762</v>
      </c>
      <c r="D312" s="1" t="s">
        <v>259</v>
      </c>
      <c r="E312" s="27" t="s">
        <v>268</v>
      </c>
      <c r="F312" s="2">
        <v>44841</v>
      </c>
      <c r="G312" t="str">
        <f t="shared" si="10"/>
        <v>Oct</v>
      </c>
      <c r="H312" t="str">
        <f t="shared" si="11"/>
        <v>2022</v>
      </c>
    </row>
    <row r="313" spans="1:8" hidden="1" x14ac:dyDescent="0.35">
      <c r="A313" t="s">
        <v>183</v>
      </c>
      <c r="B313" s="45">
        <v>4000</v>
      </c>
      <c r="C313" s="45">
        <v>27.210884353741495</v>
      </c>
      <c r="D313" s="1" t="s">
        <v>259</v>
      </c>
      <c r="E313" s="27" t="s">
        <v>4</v>
      </c>
      <c r="F313" s="2">
        <v>44842</v>
      </c>
      <c r="G313" t="str">
        <f t="shared" si="10"/>
        <v>Oct</v>
      </c>
      <c r="H313" t="str">
        <f t="shared" si="11"/>
        <v>2022</v>
      </c>
    </row>
    <row r="314" spans="1:8" hidden="1" x14ac:dyDescent="0.35">
      <c r="A314" t="s">
        <v>283</v>
      </c>
      <c r="B314" s="45">
        <v>55040</v>
      </c>
      <c r="C314" s="45">
        <v>374.42176870748301</v>
      </c>
      <c r="D314" s="1" t="s">
        <v>15</v>
      </c>
      <c r="E314" s="27" t="s">
        <v>269</v>
      </c>
      <c r="F314" s="2">
        <v>44844</v>
      </c>
      <c r="G314" t="str">
        <f t="shared" si="10"/>
        <v>Oct</v>
      </c>
      <c r="H314" t="str">
        <f t="shared" si="11"/>
        <v>2022</v>
      </c>
    </row>
    <row r="315" spans="1:8" hidden="1" x14ac:dyDescent="0.35">
      <c r="A315" t="s">
        <v>115</v>
      </c>
      <c r="B315" s="45">
        <v>550</v>
      </c>
      <c r="C315" s="45">
        <v>3.7414965986394559</v>
      </c>
      <c r="D315" s="1" t="s">
        <v>259</v>
      </c>
      <c r="E315" s="27" t="s">
        <v>265</v>
      </c>
      <c r="F315" s="2">
        <v>44846</v>
      </c>
      <c r="G315" t="str">
        <f t="shared" si="10"/>
        <v>Oct</v>
      </c>
      <c r="H315" t="str">
        <f t="shared" si="11"/>
        <v>2022</v>
      </c>
    </row>
    <row r="316" spans="1:8" hidden="1" x14ac:dyDescent="0.35">
      <c r="A316" t="s">
        <v>229</v>
      </c>
      <c r="B316" s="45">
        <f>5.99*147</f>
        <v>880.53000000000009</v>
      </c>
      <c r="C316" s="45">
        <v>5.99</v>
      </c>
      <c r="D316" s="1" t="s">
        <v>259</v>
      </c>
      <c r="E316" s="27" t="s">
        <v>267</v>
      </c>
      <c r="F316" s="2">
        <v>44847</v>
      </c>
      <c r="G316" t="str">
        <f t="shared" si="10"/>
        <v>Oct</v>
      </c>
      <c r="H316" t="str">
        <f t="shared" si="11"/>
        <v>2022</v>
      </c>
    </row>
    <row r="317" spans="1:8" hidden="1" x14ac:dyDescent="0.35">
      <c r="A317" t="s">
        <v>316</v>
      </c>
      <c r="B317" s="63">
        <v>3000</v>
      </c>
      <c r="C317" s="63">
        <f>Balance[[#This Row],[COST]]/147</f>
        <v>20.408163265306122</v>
      </c>
      <c r="D317" s="1" t="s">
        <v>263</v>
      </c>
      <c r="E317" s="27" t="s">
        <v>274</v>
      </c>
      <c r="F317" s="2">
        <v>44848</v>
      </c>
      <c r="G317" t="str">
        <f t="shared" si="10"/>
        <v>Oct</v>
      </c>
      <c r="H317" t="str">
        <f t="shared" si="11"/>
        <v>2022</v>
      </c>
    </row>
    <row r="318" spans="1:8" hidden="1" x14ac:dyDescent="0.35">
      <c r="A318" t="s">
        <v>53</v>
      </c>
      <c r="B318" s="45">
        <v>6500</v>
      </c>
      <c r="C318" s="45">
        <v>44.217687074829932</v>
      </c>
      <c r="D318" s="1" t="s">
        <v>515</v>
      </c>
      <c r="E318" s="27" t="s">
        <v>204</v>
      </c>
      <c r="F318" s="2">
        <v>44853</v>
      </c>
      <c r="G318" t="str">
        <f t="shared" si="10"/>
        <v>Oct</v>
      </c>
      <c r="H318" t="str">
        <f t="shared" si="11"/>
        <v>2022</v>
      </c>
    </row>
    <row r="319" spans="1:8" hidden="1" x14ac:dyDescent="0.35">
      <c r="A319" t="s">
        <v>183</v>
      </c>
      <c r="B319" s="45">
        <v>3000</v>
      </c>
      <c r="C319" s="45">
        <v>20.408163265306122</v>
      </c>
      <c r="D319" s="1" t="s">
        <v>259</v>
      </c>
      <c r="E319" s="27" t="s">
        <v>4</v>
      </c>
      <c r="F319" s="2">
        <v>44854</v>
      </c>
      <c r="G319" t="str">
        <f t="shared" si="10"/>
        <v>Oct</v>
      </c>
      <c r="H319" t="str">
        <f t="shared" si="11"/>
        <v>2022</v>
      </c>
    </row>
    <row r="320" spans="1:8" x14ac:dyDescent="0.35">
      <c r="A320" t="s">
        <v>241</v>
      </c>
      <c r="B320" s="45">
        <v>31990</v>
      </c>
      <c r="C320" s="45">
        <v>217.61904761904762</v>
      </c>
      <c r="D320" s="1" t="s">
        <v>689</v>
      </c>
      <c r="E320" s="27" t="s">
        <v>275</v>
      </c>
      <c r="F320" s="2">
        <v>44860</v>
      </c>
      <c r="G320" t="str">
        <f t="shared" si="10"/>
        <v>Oct</v>
      </c>
      <c r="H320" t="str">
        <f t="shared" si="11"/>
        <v>2022</v>
      </c>
    </row>
    <row r="321" spans="1:8" hidden="1" x14ac:dyDescent="0.35">
      <c r="A321" t="s">
        <v>242</v>
      </c>
      <c r="B321" s="45">
        <v>800</v>
      </c>
      <c r="C321" s="45">
        <v>5.4421768707482991</v>
      </c>
      <c r="D321" s="1" t="s">
        <v>259</v>
      </c>
      <c r="E321" s="27" t="s">
        <v>265</v>
      </c>
      <c r="F321" s="2">
        <v>44860</v>
      </c>
      <c r="G321" t="str">
        <f t="shared" si="10"/>
        <v>Oct</v>
      </c>
      <c r="H321" t="str">
        <f t="shared" si="11"/>
        <v>2022</v>
      </c>
    </row>
    <row r="322" spans="1:8" hidden="1" x14ac:dyDescent="0.35">
      <c r="A322" t="s">
        <v>53</v>
      </c>
      <c r="B322" s="45">
        <v>1020</v>
      </c>
      <c r="C322" s="45">
        <v>6.9387755102040813</v>
      </c>
      <c r="D322" s="1" t="s">
        <v>515</v>
      </c>
      <c r="E322" s="27" t="s">
        <v>204</v>
      </c>
      <c r="F322" s="2">
        <v>44860</v>
      </c>
      <c r="G322" t="str">
        <f t="shared" si="10"/>
        <v>Oct</v>
      </c>
      <c r="H322" t="str">
        <f t="shared" si="11"/>
        <v>2022</v>
      </c>
    </row>
    <row r="323" spans="1:8" hidden="1" x14ac:dyDescent="0.35">
      <c r="A323" t="s">
        <v>129</v>
      </c>
      <c r="B323" s="45">
        <v>700</v>
      </c>
      <c r="C323" s="45">
        <v>4.7619047619047619</v>
      </c>
      <c r="D323" s="1" t="s">
        <v>259</v>
      </c>
      <c r="E323" s="27" t="s">
        <v>265</v>
      </c>
      <c r="F323" s="2">
        <v>44861</v>
      </c>
      <c r="G323" t="str">
        <f t="shared" si="10"/>
        <v>Oct</v>
      </c>
      <c r="H323" t="str">
        <f t="shared" si="11"/>
        <v>2022</v>
      </c>
    </row>
    <row r="324" spans="1:8" hidden="1" x14ac:dyDescent="0.35">
      <c r="A324" t="s">
        <v>183</v>
      </c>
      <c r="B324" s="45">
        <v>2000</v>
      </c>
      <c r="C324" s="45">
        <v>13.605442176870747</v>
      </c>
      <c r="D324" s="1" t="s">
        <v>259</v>
      </c>
      <c r="E324" s="27" t="s">
        <v>4</v>
      </c>
      <c r="F324" s="2">
        <v>44861</v>
      </c>
      <c r="G324" t="str">
        <f t="shared" si="10"/>
        <v>Oct</v>
      </c>
      <c r="H324" t="str">
        <f t="shared" si="11"/>
        <v>2022</v>
      </c>
    </row>
    <row r="325" spans="1:8" hidden="1" x14ac:dyDescent="0.35">
      <c r="A325" t="s">
        <v>53</v>
      </c>
      <c r="B325" s="45">
        <v>2700</v>
      </c>
      <c r="C325" s="45">
        <v>18.367346938775512</v>
      </c>
      <c r="D325" s="1" t="s">
        <v>515</v>
      </c>
      <c r="E325" s="27" t="s">
        <v>204</v>
      </c>
      <c r="F325" s="2">
        <v>44862</v>
      </c>
      <c r="G325" t="str">
        <f t="shared" si="10"/>
        <v>Oct</v>
      </c>
      <c r="H325" t="str">
        <f t="shared" si="11"/>
        <v>2022</v>
      </c>
    </row>
    <row r="326" spans="1:8" hidden="1" x14ac:dyDescent="0.35">
      <c r="A326" t="s">
        <v>243</v>
      </c>
      <c r="B326" s="45">
        <f>(138.6+139.96)*150</f>
        <v>41784</v>
      </c>
      <c r="C326" s="45">
        <v>284.24489795918367</v>
      </c>
      <c r="D326" s="1" t="s">
        <v>263</v>
      </c>
      <c r="E326" s="27" t="s">
        <v>274</v>
      </c>
      <c r="F326" s="2">
        <v>44863</v>
      </c>
      <c r="G326" t="str">
        <f t="shared" si="10"/>
        <v>Oct</v>
      </c>
      <c r="H326" t="str">
        <f t="shared" si="11"/>
        <v>2022</v>
      </c>
    </row>
    <row r="327" spans="1:8" hidden="1" x14ac:dyDescent="0.35">
      <c r="A327" t="s">
        <v>245</v>
      </c>
      <c r="B327" s="45">
        <f>14.32*150</f>
        <v>2148</v>
      </c>
      <c r="C327" s="45">
        <v>14.612244897959183</v>
      </c>
      <c r="D327" s="1" t="s">
        <v>259</v>
      </c>
      <c r="E327" s="27" t="s">
        <v>267</v>
      </c>
      <c r="F327" s="2">
        <v>44864</v>
      </c>
      <c r="G327" t="str">
        <f t="shared" si="10"/>
        <v>Oct</v>
      </c>
      <c r="H327" t="str">
        <f t="shared" si="11"/>
        <v>2022</v>
      </c>
    </row>
    <row r="328" spans="1:8" x14ac:dyDescent="0.35">
      <c r="A328" t="s">
        <v>244</v>
      </c>
      <c r="B328" s="45">
        <f>21.35*150</f>
        <v>3202.5</v>
      </c>
      <c r="C328" s="45">
        <v>21.785714285714285</v>
      </c>
      <c r="D328" s="1" t="s">
        <v>689</v>
      </c>
      <c r="E328" s="27" t="s">
        <v>275</v>
      </c>
      <c r="F328" s="2">
        <v>44864</v>
      </c>
      <c r="G328" t="str">
        <f t="shared" si="10"/>
        <v>Oct</v>
      </c>
      <c r="H328" t="str">
        <f t="shared" si="11"/>
        <v>2022</v>
      </c>
    </row>
    <row r="329" spans="1:8" hidden="1" x14ac:dyDescent="0.35">
      <c r="A329" t="s">
        <v>42</v>
      </c>
      <c r="B329" s="45">
        <v>7884</v>
      </c>
      <c r="C329" s="45">
        <v>53.632653061224488</v>
      </c>
      <c r="D329" s="1" t="s">
        <v>42</v>
      </c>
      <c r="E329" s="27" t="s">
        <v>270</v>
      </c>
      <c r="F329" s="2">
        <v>44864</v>
      </c>
      <c r="G329" t="str">
        <f t="shared" si="10"/>
        <v>Oct</v>
      </c>
      <c r="H329" t="str">
        <f t="shared" si="11"/>
        <v>2022</v>
      </c>
    </row>
    <row r="330" spans="1:8" hidden="1" x14ac:dyDescent="0.35">
      <c r="A330" t="s">
        <v>49</v>
      </c>
      <c r="B330" s="45">
        <v>15000</v>
      </c>
      <c r="C330" s="45">
        <v>102.04081632653062</v>
      </c>
      <c r="D330" s="1" t="s">
        <v>263</v>
      </c>
      <c r="E330" s="27" t="s">
        <v>274</v>
      </c>
      <c r="F330" s="2">
        <v>44864</v>
      </c>
      <c r="G330" t="str">
        <f t="shared" si="10"/>
        <v>Oct</v>
      </c>
      <c r="H330" t="str">
        <f t="shared" si="11"/>
        <v>2022</v>
      </c>
    </row>
    <row r="331" spans="1:8" hidden="1" x14ac:dyDescent="0.35">
      <c r="A331" t="s">
        <v>105</v>
      </c>
      <c r="B331" s="45">
        <v>10000</v>
      </c>
      <c r="C331" s="45">
        <v>68.027210884353735</v>
      </c>
      <c r="D331" s="1" t="s">
        <v>259</v>
      </c>
      <c r="E331" s="27" t="s">
        <v>265</v>
      </c>
      <c r="F331" s="2">
        <v>44864</v>
      </c>
      <c r="G331" t="str">
        <f t="shared" si="10"/>
        <v>Oct</v>
      </c>
      <c r="H331" t="str">
        <f t="shared" si="11"/>
        <v>2022</v>
      </c>
    </row>
    <row r="332" spans="1:8" hidden="1" x14ac:dyDescent="0.35">
      <c r="A332" t="s">
        <v>24</v>
      </c>
      <c r="B332" s="45">
        <f>8.15*150</f>
        <v>1222.5</v>
      </c>
      <c r="C332" s="45">
        <v>8.316326530612244</v>
      </c>
      <c r="D332" s="1" t="s">
        <v>259</v>
      </c>
      <c r="E332" s="27" t="s">
        <v>267</v>
      </c>
      <c r="F332" s="2">
        <v>44865</v>
      </c>
      <c r="G332" t="str">
        <f t="shared" si="10"/>
        <v>Oct</v>
      </c>
      <c r="H332" t="str">
        <f t="shared" si="11"/>
        <v>2022</v>
      </c>
    </row>
    <row r="333" spans="1:8" hidden="1" x14ac:dyDescent="0.35">
      <c r="A333" t="s">
        <v>251</v>
      </c>
      <c r="B333" s="45">
        <v>75500</v>
      </c>
      <c r="C333" s="45">
        <v>513.60544217687072</v>
      </c>
      <c r="D333" s="1" t="s">
        <v>263</v>
      </c>
      <c r="E333" s="27" t="s">
        <v>274</v>
      </c>
      <c r="F333" s="2">
        <v>44865</v>
      </c>
      <c r="G333" t="str">
        <f t="shared" si="10"/>
        <v>Oct</v>
      </c>
      <c r="H333" t="str">
        <f t="shared" si="11"/>
        <v>2022</v>
      </c>
    </row>
    <row r="334" spans="1:8" hidden="1" x14ac:dyDescent="0.35">
      <c r="A334" t="s">
        <v>53</v>
      </c>
      <c r="B334" s="45">
        <v>1965</v>
      </c>
      <c r="C334" s="45">
        <v>13.36734693877551</v>
      </c>
      <c r="D334" s="1" t="s">
        <v>515</v>
      </c>
      <c r="E334" s="27" t="s">
        <v>204</v>
      </c>
      <c r="F334" s="2">
        <v>44865</v>
      </c>
      <c r="G334" t="str">
        <f t="shared" si="10"/>
        <v>Oct</v>
      </c>
      <c r="H334" t="str">
        <f t="shared" si="11"/>
        <v>2022</v>
      </c>
    </row>
    <row r="335" spans="1:8" hidden="1" x14ac:dyDescent="0.35">
      <c r="A335" t="s">
        <v>242</v>
      </c>
      <c r="B335" s="45">
        <v>640</v>
      </c>
      <c r="C335" s="45">
        <v>4.3537414965986398</v>
      </c>
      <c r="D335" s="1" t="s">
        <v>259</v>
      </c>
      <c r="E335" s="27" t="s">
        <v>265</v>
      </c>
      <c r="F335" s="2">
        <v>44866</v>
      </c>
      <c r="G335" t="str">
        <f t="shared" si="10"/>
        <v>Nov</v>
      </c>
      <c r="H335" t="str">
        <f t="shared" si="11"/>
        <v>2022</v>
      </c>
    </row>
    <row r="336" spans="1:8" hidden="1" x14ac:dyDescent="0.35">
      <c r="A336" t="s">
        <v>129</v>
      </c>
      <c r="B336" s="45">
        <v>1405</v>
      </c>
      <c r="C336" s="45">
        <v>9.5578231292517</v>
      </c>
      <c r="D336" s="1" t="s">
        <v>259</v>
      </c>
      <c r="E336" s="27" t="s">
        <v>265</v>
      </c>
      <c r="F336" s="2">
        <v>44866</v>
      </c>
      <c r="G336" t="str">
        <f t="shared" si="10"/>
        <v>Nov</v>
      </c>
      <c r="H336" t="str">
        <f t="shared" si="11"/>
        <v>2022</v>
      </c>
    </row>
    <row r="337" spans="1:8" hidden="1" x14ac:dyDescent="0.35">
      <c r="A337" t="s">
        <v>202</v>
      </c>
      <c r="B337" s="45">
        <v>500</v>
      </c>
      <c r="C337" s="45">
        <v>3.4013605442176869</v>
      </c>
      <c r="D337" s="1" t="s">
        <v>259</v>
      </c>
      <c r="E337" s="27" t="s">
        <v>265</v>
      </c>
      <c r="F337" s="2">
        <v>44867</v>
      </c>
      <c r="G337" t="str">
        <f t="shared" si="10"/>
        <v>Nov</v>
      </c>
      <c r="H337" t="str">
        <f t="shared" si="11"/>
        <v>2022</v>
      </c>
    </row>
    <row r="338" spans="1:8" hidden="1" x14ac:dyDescent="0.35">
      <c r="A338" t="s">
        <v>215</v>
      </c>
      <c r="B338" s="45">
        <f>1800+3660+5000</f>
        <v>10460</v>
      </c>
      <c r="C338" s="45">
        <v>71.156462585034021</v>
      </c>
      <c r="D338" s="1" t="s">
        <v>259</v>
      </c>
      <c r="E338" s="27" t="s">
        <v>265</v>
      </c>
      <c r="F338" s="2">
        <v>44867</v>
      </c>
      <c r="G338" t="str">
        <f t="shared" si="10"/>
        <v>Nov</v>
      </c>
      <c r="H338" t="str">
        <f t="shared" si="11"/>
        <v>2022</v>
      </c>
    </row>
    <row r="339" spans="1:8" hidden="1" x14ac:dyDescent="0.35">
      <c r="A339" t="s">
        <v>183</v>
      </c>
      <c r="B339" s="45">
        <v>6636</v>
      </c>
      <c r="C339" s="45">
        <v>45.142857142857146</v>
      </c>
      <c r="D339" s="1" t="s">
        <v>259</v>
      </c>
      <c r="E339" s="27" t="s">
        <v>4</v>
      </c>
      <c r="F339" s="2">
        <v>44868</v>
      </c>
      <c r="G339" t="str">
        <f t="shared" si="10"/>
        <v>Nov</v>
      </c>
      <c r="H339" t="str">
        <f t="shared" si="11"/>
        <v>2022</v>
      </c>
    </row>
    <row r="340" spans="1:8" hidden="1" x14ac:dyDescent="0.35">
      <c r="A340" t="s">
        <v>202</v>
      </c>
      <c r="B340" s="45">
        <v>500</v>
      </c>
      <c r="C340" s="45">
        <v>3.4013605442176869</v>
      </c>
      <c r="D340" s="1" t="s">
        <v>259</v>
      </c>
      <c r="E340" s="27" t="s">
        <v>265</v>
      </c>
      <c r="F340" s="2">
        <v>44868</v>
      </c>
      <c r="G340" t="str">
        <f t="shared" si="10"/>
        <v>Nov</v>
      </c>
      <c r="H340" t="str">
        <f t="shared" si="11"/>
        <v>2022</v>
      </c>
    </row>
    <row r="341" spans="1:8" hidden="1" x14ac:dyDescent="0.35">
      <c r="A341" t="s">
        <v>127</v>
      </c>
      <c r="B341" s="45">
        <v>1500</v>
      </c>
      <c r="C341" s="45">
        <v>10.204081632653061</v>
      </c>
      <c r="D341" s="1" t="s">
        <v>259</v>
      </c>
      <c r="E341" s="27" t="s">
        <v>265</v>
      </c>
      <c r="F341" s="2">
        <v>44868</v>
      </c>
      <c r="G341" t="str">
        <f t="shared" si="10"/>
        <v>Nov</v>
      </c>
      <c r="H341" t="str">
        <f t="shared" si="11"/>
        <v>2022</v>
      </c>
    </row>
    <row r="342" spans="1:8" hidden="1" x14ac:dyDescent="0.35">
      <c r="A342" t="s">
        <v>246</v>
      </c>
      <c r="B342" s="45">
        <v>700</v>
      </c>
      <c r="C342" s="45">
        <v>4.7619047619047619</v>
      </c>
      <c r="D342" s="1" t="s">
        <v>259</v>
      </c>
      <c r="E342" s="27" t="s">
        <v>265</v>
      </c>
      <c r="F342" s="2">
        <v>44874</v>
      </c>
      <c r="G342" t="str">
        <f t="shared" si="10"/>
        <v>Nov</v>
      </c>
      <c r="H342" t="str">
        <f t="shared" si="11"/>
        <v>2022</v>
      </c>
    </row>
    <row r="343" spans="1:8" hidden="1" x14ac:dyDescent="0.35">
      <c r="A343" t="s">
        <v>220</v>
      </c>
      <c r="B343" s="45">
        <f>3000+3035+1375</f>
        <v>7410</v>
      </c>
      <c r="C343" s="45">
        <v>50.408163265306122</v>
      </c>
      <c r="D343" s="1" t="s">
        <v>259</v>
      </c>
      <c r="E343" s="27" t="s">
        <v>4</v>
      </c>
      <c r="F343" s="2">
        <v>44875</v>
      </c>
      <c r="G343" t="str">
        <f t="shared" si="10"/>
        <v>Nov</v>
      </c>
      <c r="H343" t="str">
        <f t="shared" si="11"/>
        <v>2022</v>
      </c>
    </row>
    <row r="344" spans="1:8" hidden="1" x14ac:dyDescent="0.35">
      <c r="A344" t="s">
        <v>242</v>
      </c>
      <c r="B344" s="45">
        <f>850+640</f>
        <v>1490</v>
      </c>
      <c r="C344" s="45">
        <v>10.136054421768707</v>
      </c>
      <c r="D344" s="1" t="s">
        <v>259</v>
      </c>
      <c r="E344" s="27" t="s">
        <v>265</v>
      </c>
      <c r="F344" s="2">
        <v>44875</v>
      </c>
      <c r="G344" t="str">
        <f t="shared" si="10"/>
        <v>Nov</v>
      </c>
      <c r="H344" t="str">
        <f t="shared" si="11"/>
        <v>2022</v>
      </c>
    </row>
    <row r="345" spans="1:8" hidden="1" x14ac:dyDescent="0.35">
      <c r="A345" t="s">
        <v>7</v>
      </c>
      <c r="B345" s="45">
        <v>10000</v>
      </c>
      <c r="C345" s="45">
        <v>68.027210884353735</v>
      </c>
      <c r="D345" s="1" t="s">
        <v>259</v>
      </c>
      <c r="E345" s="27" t="s">
        <v>265</v>
      </c>
      <c r="F345" s="2">
        <v>44875</v>
      </c>
      <c r="G345" t="str">
        <f t="shared" si="10"/>
        <v>Nov</v>
      </c>
      <c r="H345" t="str">
        <f t="shared" si="11"/>
        <v>2022</v>
      </c>
    </row>
    <row r="346" spans="1:8" hidden="1" x14ac:dyDescent="0.35">
      <c r="A346" t="s">
        <v>283</v>
      </c>
      <c r="B346" s="45">
        <v>55040</v>
      </c>
      <c r="C346" s="45">
        <v>374.42176870748301</v>
      </c>
      <c r="D346" s="1" t="s">
        <v>15</v>
      </c>
      <c r="E346" s="27" t="s">
        <v>269</v>
      </c>
      <c r="F346" s="2">
        <v>44875</v>
      </c>
      <c r="G346" t="str">
        <f t="shared" si="10"/>
        <v>Nov</v>
      </c>
      <c r="H346" t="str">
        <f t="shared" si="11"/>
        <v>2022</v>
      </c>
    </row>
    <row r="347" spans="1:8" hidden="1" x14ac:dyDescent="0.35">
      <c r="A347" t="s">
        <v>183</v>
      </c>
      <c r="B347" s="45">
        <v>5500</v>
      </c>
      <c r="C347" s="45">
        <v>37.414965986394556</v>
      </c>
      <c r="D347" s="1" t="s">
        <v>259</v>
      </c>
      <c r="E347" s="27" t="s">
        <v>4</v>
      </c>
      <c r="F347" s="2">
        <v>44877</v>
      </c>
      <c r="G347" t="str">
        <f t="shared" si="10"/>
        <v>Nov</v>
      </c>
      <c r="H347" t="str">
        <f t="shared" si="11"/>
        <v>2022</v>
      </c>
    </row>
    <row r="348" spans="1:8" hidden="1" x14ac:dyDescent="0.35">
      <c r="A348" t="s">
        <v>53</v>
      </c>
      <c r="B348" s="45">
        <f>15000-B347</f>
        <v>9500</v>
      </c>
      <c r="C348" s="45">
        <v>64.625850340136054</v>
      </c>
      <c r="D348" s="1" t="s">
        <v>515</v>
      </c>
      <c r="E348" s="27" t="s">
        <v>204</v>
      </c>
      <c r="F348" s="2">
        <v>44877</v>
      </c>
      <c r="G348" t="str">
        <f t="shared" si="10"/>
        <v>Nov</v>
      </c>
      <c r="H348" t="str">
        <f t="shared" si="11"/>
        <v>2022</v>
      </c>
    </row>
    <row r="349" spans="1:8" hidden="1" x14ac:dyDescent="0.35">
      <c r="A349" t="s">
        <v>202</v>
      </c>
      <c r="B349" s="45">
        <v>520</v>
      </c>
      <c r="C349" s="45">
        <v>3.5374149659863945</v>
      </c>
      <c r="D349" s="1" t="s">
        <v>259</v>
      </c>
      <c r="E349" s="27" t="s">
        <v>265</v>
      </c>
      <c r="F349" s="2">
        <v>44878</v>
      </c>
      <c r="G349" t="str">
        <f t="shared" si="10"/>
        <v>Nov</v>
      </c>
      <c r="H349" t="str">
        <f t="shared" si="11"/>
        <v>2022</v>
      </c>
    </row>
    <row r="350" spans="1:8" hidden="1" x14ac:dyDescent="0.35">
      <c r="A350" t="s">
        <v>229</v>
      </c>
      <c r="B350" s="45">
        <f>5.99*147</f>
        <v>880.53000000000009</v>
      </c>
      <c r="C350" s="45">
        <v>5.99</v>
      </c>
      <c r="D350" s="1" t="s">
        <v>259</v>
      </c>
      <c r="E350" s="27" t="s">
        <v>267</v>
      </c>
      <c r="F350" s="2">
        <v>44879</v>
      </c>
      <c r="G350" t="str">
        <f t="shared" si="10"/>
        <v>Nov</v>
      </c>
      <c r="H350" t="str">
        <f t="shared" si="11"/>
        <v>2022</v>
      </c>
    </row>
    <row r="351" spans="1:8" hidden="1" x14ac:dyDescent="0.35">
      <c r="A351" t="s">
        <v>53</v>
      </c>
      <c r="B351" s="45">
        <v>2000</v>
      </c>
      <c r="C351" s="45">
        <v>13.605442176870747</v>
      </c>
      <c r="D351" s="1" t="s">
        <v>515</v>
      </c>
      <c r="E351" s="27" t="s">
        <v>204</v>
      </c>
      <c r="F351" s="2">
        <v>44883</v>
      </c>
      <c r="G351" t="str">
        <f t="shared" ref="G351:G414" si="12">TEXT(F351,"mmm")</f>
        <v>Nov</v>
      </c>
      <c r="H351" t="str">
        <f t="shared" ref="H351:H414" si="13">TEXT(F351,"yyy")</f>
        <v>2022</v>
      </c>
    </row>
    <row r="352" spans="1:8" hidden="1" x14ac:dyDescent="0.35">
      <c r="A352" t="s">
        <v>183</v>
      </c>
      <c r="B352" s="45">
        <v>1000</v>
      </c>
      <c r="C352" s="45">
        <v>6.8027210884353737</v>
      </c>
      <c r="D352" s="1" t="s">
        <v>259</v>
      </c>
      <c r="E352" s="27" t="s">
        <v>4</v>
      </c>
      <c r="F352" s="2">
        <v>44884</v>
      </c>
      <c r="G352" t="str">
        <f t="shared" si="12"/>
        <v>Nov</v>
      </c>
      <c r="H352" t="str">
        <f t="shared" si="13"/>
        <v>2022</v>
      </c>
    </row>
    <row r="353" spans="1:10" x14ac:dyDescent="0.35">
      <c r="A353" t="s">
        <v>40</v>
      </c>
      <c r="B353" s="45">
        <v>3200</v>
      </c>
      <c r="C353" s="45">
        <v>21.768707482993197</v>
      </c>
      <c r="D353" s="1" t="s">
        <v>689</v>
      </c>
      <c r="E353" s="27" t="s">
        <v>275</v>
      </c>
      <c r="F353" s="2">
        <v>44885</v>
      </c>
      <c r="G353" t="str">
        <f t="shared" si="12"/>
        <v>Nov</v>
      </c>
      <c r="H353" t="str">
        <f t="shared" si="13"/>
        <v>2022</v>
      </c>
    </row>
    <row r="354" spans="1:10" hidden="1" x14ac:dyDescent="0.35">
      <c r="A354" t="s">
        <v>202</v>
      </c>
      <c r="B354" s="45">
        <v>540</v>
      </c>
      <c r="C354" s="45">
        <v>3.6734693877551021</v>
      </c>
      <c r="D354" s="1" t="s">
        <v>259</v>
      </c>
      <c r="E354" s="27" t="s">
        <v>265</v>
      </c>
      <c r="F354" s="2">
        <v>44886</v>
      </c>
      <c r="G354" t="str">
        <f t="shared" si="12"/>
        <v>Nov</v>
      </c>
      <c r="H354" t="str">
        <f t="shared" si="13"/>
        <v>2022</v>
      </c>
    </row>
    <row r="355" spans="1:10" hidden="1" x14ac:dyDescent="0.35">
      <c r="A355" t="s">
        <v>247</v>
      </c>
      <c r="B355" s="45">
        <v>1287</v>
      </c>
      <c r="C355" s="45">
        <v>8.7551020408163271</v>
      </c>
      <c r="D355" s="1" t="s">
        <v>259</v>
      </c>
      <c r="E355" s="27" t="s">
        <v>268</v>
      </c>
      <c r="F355" s="2">
        <v>44887</v>
      </c>
      <c r="G355" t="str">
        <f t="shared" si="12"/>
        <v>Nov</v>
      </c>
      <c r="H355" t="str">
        <f t="shared" si="13"/>
        <v>2022</v>
      </c>
    </row>
    <row r="356" spans="1:10" hidden="1" x14ac:dyDescent="0.35">
      <c r="A356" t="s">
        <v>185</v>
      </c>
      <c r="B356" s="45">
        <v>250</v>
      </c>
      <c r="C356" s="45">
        <v>1.7006802721088434</v>
      </c>
      <c r="D356" s="1" t="s">
        <v>259</v>
      </c>
      <c r="E356" s="27" t="s">
        <v>267</v>
      </c>
      <c r="F356" s="2">
        <v>44888</v>
      </c>
      <c r="G356" t="str">
        <f t="shared" si="12"/>
        <v>Nov</v>
      </c>
      <c r="H356" t="str">
        <f t="shared" si="13"/>
        <v>2022</v>
      </c>
    </row>
    <row r="357" spans="1:10" hidden="1" x14ac:dyDescent="0.35">
      <c r="A357" t="s">
        <v>248</v>
      </c>
      <c r="B357" s="45">
        <f>60*147</f>
        <v>8820</v>
      </c>
      <c r="C357" s="45">
        <v>60</v>
      </c>
      <c r="D357" s="1" t="s">
        <v>261</v>
      </c>
      <c r="E357" s="27" t="s">
        <v>514</v>
      </c>
      <c r="F357" s="2">
        <v>44889</v>
      </c>
      <c r="G357" t="str">
        <f t="shared" si="12"/>
        <v>Nov</v>
      </c>
      <c r="H357" t="str">
        <f t="shared" si="13"/>
        <v>2022</v>
      </c>
    </row>
    <row r="358" spans="1:10" hidden="1" x14ac:dyDescent="0.35">
      <c r="A358" t="s">
        <v>249</v>
      </c>
      <c r="B358" s="45">
        <f>27*147</f>
        <v>3969</v>
      </c>
      <c r="C358" s="45">
        <v>27</v>
      </c>
      <c r="D358" s="1" t="s">
        <v>261</v>
      </c>
      <c r="E358" s="27" t="s">
        <v>514</v>
      </c>
      <c r="F358" s="2">
        <v>44889</v>
      </c>
      <c r="G358" t="str">
        <f t="shared" si="12"/>
        <v>Nov</v>
      </c>
      <c r="H358" t="str">
        <f t="shared" si="13"/>
        <v>2022</v>
      </c>
    </row>
    <row r="359" spans="1:10" hidden="1" x14ac:dyDescent="0.35">
      <c r="A359" t="s">
        <v>196</v>
      </c>
      <c r="B359" s="45">
        <v>1000</v>
      </c>
      <c r="C359" s="45">
        <v>6.8027210884353737</v>
      </c>
      <c r="D359" s="1" t="s">
        <v>259</v>
      </c>
      <c r="E359" s="27" t="s">
        <v>268</v>
      </c>
      <c r="F359" s="2">
        <v>44889</v>
      </c>
      <c r="G359" t="str">
        <f t="shared" si="12"/>
        <v>Nov</v>
      </c>
      <c r="H359" t="str">
        <f t="shared" si="13"/>
        <v>2022</v>
      </c>
    </row>
    <row r="360" spans="1:10" hidden="1" x14ac:dyDescent="0.35">
      <c r="A360" t="s">
        <v>215</v>
      </c>
      <c r="B360" s="45">
        <v>800</v>
      </c>
      <c r="C360" s="45">
        <v>5.4421768707482991</v>
      </c>
      <c r="D360" s="1" t="s">
        <v>259</v>
      </c>
      <c r="E360" s="27" t="s">
        <v>265</v>
      </c>
      <c r="F360" s="2">
        <v>44890</v>
      </c>
      <c r="G360" t="str">
        <f t="shared" si="12"/>
        <v>Nov</v>
      </c>
      <c r="H360" t="str">
        <f t="shared" si="13"/>
        <v>2022</v>
      </c>
    </row>
    <row r="361" spans="1:10" hidden="1" x14ac:dyDescent="0.35">
      <c r="A361" t="s">
        <v>183</v>
      </c>
      <c r="B361" s="45">
        <v>6000</v>
      </c>
      <c r="C361" s="45">
        <v>40.816326530612244</v>
      </c>
      <c r="D361" s="1" t="s">
        <v>259</v>
      </c>
      <c r="E361" s="27" t="s">
        <v>4</v>
      </c>
      <c r="F361" s="2">
        <v>44890</v>
      </c>
      <c r="G361" t="str">
        <f t="shared" si="12"/>
        <v>Nov</v>
      </c>
      <c r="H361" t="str">
        <f t="shared" si="13"/>
        <v>2022</v>
      </c>
    </row>
    <row r="362" spans="1:10" hidden="1" x14ac:dyDescent="0.35">
      <c r="A362" t="s">
        <v>251</v>
      </c>
      <c r="B362" s="45">
        <v>162000</v>
      </c>
      <c r="C362" s="45">
        <v>1102.0408163265306</v>
      </c>
      <c r="D362" s="1" t="s">
        <v>263</v>
      </c>
      <c r="E362" s="27" t="s">
        <v>274</v>
      </c>
      <c r="F362" s="2">
        <v>44893</v>
      </c>
      <c r="G362" t="str">
        <f t="shared" si="12"/>
        <v>Nov</v>
      </c>
      <c r="H362" t="str">
        <f t="shared" si="13"/>
        <v>2022</v>
      </c>
    </row>
    <row r="363" spans="1:10" hidden="1" x14ac:dyDescent="0.35">
      <c r="A363" t="s">
        <v>252</v>
      </c>
      <c r="B363" s="45">
        <v>5400</v>
      </c>
      <c r="C363" s="45">
        <v>36.734693877551024</v>
      </c>
      <c r="D363" s="1" t="s">
        <v>259</v>
      </c>
      <c r="E363" s="27" t="s">
        <v>265</v>
      </c>
      <c r="F363" s="2">
        <v>44893</v>
      </c>
      <c r="G363" t="str">
        <f t="shared" si="12"/>
        <v>Nov</v>
      </c>
      <c r="H363" t="str">
        <f t="shared" si="13"/>
        <v>2022</v>
      </c>
    </row>
    <row r="364" spans="1:10" hidden="1" x14ac:dyDescent="0.35">
      <c r="A364" t="s">
        <v>253</v>
      </c>
      <c r="B364" s="45">
        <v>2650</v>
      </c>
      <c r="C364" s="45">
        <v>18.027210884353742</v>
      </c>
      <c r="D364" s="1" t="s">
        <v>259</v>
      </c>
      <c r="E364" s="27" t="s">
        <v>268</v>
      </c>
      <c r="F364" s="2">
        <v>44893</v>
      </c>
      <c r="G364" t="str">
        <f t="shared" si="12"/>
        <v>Nov</v>
      </c>
      <c r="H364" t="str">
        <f t="shared" si="13"/>
        <v>2022</v>
      </c>
    </row>
    <row r="365" spans="1:10" hidden="1" x14ac:dyDescent="0.35">
      <c r="A365" t="s">
        <v>105</v>
      </c>
      <c r="B365" s="45">
        <v>10000</v>
      </c>
      <c r="C365" s="45">
        <v>68.027210884353735</v>
      </c>
      <c r="D365" s="1" t="s">
        <v>259</v>
      </c>
      <c r="E365" s="27" t="s">
        <v>265</v>
      </c>
      <c r="F365" s="2">
        <v>44893</v>
      </c>
      <c r="G365" t="str">
        <f t="shared" si="12"/>
        <v>Nov</v>
      </c>
      <c r="H365" t="str">
        <f t="shared" si="13"/>
        <v>2022</v>
      </c>
    </row>
    <row r="366" spans="1:10" hidden="1" x14ac:dyDescent="0.35">
      <c r="A366" t="s">
        <v>49</v>
      </c>
      <c r="B366" s="45">
        <v>15000</v>
      </c>
      <c r="C366" s="45">
        <v>102.04081632653062</v>
      </c>
      <c r="D366" s="1" t="s">
        <v>263</v>
      </c>
      <c r="E366" s="27" t="s">
        <v>274</v>
      </c>
      <c r="F366" s="2">
        <v>44893</v>
      </c>
      <c r="G366" t="str">
        <f t="shared" si="12"/>
        <v>Nov</v>
      </c>
      <c r="H366" t="str">
        <f t="shared" si="13"/>
        <v>2022</v>
      </c>
    </row>
    <row r="367" spans="1:10" hidden="1" x14ac:dyDescent="0.35">
      <c r="A367" t="s">
        <v>202</v>
      </c>
      <c r="B367" s="45">
        <v>600</v>
      </c>
      <c r="C367" s="45">
        <v>4.0816326530612246</v>
      </c>
      <c r="D367" s="1" t="s">
        <v>259</v>
      </c>
      <c r="E367" s="27" t="s">
        <v>265</v>
      </c>
      <c r="F367" s="2">
        <v>44893</v>
      </c>
      <c r="G367" t="str">
        <f t="shared" si="12"/>
        <v>Nov</v>
      </c>
      <c r="H367" t="str">
        <f t="shared" si="13"/>
        <v>2022</v>
      </c>
      <c r="J367" s="24"/>
    </row>
    <row r="368" spans="1:10" hidden="1" x14ac:dyDescent="0.35">
      <c r="A368" t="s">
        <v>215</v>
      </c>
      <c r="B368" s="45">
        <v>7000</v>
      </c>
      <c r="C368" s="45">
        <v>47.61904761904762</v>
      </c>
      <c r="D368" s="1" t="s">
        <v>259</v>
      </c>
      <c r="E368" s="27" t="s">
        <v>265</v>
      </c>
      <c r="F368" s="2">
        <v>44893</v>
      </c>
      <c r="G368" t="str">
        <f t="shared" si="12"/>
        <v>Nov</v>
      </c>
      <c r="H368" t="str">
        <f t="shared" si="13"/>
        <v>2022</v>
      </c>
      <c r="J368" s="24"/>
    </row>
    <row r="369" spans="1:10" hidden="1" x14ac:dyDescent="0.35">
      <c r="A369" t="s">
        <v>215</v>
      </c>
      <c r="B369" s="45">
        <v>3000</v>
      </c>
      <c r="C369" s="45">
        <v>20.408163265306122</v>
      </c>
      <c r="D369" s="1" t="s">
        <v>259</v>
      </c>
      <c r="E369" s="27" t="s">
        <v>265</v>
      </c>
      <c r="F369" s="2">
        <v>44893</v>
      </c>
      <c r="G369" t="str">
        <f t="shared" si="12"/>
        <v>Nov</v>
      </c>
      <c r="H369" t="str">
        <f t="shared" si="13"/>
        <v>2022</v>
      </c>
      <c r="J369" s="24"/>
    </row>
    <row r="370" spans="1:10" hidden="1" x14ac:dyDescent="0.35">
      <c r="A370" t="s">
        <v>256</v>
      </c>
      <c r="B370" s="45">
        <v>15000</v>
      </c>
      <c r="C370" s="45">
        <v>102.04081632653062</v>
      </c>
      <c r="D370" s="1" t="s">
        <v>263</v>
      </c>
      <c r="E370" s="27" t="s">
        <v>274</v>
      </c>
      <c r="F370" s="2">
        <v>44893</v>
      </c>
      <c r="G370" t="str">
        <f t="shared" si="12"/>
        <v>Nov</v>
      </c>
      <c r="H370" t="str">
        <f t="shared" si="13"/>
        <v>2022</v>
      </c>
      <c r="J370" s="24"/>
    </row>
    <row r="371" spans="1:10" x14ac:dyDescent="0.35">
      <c r="A371" t="s">
        <v>255</v>
      </c>
      <c r="B371" s="45">
        <v>3000</v>
      </c>
      <c r="C371" s="45">
        <v>20.408163265306122</v>
      </c>
      <c r="D371" s="1" t="s">
        <v>689</v>
      </c>
      <c r="E371" s="27" t="s">
        <v>275</v>
      </c>
      <c r="F371" s="2">
        <v>44895</v>
      </c>
      <c r="G371" t="str">
        <f t="shared" si="12"/>
        <v>Nov</v>
      </c>
      <c r="H371" t="str">
        <f t="shared" si="13"/>
        <v>2022</v>
      </c>
      <c r="J371" s="24"/>
    </row>
    <row r="372" spans="1:10" hidden="1" x14ac:dyDescent="0.35">
      <c r="A372" t="s">
        <v>254</v>
      </c>
      <c r="B372" s="45">
        <f>147*198</f>
        <v>29106</v>
      </c>
      <c r="C372" s="45">
        <v>198</v>
      </c>
      <c r="D372" s="1" t="s">
        <v>263</v>
      </c>
      <c r="E372" s="27" t="s">
        <v>274</v>
      </c>
      <c r="F372" s="2">
        <v>44895</v>
      </c>
      <c r="G372" t="str">
        <f t="shared" si="12"/>
        <v>Nov</v>
      </c>
      <c r="H372" t="str">
        <f t="shared" si="13"/>
        <v>2022</v>
      </c>
      <c r="J372" s="24"/>
    </row>
    <row r="373" spans="1:10" hidden="1" x14ac:dyDescent="0.35">
      <c r="A373" t="s">
        <v>242</v>
      </c>
      <c r="B373" s="45">
        <v>640</v>
      </c>
      <c r="C373" s="45">
        <v>4.3537414965986398</v>
      </c>
      <c r="D373" s="1" t="s">
        <v>259</v>
      </c>
      <c r="E373" s="27" t="s">
        <v>265</v>
      </c>
      <c r="F373" s="2">
        <v>44896</v>
      </c>
      <c r="G373" t="str">
        <f t="shared" si="12"/>
        <v>Dec</v>
      </c>
      <c r="H373" t="str">
        <f t="shared" si="13"/>
        <v>2022</v>
      </c>
      <c r="J373" s="24"/>
    </row>
    <row r="374" spans="1:10" hidden="1" x14ac:dyDescent="0.35">
      <c r="A374" t="s">
        <v>183</v>
      </c>
      <c r="B374" s="45">
        <v>6000</v>
      </c>
      <c r="C374" s="45">
        <v>40.816326530612244</v>
      </c>
      <c r="D374" s="1" t="s">
        <v>259</v>
      </c>
      <c r="E374" s="27" t="s">
        <v>4</v>
      </c>
      <c r="F374" s="2">
        <v>44897</v>
      </c>
      <c r="G374" t="str">
        <f t="shared" si="12"/>
        <v>Dec</v>
      </c>
      <c r="H374" t="str">
        <f t="shared" si="13"/>
        <v>2022</v>
      </c>
    </row>
    <row r="375" spans="1:10" hidden="1" x14ac:dyDescent="0.35">
      <c r="A375" t="s">
        <v>114</v>
      </c>
      <c r="B375" s="45">
        <v>1840</v>
      </c>
      <c r="C375" s="45">
        <v>12.517006802721088</v>
      </c>
      <c r="D375" s="1" t="s">
        <v>259</v>
      </c>
      <c r="E375" s="27" t="s">
        <v>265</v>
      </c>
      <c r="F375" s="2">
        <v>44900</v>
      </c>
      <c r="G375" t="str">
        <f t="shared" si="12"/>
        <v>Dec</v>
      </c>
      <c r="H375" t="str">
        <f t="shared" si="13"/>
        <v>2022</v>
      </c>
    </row>
    <row r="376" spans="1:10" hidden="1" x14ac:dyDescent="0.35">
      <c r="A376" t="s">
        <v>185</v>
      </c>
      <c r="B376" s="45">
        <v>1000</v>
      </c>
      <c r="C376" s="45">
        <v>6.8027210884353737</v>
      </c>
      <c r="D376" s="1" t="s">
        <v>259</v>
      </c>
      <c r="E376" s="27" t="s">
        <v>267</v>
      </c>
      <c r="F376" s="2">
        <v>44904</v>
      </c>
      <c r="G376" t="str">
        <f t="shared" si="12"/>
        <v>Dec</v>
      </c>
      <c r="H376" t="str">
        <f t="shared" si="13"/>
        <v>2022</v>
      </c>
    </row>
    <row r="377" spans="1:10" hidden="1" x14ac:dyDescent="0.35">
      <c r="A377" t="s">
        <v>195</v>
      </c>
      <c r="B377" s="45">
        <v>1500</v>
      </c>
      <c r="C377" s="45">
        <v>10.204081632653061</v>
      </c>
      <c r="D377" s="1" t="s">
        <v>259</v>
      </c>
      <c r="E377" s="27" t="s">
        <v>265</v>
      </c>
      <c r="F377" s="2">
        <v>44905</v>
      </c>
      <c r="G377" t="str">
        <f t="shared" si="12"/>
        <v>Dec</v>
      </c>
      <c r="H377" t="str">
        <f t="shared" si="13"/>
        <v>2022</v>
      </c>
    </row>
    <row r="378" spans="1:10" hidden="1" x14ac:dyDescent="0.35">
      <c r="A378" t="s">
        <v>283</v>
      </c>
      <c r="B378" s="45">
        <v>55040</v>
      </c>
      <c r="C378" s="45">
        <v>374.42176870748301</v>
      </c>
      <c r="D378" s="1" t="s">
        <v>15</v>
      </c>
      <c r="E378" s="27" t="s">
        <v>269</v>
      </c>
      <c r="F378" s="2">
        <v>44905</v>
      </c>
      <c r="G378" t="str">
        <f t="shared" si="12"/>
        <v>Dec</v>
      </c>
      <c r="H378" t="str">
        <f t="shared" si="13"/>
        <v>2022</v>
      </c>
    </row>
    <row r="379" spans="1:10" hidden="1" x14ac:dyDescent="0.35">
      <c r="A379" t="s">
        <v>215</v>
      </c>
      <c r="B379" s="45">
        <v>2300</v>
      </c>
      <c r="C379" s="45">
        <v>15.646258503401361</v>
      </c>
      <c r="D379" s="1" t="s">
        <v>259</v>
      </c>
      <c r="E379" s="27" t="s">
        <v>265</v>
      </c>
      <c r="F379" s="2">
        <v>44908</v>
      </c>
      <c r="G379" t="str">
        <f t="shared" si="12"/>
        <v>Dec</v>
      </c>
      <c r="H379" t="str">
        <f t="shared" si="13"/>
        <v>2022</v>
      </c>
    </row>
    <row r="380" spans="1:10" hidden="1" x14ac:dyDescent="0.35">
      <c r="A380" t="s">
        <v>53</v>
      </c>
      <c r="B380" s="45">
        <v>7800</v>
      </c>
      <c r="C380" s="45">
        <v>53.061224489795919</v>
      </c>
      <c r="D380" s="1" t="s">
        <v>515</v>
      </c>
      <c r="E380" s="27" t="s">
        <v>204</v>
      </c>
      <c r="F380" s="2">
        <v>44909</v>
      </c>
      <c r="G380" t="str">
        <f t="shared" si="12"/>
        <v>Dec</v>
      </c>
      <c r="H380" t="str">
        <f t="shared" si="13"/>
        <v>2022</v>
      </c>
    </row>
    <row r="381" spans="1:10" hidden="1" x14ac:dyDescent="0.35">
      <c r="A381" t="s">
        <v>229</v>
      </c>
      <c r="B381" s="45">
        <f>5.99*147</f>
        <v>880.53000000000009</v>
      </c>
      <c r="C381" s="45">
        <v>5.99</v>
      </c>
      <c r="D381" s="1" t="s">
        <v>259</v>
      </c>
      <c r="E381" s="27" t="s">
        <v>267</v>
      </c>
      <c r="F381" s="2">
        <v>44909</v>
      </c>
      <c r="G381" t="str">
        <f t="shared" si="12"/>
        <v>Dec</v>
      </c>
      <c r="H381" t="str">
        <f t="shared" si="13"/>
        <v>2022</v>
      </c>
    </row>
    <row r="382" spans="1:10" hidden="1" x14ac:dyDescent="0.35">
      <c r="A382" t="s">
        <v>277</v>
      </c>
      <c r="B382" s="45">
        <v>10000</v>
      </c>
      <c r="C382" s="45">
        <v>68.027210884353735</v>
      </c>
      <c r="D382" s="1" t="s">
        <v>259</v>
      </c>
      <c r="E382" s="27" t="s">
        <v>268</v>
      </c>
      <c r="F382" s="2">
        <v>44910</v>
      </c>
      <c r="G382" t="str">
        <f t="shared" si="12"/>
        <v>Dec</v>
      </c>
      <c r="H382" t="str">
        <f t="shared" si="13"/>
        <v>2022</v>
      </c>
    </row>
    <row r="383" spans="1:10" hidden="1" x14ac:dyDescent="0.35">
      <c r="A383" t="s">
        <v>278</v>
      </c>
      <c r="B383" s="45">
        <v>5500</v>
      </c>
      <c r="C383" s="45">
        <v>37.414965986394556</v>
      </c>
      <c r="D383" s="1" t="s">
        <v>259</v>
      </c>
      <c r="E383" s="27" t="s">
        <v>268</v>
      </c>
      <c r="F383" s="2">
        <v>44911</v>
      </c>
      <c r="G383" t="str">
        <f t="shared" si="12"/>
        <v>Dec</v>
      </c>
      <c r="H383" t="str">
        <f t="shared" si="13"/>
        <v>2022</v>
      </c>
    </row>
    <row r="384" spans="1:10" hidden="1" x14ac:dyDescent="0.35">
      <c r="A384" t="s">
        <v>282</v>
      </c>
      <c r="B384" s="45">
        <v>8340.15</v>
      </c>
      <c r="C384" s="45">
        <v>56.73571428571428</v>
      </c>
      <c r="D384" s="1" t="s">
        <v>259</v>
      </c>
      <c r="E384" s="27" t="s">
        <v>268</v>
      </c>
      <c r="F384" s="2">
        <v>44912</v>
      </c>
      <c r="G384" t="str">
        <f t="shared" si="12"/>
        <v>Dec</v>
      </c>
      <c r="H384" t="str">
        <f t="shared" si="13"/>
        <v>2022</v>
      </c>
    </row>
    <row r="385" spans="1:8" hidden="1" x14ac:dyDescent="0.35">
      <c r="A385" t="s">
        <v>242</v>
      </c>
      <c r="B385" s="45">
        <v>1235</v>
      </c>
      <c r="C385" s="45">
        <v>8.4013605442176864</v>
      </c>
      <c r="D385" s="1" t="s">
        <v>259</v>
      </c>
      <c r="E385" s="27" t="s">
        <v>265</v>
      </c>
      <c r="F385" s="2">
        <v>44913</v>
      </c>
      <c r="G385" t="str">
        <f t="shared" si="12"/>
        <v>Dec</v>
      </c>
      <c r="H385" t="str">
        <f t="shared" si="13"/>
        <v>2022</v>
      </c>
    </row>
    <row r="386" spans="1:8" hidden="1" x14ac:dyDescent="0.35">
      <c r="A386" t="s">
        <v>129</v>
      </c>
      <c r="B386" s="45">
        <v>850</v>
      </c>
      <c r="C386" s="45">
        <v>5.7823129251700678</v>
      </c>
      <c r="D386" s="1" t="s">
        <v>259</v>
      </c>
      <c r="E386" s="27" t="s">
        <v>265</v>
      </c>
      <c r="F386" s="2">
        <v>44914</v>
      </c>
      <c r="G386" t="str">
        <f t="shared" si="12"/>
        <v>Dec</v>
      </c>
      <c r="H386" t="str">
        <f t="shared" si="13"/>
        <v>2022</v>
      </c>
    </row>
    <row r="387" spans="1:8" hidden="1" x14ac:dyDescent="0.35">
      <c r="A387" t="s">
        <v>115</v>
      </c>
      <c r="B387" s="45">
        <v>880</v>
      </c>
      <c r="C387" s="45">
        <v>5.9863945578231297</v>
      </c>
      <c r="D387" s="1" t="s">
        <v>259</v>
      </c>
      <c r="E387" s="27" t="s">
        <v>265</v>
      </c>
      <c r="F387" s="2">
        <v>44915</v>
      </c>
      <c r="G387" t="str">
        <f t="shared" si="12"/>
        <v>Dec</v>
      </c>
      <c r="H387" t="str">
        <f t="shared" si="13"/>
        <v>2022</v>
      </c>
    </row>
    <row r="388" spans="1:8" hidden="1" x14ac:dyDescent="0.35">
      <c r="A388" t="s">
        <v>183</v>
      </c>
      <c r="B388" s="45">
        <v>4000</v>
      </c>
      <c r="C388" s="45">
        <f>Balance[[#This Row],[COST]]/147</f>
        <v>27.210884353741495</v>
      </c>
      <c r="D388" s="1" t="s">
        <v>259</v>
      </c>
      <c r="E388" s="27" t="s">
        <v>4</v>
      </c>
      <c r="F388" s="2">
        <v>44915</v>
      </c>
      <c r="G388" t="str">
        <f t="shared" si="12"/>
        <v>Dec</v>
      </c>
      <c r="H388" t="str">
        <f t="shared" si="13"/>
        <v>2022</v>
      </c>
    </row>
    <row r="389" spans="1:8" hidden="1" x14ac:dyDescent="0.35">
      <c r="A389" t="s">
        <v>284</v>
      </c>
      <c r="B389" s="45">
        <v>1400</v>
      </c>
      <c r="C389" s="45">
        <f>Balance[[#This Row],[COST]]/147</f>
        <v>9.5238095238095237</v>
      </c>
      <c r="D389" s="1" t="s">
        <v>259</v>
      </c>
      <c r="E389" s="27" t="s">
        <v>265</v>
      </c>
      <c r="F389" s="2">
        <v>44916</v>
      </c>
      <c r="G389" t="str">
        <f t="shared" si="12"/>
        <v>Dec</v>
      </c>
      <c r="H389" t="str">
        <f t="shared" si="13"/>
        <v>2022</v>
      </c>
    </row>
    <row r="390" spans="1:8" hidden="1" x14ac:dyDescent="0.35">
      <c r="A390" t="s">
        <v>285</v>
      </c>
      <c r="B390" s="45">
        <v>2000</v>
      </c>
      <c r="C390" s="45">
        <f>Balance[[#This Row],[COST]]/147</f>
        <v>13.605442176870747</v>
      </c>
      <c r="D390" s="1" t="s">
        <v>259</v>
      </c>
      <c r="E390" s="27" t="s">
        <v>265</v>
      </c>
      <c r="F390" s="2">
        <v>44917</v>
      </c>
      <c r="G390" t="str">
        <f t="shared" si="12"/>
        <v>Dec</v>
      </c>
      <c r="H390" t="str">
        <f t="shared" si="13"/>
        <v>2022</v>
      </c>
    </row>
    <row r="391" spans="1:8" hidden="1" x14ac:dyDescent="0.35">
      <c r="A391" t="s">
        <v>286</v>
      </c>
      <c r="B391" s="45">
        <v>1000</v>
      </c>
      <c r="C391" s="45">
        <f>Balance[[#This Row],[COST]]/147</f>
        <v>6.8027210884353737</v>
      </c>
      <c r="D391" s="1" t="s">
        <v>259</v>
      </c>
      <c r="E391" s="27" t="s">
        <v>265</v>
      </c>
      <c r="F391" s="2">
        <v>44918</v>
      </c>
      <c r="G391" t="str">
        <f t="shared" si="12"/>
        <v>Dec</v>
      </c>
      <c r="H391" t="str">
        <f t="shared" si="13"/>
        <v>2022</v>
      </c>
    </row>
    <row r="392" spans="1:8" hidden="1" x14ac:dyDescent="0.35">
      <c r="A392" t="s">
        <v>287</v>
      </c>
      <c r="B392" s="45">
        <v>3000</v>
      </c>
      <c r="C392" s="45">
        <f>Balance[[#This Row],[COST]]/147</f>
        <v>20.408163265306122</v>
      </c>
      <c r="D392" s="1" t="s">
        <v>259</v>
      </c>
      <c r="E392" s="27" t="s">
        <v>265</v>
      </c>
      <c r="F392" s="2">
        <v>44919</v>
      </c>
      <c r="G392" t="str">
        <f t="shared" si="12"/>
        <v>Dec</v>
      </c>
      <c r="H392" t="str">
        <f t="shared" si="13"/>
        <v>2022</v>
      </c>
    </row>
    <row r="393" spans="1:8" hidden="1" x14ac:dyDescent="0.35">
      <c r="A393" t="s">
        <v>65</v>
      </c>
      <c r="B393" s="45">
        <v>1000</v>
      </c>
      <c r="C393" s="45">
        <f>Balance[[#This Row],[COST]]/147</f>
        <v>6.8027210884353737</v>
      </c>
      <c r="D393" s="1" t="s">
        <v>259</v>
      </c>
      <c r="E393" s="27" t="s">
        <v>4</v>
      </c>
      <c r="F393" s="2">
        <v>44920</v>
      </c>
      <c r="G393" t="str">
        <f t="shared" si="12"/>
        <v>Dec</v>
      </c>
      <c r="H393" t="str">
        <f t="shared" si="13"/>
        <v>2022</v>
      </c>
    </row>
    <row r="394" spans="1:8" hidden="1" x14ac:dyDescent="0.35">
      <c r="A394" t="s">
        <v>49</v>
      </c>
      <c r="B394" s="62">
        <v>15000</v>
      </c>
      <c r="C394" s="45">
        <f>Balance[[#This Row],[COST]]/147</f>
        <v>102.04081632653062</v>
      </c>
      <c r="D394" s="1" t="s">
        <v>263</v>
      </c>
      <c r="E394" s="27" t="s">
        <v>274</v>
      </c>
      <c r="F394" s="2">
        <v>44921</v>
      </c>
      <c r="G394" t="str">
        <f t="shared" si="12"/>
        <v>Dec</v>
      </c>
      <c r="H394" t="str">
        <f t="shared" si="13"/>
        <v>2022</v>
      </c>
    </row>
    <row r="395" spans="1:8" hidden="1" x14ac:dyDescent="0.35">
      <c r="A395" t="s">
        <v>105</v>
      </c>
      <c r="B395" s="62">
        <v>10000</v>
      </c>
      <c r="C395" s="45">
        <f>Balance[[#This Row],[COST]]/147</f>
        <v>68.027210884353735</v>
      </c>
      <c r="D395" s="1" t="s">
        <v>259</v>
      </c>
      <c r="E395" s="27" t="s">
        <v>265</v>
      </c>
      <c r="F395" s="2">
        <v>44922</v>
      </c>
      <c r="G395" t="str">
        <f t="shared" si="12"/>
        <v>Dec</v>
      </c>
      <c r="H395" t="str">
        <f t="shared" si="13"/>
        <v>2022</v>
      </c>
    </row>
    <row r="396" spans="1:8" hidden="1" x14ac:dyDescent="0.35">
      <c r="A396" t="s">
        <v>42</v>
      </c>
      <c r="B396" s="62">
        <v>7884</v>
      </c>
      <c r="C396" s="45">
        <f>Balance[[#This Row],[COST]]/147</f>
        <v>53.632653061224488</v>
      </c>
      <c r="D396" s="1" t="s">
        <v>42</v>
      </c>
      <c r="E396" s="27" t="s">
        <v>270</v>
      </c>
      <c r="F396" s="2">
        <v>44923</v>
      </c>
      <c r="G396" t="str">
        <f t="shared" si="12"/>
        <v>Dec</v>
      </c>
      <c r="H396" t="str">
        <f t="shared" si="13"/>
        <v>2022</v>
      </c>
    </row>
    <row r="397" spans="1:8" hidden="1" x14ac:dyDescent="0.35">
      <c r="A397" t="s">
        <v>215</v>
      </c>
      <c r="B397" s="45">
        <v>4300</v>
      </c>
      <c r="C397" s="45">
        <f>Balance[[#This Row],[COST]]/147</f>
        <v>29.251700680272108</v>
      </c>
      <c r="D397" s="1" t="s">
        <v>259</v>
      </c>
      <c r="E397" s="27" t="s">
        <v>265</v>
      </c>
      <c r="F397" s="2">
        <v>44924</v>
      </c>
      <c r="G397" t="str">
        <f t="shared" si="12"/>
        <v>Dec</v>
      </c>
      <c r="H397" t="str">
        <f t="shared" si="13"/>
        <v>2022</v>
      </c>
    </row>
    <row r="398" spans="1:8" hidden="1" x14ac:dyDescent="0.35">
      <c r="A398" t="s">
        <v>114</v>
      </c>
      <c r="B398" s="45">
        <v>1200</v>
      </c>
      <c r="C398" s="45">
        <f>Balance[[#This Row],[COST]]/147</f>
        <v>8.1632653061224492</v>
      </c>
      <c r="D398" s="1" t="s">
        <v>259</v>
      </c>
      <c r="E398" s="27" t="s">
        <v>265</v>
      </c>
      <c r="F398" s="2">
        <v>44924</v>
      </c>
      <c r="G398" t="str">
        <f t="shared" si="12"/>
        <v>Dec</v>
      </c>
      <c r="H398" t="str">
        <f t="shared" si="13"/>
        <v>2022</v>
      </c>
    </row>
    <row r="399" spans="1:8" hidden="1" x14ac:dyDescent="0.35">
      <c r="A399" t="s">
        <v>288</v>
      </c>
      <c r="B399" s="45">
        <v>300</v>
      </c>
      <c r="C399" s="45">
        <f>Balance[[#This Row],[COST]]/147</f>
        <v>2.0408163265306123</v>
      </c>
      <c r="D399" s="1" t="s">
        <v>259</v>
      </c>
      <c r="E399" s="27" t="s">
        <v>265</v>
      </c>
      <c r="F399" s="2">
        <v>44924</v>
      </c>
      <c r="G399" t="str">
        <f t="shared" si="12"/>
        <v>Dec</v>
      </c>
      <c r="H399" t="str">
        <f t="shared" si="13"/>
        <v>2022</v>
      </c>
    </row>
    <row r="400" spans="1:8" hidden="1" x14ac:dyDescent="0.35">
      <c r="A400" t="s">
        <v>61</v>
      </c>
      <c r="B400" s="45">
        <v>4400</v>
      </c>
      <c r="C400" s="45">
        <f>Balance[[#This Row],[COST]]/147</f>
        <v>29.931972789115648</v>
      </c>
      <c r="D400" s="1" t="s">
        <v>259</v>
      </c>
      <c r="E400" s="27" t="s">
        <v>267</v>
      </c>
      <c r="F400" s="2">
        <v>44925</v>
      </c>
      <c r="G400" t="str">
        <f t="shared" si="12"/>
        <v>Dec</v>
      </c>
      <c r="H400" t="str">
        <f t="shared" si="13"/>
        <v>2022</v>
      </c>
    </row>
    <row r="401" spans="1:8" hidden="1" x14ac:dyDescent="0.35">
      <c r="A401" t="s">
        <v>289</v>
      </c>
      <c r="B401" s="45">
        <v>5600</v>
      </c>
      <c r="C401" s="45">
        <f>Balance[[#This Row],[COST]]/147</f>
        <v>38.095238095238095</v>
      </c>
      <c r="D401" s="1" t="s">
        <v>259</v>
      </c>
      <c r="E401" s="27" t="s">
        <v>267</v>
      </c>
      <c r="F401" s="2">
        <v>44925</v>
      </c>
      <c r="G401" t="str">
        <f t="shared" si="12"/>
        <v>Dec</v>
      </c>
      <c r="H401" t="str">
        <f t="shared" si="13"/>
        <v>2022</v>
      </c>
    </row>
    <row r="402" spans="1:8" hidden="1" x14ac:dyDescent="0.35">
      <c r="A402" t="s">
        <v>183</v>
      </c>
      <c r="B402" s="45">
        <v>5473</v>
      </c>
      <c r="C402" s="45">
        <f>Balance[[#This Row],[COST]]/147</f>
        <v>37.2312925170068</v>
      </c>
      <c r="D402" s="1" t="s">
        <v>259</v>
      </c>
      <c r="E402" s="27" t="s">
        <v>4</v>
      </c>
      <c r="F402" s="2">
        <v>44928</v>
      </c>
      <c r="G402" t="str">
        <f t="shared" si="12"/>
        <v>Jan</v>
      </c>
      <c r="H402" t="str">
        <f t="shared" si="13"/>
        <v>2023</v>
      </c>
    </row>
    <row r="403" spans="1:8" hidden="1" x14ac:dyDescent="0.35">
      <c r="A403" t="s">
        <v>53</v>
      </c>
      <c r="B403" s="45">
        <v>3000</v>
      </c>
      <c r="C403" s="45">
        <f>Balance[[#This Row],[COST]]/147</f>
        <v>20.408163265306122</v>
      </c>
      <c r="D403" s="1" t="s">
        <v>515</v>
      </c>
      <c r="E403" s="27" t="s">
        <v>204</v>
      </c>
      <c r="F403" s="2">
        <v>44928</v>
      </c>
      <c r="G403" t="str">
        <f t="shared" si="12"/>
        <v>Jan</v>
      </c>
      <c r="H403" t="str">
        <f t="shared" si="13"/>
        <v>2023</v>
      </c>
    </row>
    <row r="404" spans="1:8" hidden="1" x14ac:dyDescent="0.35">
      <c r="A404" t="s">
        <v>114</v>
      </c>
      <c r="B404" s="45">
        <v>1380</v>
      </c>
      <c r="C404" s="45">
        <f>Balance[[#This Row],[COST]]/147</f>
        <v>9.387755102040817</v>
      </c>
      <c r="D404" s="1" t="s">
        <v>259</v>
      </c>
      <c r="E404" s="27" t="s">
        <v>265</v>
      </c>
      <c r="F404" s="2">
        <v>44928</v>
      </c>
      <c r="G404" t="str">
        <f t="shared" si="12"/>
        <v>Jan</v>
      </c>
      <c r="H404" t="str">
        <f t="shared" si="13"/>
        <v>2023</v>
      </c>
    </row>
    <row r="405" spans="1:8" hidden="1" x14ac:dyDescent="0.35">
      <c r="A405" t="s">
        <v>290</v>
      </c>
      <c r="B405" s="45">
        <v>6000</v>
      </c>
      <c r="C405" s="45">
        <f>Balance[[#This Row],[COST]]/147</f>
        <v>40.816326530612244</v>
      </c>
      <c r="D405" s="1" t="s">
        <v>259</v>
      </c>
      <c r="E405" s="27" t="s">
        <v>267</v>
      </c>
      <c r="F405" s="2">
        <v>44928</v>
      </c>
      <c r="G405" t="str">
        <f t="shared" si="12"/>
        <v>Jan</v>
      </c>
      <c r="H405" t="str">
        <f t="shared" si="13"/>
        <v>2023</v>
      </c>
    </row>
    <row r="406" spans="1:8" hidden="1" x14ac:dyDescent="0.35">
      <c r="A406" t="s">
        <v>291</v>
      </c>
      <c r="B406" s="45">
        <v>16200</v>
      </c>
      <c r="C406" s="45">
        <f>Balance[[#This Row],[COST]]/147</f>
        <v>110.20408163265306</v>
      </c>
      <c r="D406" s="1" t="s">
        <v>259</v>
      </c>
      <c r="E406" t="s">
        <v>554</v>
      </c>
      <c r="F406" s="2">
        <v>44930</v>
      </c>
      <c r="G406" t="str">
        <f t="shared" si="12"/>
        <v>Jan</v>
      </c>
      <c r="H406" t="str">
        <f t="shared" si="13"/>
        <v>2023</v>
      </c>
    </row>
    <row r="407" spans="1:8" hidden="1" x14ac:dyDescent="0.35">
      <c r="A407" t="s">
        <v>292</v>
      </c>
      <c r="B407" s="45">
        <v>2400</v>
      </c>
      <c r="C407" s="45">
        <f>Balance[[#This Row],[COST]]/147</f>
        <v>16.326530612244898</v>
      </c>
      <c r="D407" s="1" t="s">
        <v>259</v>
      </c>
      <c r="E407" s="27" t="s">
        <v>265</v>
      </c>
      <c r="F407" s="2">
        <v>44930</v>
      </c>
      <c r="G407" t="str">
        <f t="shared" si="12"/>
        <v>Jan</v>
      </c>
      <c r="H407" t="str">
        <f t="shared" si="13"/>
        <v>2023</v>
      </c>
    </row>
    <row r="408" spans="1:8" hidden="1" x14ac:dyDescent="0.35">
      <c r="A408" t="s">
        <v>293</v>
      </c>
      <c r="B408" s="45">
        <v>150</v>
      </c>
      <c r="C408" s="45">
        <f>Balance[[#This Row],[COST]]/147</f>
        <v>1.0204081632653061</v>
      </c>
      <c r="D408" s="1" t="s">
        <v>259</v>
      </c>
      <c r="E408" s="27" t="s">
        <v>265</v>
      </c>
      <c r="F408" s="2">
        <v>44930</v>
      </c>
      <c r="G408" t="str">
        <f t="shared" si="12"/>
        <v>Jan</v>
      </c>
      <c r="H408" t="str">
        <f t="shared" si="13"/>
        <v>2023</v>
      </c>
    </row>
    <row r="409" spans="1:8" hidden="1" x14ac:dyDescent="0.35">
      <c r="A409" t="s">
        <v>8</v>
      </c>
      <c r="B409" s="1">
        <v>1000</v>
      </c>
      <c r="C409" s="45">
        <f>Balance[[#This Row],[COST]]/147</f>
        <v>6.8027210884353737</v>
      </c>
      <c r="D409" s="1" t="s">
        <v>259</v>
      </c>
      <c r="E409" s="27" t="s">
        <v>268</v>
      </c>
      <c r="F409" s="2">
        <v>44932</v>
      </c>
      <c r="G409" t="str">
        <f t="shared" si="12"/>
        <v>Jan</v>
      </c>
      <c r="H409" t="str">
        <f t="shared" si="13"/>
        <v>2023</v>
      </c>
    </row>
    <row r="410" spans="1:8" hidden="1" x14ac:dyDescent="0.35">
      <c r="A410" t="s">
        <v>54</v>
      </c>
      <c r="B410" s="1">
        <v>1000</v>
      </c>
      <c r="C410" s="45">
        <f>Balance[[#This Row],[COST]]/147</f>
        <v>6.8027210884353737</v>
      </c>
      <c r="D410" s="1" t="s">
        <v>259</v>
      </c>
      <c r="E410" s="27" t="s">
        <v>268</v>
      </c>
      <c r="F410" s="2">
        <v>44932</v>
      </c>
      <c r="G410" t="str">
        <f t="shared" si="12"/>
        <v>Jan</v>
      </c>
      <c r="H410" t="str">
        <f t="shared" si="13"/>
        <v>2023</v>
      </c>
    </row>
    <row r="411" spans="1:8" hidden="1" x14ac:dyDescent="0.35">
      <c r="A411" t="s">
        <v>53</v>
      </c>
      <c r="B411" s="63">
        <v>2300</v>
      </c>
      <c r="C411" s="45">
        <f>Balance[[#This Row],[COST]]/147</f>
        <v>15.646258503401361</v>
      </c>
      <c r="D411" s="1" t="s">
        <v>515</v>
      </c>
      <c r="E411" s="27" t="s">
        <v>204</v>
      </c>
      <c r="F411" s="2">
        <v>44933</v>
      </c>
      <c r="G411" t="str">
        <f t="shared" si="12"/>
        <v>Jan</v>
      </c>
      <c r="H411" t="str">
        <f t="shared" si="13"/>
        <v>2023</v>
      </c>
    </row>
    <row r="412" spans="1:8" hidden="1" x14ac:dyDescent="0.35">
      <c r="A412" t="s">
        <v>215</v>
      </c>
      <c r="B412" s="63">
        <v>12000</v>
      </c>
      <c r="C412" s="45">
        <f>Balance[[#This Row],[COST]]/147</f>
        <v>81.632653061224488</v>
      </c>
      <c r="D412" s="1" t="s">
        <v>259</v>
      </c>
      <c r="E412" s="27" t="s">
        <v>265</v>
      </c>
      <c r="F412" s="2">
        <v>44933</v>
      </c>
      <c r="G412" t="str">
        <f t="shared" si="12"/>
        <v>Jan</v>
      </c>
      <c r="H412" t="str">
        <f t="shared" si="13"/>
        <v>2023</v>
      </c>
    </row>
    <row r="413" spans="1:8" hidden="1" x14ac:dyDescent="0.35">
      <c r="A413" t="s">
        <v>215</v>
      </c>
      <c r="B413" s="63">
        <v>3000</v>
      </c>
      <c r="C413" s="45">
        <f>Balance[[#This Row],[COST]]/147</f>
        <v>20.408163265306122</v>
      </c>
      <c r="D413" s="1" t="s">
        <v>259</v>
      </c>
      <c r="E413" s="27" t="s">
        <v>265</v>
      </c>
      <c r="F413" s="2">
        <v>44936</v>
      </c>
      <c r="G413" t="str">
        <f t="shared" si="12"/>
        <v>Jan</v>
      </c>
      <c r="H413" t="str">
        <f t="shared" si="13"/>
        <v>2023</v>
      </c>
    </row>
    <row r="414" spans="1:8" hidden="1" x14ac:dyDescent="0.35">
      <c r="A414" t="s">
        <v>115</v>
      </c>
      <c r="B414" s="63">
        <v>520</v>
      </c>
      <c r="C414" s="45">
        <f>Balance[[#This Row],[COST]]/147</f>
        <v>3.5374149659863945</v>
      </c>
      <c r="D414" s="1" t="s">
        <v>259</v>
      </c>
      <c r="E414" s="27" t="s">
        <v>265</v>
      </c>
      <c r="F414" s="2">
        <v>44937</v>
      </c>
      <c r="G414" t="str">
        <f t="shared" si="12"/>
        <v>Jan</v>
      </c>
      <c r="H414" t="str">
        <f t="shared" si="13"/>
        <v>2023</v>
      </c>
    </row>
    <row r="415" spans="1:8" hidden="1" x14ac:dyDescent="0.35">
      <c r="A415" t="s">
        <v>115</v>
      </c>
      <c r="B415" s="63">
        <v>520</v>
      </c>
      <c r="C415" s="45">
        <f>Balance[[#This Row],[COST]]/147</f>
        <v>3.5374149659863945</v>
      </c>
      <c r="D415" s="1" t="s">
        <v>259</v>
      </c>
      <c r="E415" s="27" t="s">
        <v>265</v>
      </c>
      <c r="F415" s="2">
        <v>44939</v>
      </c>
      <c r="G415" t="str">
        <f t="shared" ref="G415:G478" si="14">TEXT(F415,"mmm")</f>
        <v>Jan</v>
      </c>
      <c r="H415" t="str">
        <f t="shared" ref="H415:H478" si="15">TEXT(F415,"yyy")</f>
        <v>2023</v>
      </c>
    </row>
    <row r="416" spans="1:8" hidden="1" x14ac:dyDescent="0.35">
      <c r="A416" t="s">
        <v>196</v>
      </c>
      <c r="B416" s="63">
        <v>1000</v>
      </c>
      <c r="C416" s="45">
        <f>Balance[[#This Row],[COST]]/147</f>
        <v>6.8027210884353737</v>
      </c>
      <c r="D416" s="1" t="s">
        <v>259</v>
      </c>
      <c r="E416" s="27" t="s">
        <v>268</v>
      </c>
      <c r="F416" s="2">
        <v>44939</v>
      </c>
      <c r="G416" t="str">
        <f t="shared" si="14"/>
        <v>Jan</v>
      </c>
      <c r="H416" t="str">
        <f t="shared" si="15"/>
        <v>2023</v>
      </c>
    </row>
    <row r="417" spans="1:8" hidden="1" x14ac:dyDescent="0.35">
      <c r="A417" t="s">
        <v>295</v>
      </c>
      <c r="B417" s="63">
        <v>1000</v>
      </c>
      <c r="C417" s="45">
        <f>Balance[[#This Row],[COST]]/147</f>
        <v>6.8027210884353737</v>
      </c>
      <c r="D417" s="1" t="s">
        <v>259</v>
      </c>
      <c r="E417" s="27" t="s">
        <v>265</v>
      </c>
      <c r="F417" s="2">
        <v>44939</v>
      </c>
      <c r="G417" t="str">
        <f t="shared" si="14"/>
        <v>Jan</v>
      </c>
      <c r="H417" t="str">
        <f t="shared" si="15"/>
        <v>2023</v>
      </c>
    </row>
    <row r="418" spans="1:8" hidden="1" x14ac:dyDescent="0.35">
      <c r="A418" t="s">
        <v>296</v>
      </c>
      <c r="B418" s="63">
        <v>700</v>
      </c>
      <c r="C418" s="45">
        <f>Balance[[#This Row],[COST]]/147</f>
        <v>4.7619047619047619</v>
      </c>
      <c r="D418" s="1" t="s">
        <v>259</v>
      </c>
      <c r="E418" s="27" t="s">
        <v>265</v>
      </c>
      <c r="F418" s="2">
        <v>44939</v>
      </c>
      <c r="G418" t="str">
        <f t="shared" si="14"/>
        <v>Jan</v>
      </c>
      <c r="H418" t="str">
        <f t="shared" si="15"/>
        <v>2023</v>
      </c>
    </row>
    <row r="419" spans="1:8" hidden="1" x14ac:dyDescent="0.35">
      <c r="A419" t="s">
        <v>297</v>
      </c>
      <c r="B419" s="63">
        <v>500</v>
      </c>
      <c r="C419" s="45">
        <f>Balance[[#This Row],[COST]]/147</f>
        <v>3.4013605442176869</v>
      </c>
      <c r="D419" s="1" t="s">
        <v>259</v>
      </c>
      <c r="E419" s="27" t="s">
        <v>265</v>
      </c>
      <c r="F419" s="2">
        <v>44939</v>
      </c>
      <c r="G419" t="str">
        <f t="shared" si="14"/>
        <v>Jan</v>
      </c>
      <c r="H419" t="str">
        <f t="shared" si="15"/>
        <v>2023</v>
      </c>
    </row>
    <row r="420" spans="1:8" hidden="1" x14ac:dyDescent="0.35">
      <c r="A420" t="s">
        <v>183</v>
      </c>
      <c r="B420" s="63">
        <v>5500</v>
      </c>
      <c r="C420" s="45">
        <f>Balance[[#This Row],[COST]]/147</f>
        <v>37.414965986394556</v>
      </c>
      <c r="D420" s="1" t="s">
        <v>259</v>
      </c>
      <c r="E420" s="27" t="s">
        <v>4</v>
      </c>
      <c r="F420" s="2">
        <v>44939</v>
      </c>
      <c r="G420" t="str">
        <f t="shared" si="14"/>
        <v>Jan</v>
      </c>
      <c r="H420" t="str">
        <f t="shared" si="15"/>
        <v>2023</v>
      </c>
    </row>
    <row r="421" spans="1:8" hidden="1" x14ac:dyDescent="0.35">
      <c r="A421" t="s">
        <v>229</v>
      </c>
      <c r="B421" s="45">
        <f>5.99*147</f>
        <v>880.53000000000009</v>
      </c>
      <c r="C421" s="45">
        <f>Balance[[#This Row],[COST]]/147</f>
        <v>5.99</v>
      </c>
      <c r="D421" s="1" t="s">
        <v>259</v>
      </c>
      <c r="E421" s="27" t="s">
        <v>267</v>
      </c>
      <c r="F421" s="2">
        <v>44941</v>
      </c>
      <c r="G421" t="str">
        <f t="shared" si="14"/>
        <v>Jan</v>
      </c>
      <c r="H421" t="str">
        <f t="shared" si="15"/>
        <v>2023</v>
      </c>
    </row>
    <row r="422" spans="1:8" hidden="1" x14ac:dyDescent="0.35">
      <c r="A422" t="s">
        <v>191</v>
      </c>
      <c r="B422" s="63">
        <v>1000</v>
      </c>
      <c r="C422" s="45">
        <f>Balance[[#This Row],[COST]]/147</f>
        <v>6.8027210884353737</v>
      </c>
      <c r="D422" s="1" t="s">
        <v>15</v>
      </c>
      <c r="E422" s="27" t="s">
        <v>269</v>
      </c>
      <c r="F422" s="2">
        <v>44946</v>
      </c>
      <c r="G422" t="str">
        <f t="shared" si="14"/>
        <v>Jan</v>
      </c>
      <c r="H422" t="str">
        <f t="shared" si="15"/>
        <v>2023</v>
      </c>
    </row>
    <row r="423" spans="1:8" hidden="1" x14ac:dyDescent="0.35">
      <c r="A423" t="s">
        <v>114</v>
      </c>
      <c r="B423" s="63">
        <v>430</v>
      </c>
      <c r="C423" s="45">
        <f>Balance[[#This Row],[COST]]/147</f>
        <v>2.925170068027211</v>
      </c>
      <c r="D423" s="1" t="s">
        <v>259</v>
      </c>
      <c r="E423" s="27" t="s">
        <v>265</v>
      </c>
      <c r="F423" s="2">
        <v>44949</v>
      </c>
      <c r="G423" t="str">
        <f t="shared" si="14"/>
        <v>Jan</v>
      </c>
      <c r="H423" t="str">
        <f t="shared" si="15"/>
        <v>2023</v>
      </c>
    </row>
    <row r="424" spans="1:8" hidden="1" x14ac:dyDescent="0.35">
      <c r="A424" t="s">
        <v>105</v>
      </c>
      <c r="B424" s="63">
        <v>10000</v>
      </c>
      <c r="C424" s="45">
        <f>Balance[[#This Row],[COST]]/147</f>
        <v>68.027210884353735</v>
      </c>
      <c r="D424" s="1" t="s">
        <v>259</v>
      </c>
      <c r="E424" s="27" t="s">
        <v>265</v>
      </c>
      <c r="F424" s="2">
        <v>44951</v>
      </c>
      <c r="G424" t="str">
        <f t="shared" si="14"/>
        <v>Jan</v>
      </c>
      <c r="H424" t="str">
        <f t="shared" si="15"/>
        <v>2023</v>
      </c>
    </row>
    <row r="425" spans="1:8" hidden="1" x14ac:dyDescent="0.35">
      <c r="A425" t="s">
        <v>215</v>
      </c>
      <c r="B425" s="63">
        <v>10000</v>
      </c>
      <c r="C425" s="45">
        <f>Balance[[#This Row],[COST]]/147</f>
        <v>68.027210884353735</v>
      </c>
      <c r="D425" s="1" t="s">
        <v>259</v>
      </c>
      <c r="E425" s="27" t="s">
        <v>265</v>
      </c>
      <c r="F425" s="2">
        <v>44951</v>
      </c>
      <c r="G425" t="str">
        <f t="shared" si="14"/>
        <v>Jan</v>
      </c>
      <c r="H425" t="str">
        <f t="shared" si="15"/>
        <v>2023</v>
      </c>
    </row>
    <row r="426" spans="1:8" hidden="1" x14ac:dyDescent="0.35">
      <c r="A426" t="s">
        <v>49</v>
      </c>
      <c r="B426" s="63">
        <v>15000</v>
      </c>
      <c r="C426" s="45">
        <f>Balance[[#This Row],[COST]]/147</f>
        <v>102.04081632653062</v>
      </c>
      <c r="D426" s="1" t="s">
        <v>263</v>
      </c>
      <c r="E426" s="27" t="s">
        <v>274</v>
      </c>
      <c r="F426" s="2">
        <v>44951</v>
      </c>
      <c r="G426" t="str">
        <f t="shared" si="14"/>
        <v>Jan</v>
      </c>
      <c r="H426" t="str">
        <f t="shared" si="15"/>
        <v>2023</v>
      </c>
    </row>
    <row r="427" spans="1:8" hidden="1" x14ac:dyDescent="0.35">
      <c r="A427" t="s">
        <v>283</v>
      </c>
      <c r="B427" s="63">
        <v>55040</v>
      </c>
      <c r="C427" s="45">
        <f>Balance[[#This Row],[COST]]/147</f>
        <v>374.42176870748301</v>
      </c>
      <c r="D427" s="63" t="s">
        <v>15</v>
      </c>
      <c r="E427" s="27" t="s">
        <v>269</v>
      </c>
      <c r="F427" s="2">
        <v>44951</v>
      </c>
      <c r="G427" t="str">
        <f t="shared" si="14"/>
        <v>Jan</v>
      </c>
      <c r="H427" t="str">
        <f t="shared" si="15"/>
        <v>2023</v>
      </c>
    </row>
    <row r="428" spans="1:8" hidden="1" x14ac:dyDescent="0.35">
      <c r="A428" t="s">
        <v>298</v>
      </c>
      <c r="B428" s="63">
        <v>500</v>
      </c>
      <c r="C428" s="45">
        <f>Balance[[#This Row],[COST]]/147</f>
        <v>3.4013605442176869</v>
      </c>
      <c r="D428" s="1" t="s">
        <v>259</v>
      </c>
      <c r="E428" s="27" t="s">
        <v>265</v>
      </c>
      <c r="F428" s="2">
        <v>44951</v>
      </c>
      <c r="G428" t="str">
        <f t="shared" si="14"/>
        <v>Jan</v>
      </c>
      <c r="H428" t="str">
        <f t="shared" si="15"/>
        <v>2023</v>
      </c>
    </row>
    <row r="429" spans="1:8" hidden="1" x14ac:dyDescent="0.35">
      <c r="A429" t="s">
        <v>298</v>
      </c>
      <c r="B429" s="63">
        <v>710</v>
      </c>
      <c r="C429" s="45">
        <f>Balance[[#This Row],[COST]]/147</f>
        <v>4.8299319727891152</v>
      </c>
      <c r="D429" s="1" t="s">
        <v>259</v>
      </c>
      <c r="E429" s="27" t="s">
        <v>265</v>
      </c>
      <c r="F429" s="2">
        <v>44952</v>
      </c>
      <c r="G429" t="str">
        <f t="shared" si="14"/>
        <v>Jan</v>
      </c>
      <c r="H429" t="str">
        <f t="shared" si="15"/>
        <v>2023</v>
      </c>
    </row>
    <row r="430" spans="1:8" hidden="1" x14ac:dyDescent="0.35">
      <c r="A430" t="s">
        <v>114</v>
      </c>
      <c r="B430" s="63">
        <v>1500</v>
      </c>
      <c r="C430" s="45">
        <f>Balance[[#This Row],[COST]]/147</f>
        <v>10.204081632653061</v>
      </c>
      <c r="D430" s="1" t="s">
        <v>259</v>
      </c>
      <c r="E430" s="27" t="s">
        <v>265</v>
      </c>
      <c r="F430" s="2">
        <v>44953</v>
      </c>
      <c r="G430" t="str">
        <f t="shared" si="14"/>
        <v>Jan</v>
      </c>
      <c r="H430" t="str">
        <f t="shared" si="15"/>
        <v>2023</v>
      </c>
    </row>
    <row r="431" spans="1:8" hidden="1" x14ac:dyDescent="0.35">
      <c r="A431" t="s">
        <v>299</v>
      </c>
      <c r="B431" s="63">
        <v>500</v>
      </c>
      <c r="C431" s="45">
        <f>Balance[[#This Row],[COST]]/147</f>
        <v>3.4013605442176869</v>
      </c>
      <c r="D431" s="1" t="s">
        <v>259</v>
      </c>
      <c r="E431" s="27" t="s">
        <v>265</v>
      </c>
      <c r="F431" s="2">
        <v>44954</v>
      </c>
      <c r="G431" t="str">
        <f t="shared" si="14"/>
        <v>Jan</v>
      </c>
      <c r="H431" t="str">
        <f t="shared" si="15"/>
        <v>2023</v>
      </c>
    </row>
    <row r="432" spans="1:8" hidden="1" x14ac:dyDescent="0.35">
      <c r="A432" t="s">
        <v>42</v>
      </c>
      <c r="B432" s="63">
        <v>7884</v>
      </c>
      <c r="C432" s="45">
        <f>Balance[[#This Row],[COST]]/147</f>
        <v>53.632653061224488</v>
      </c>
      <c r="D432" s="1" t="s">
        <v>42</v>
      </c>
      <c r="E432" s="27" t="s">
        <v>270</v>
      </c>
      <c r="F432" s="2">
        <v>44955</v>
      </c>
      <c r="G432" t="str">
        <f t="shared" si="14"/>
        <v>Jan</v>
      </c>
      <c r="H432" t="str">
        <f t="shared" si="15"/>
        <v>2023</v>
      </c>
    </row>
    <row r="433" spans="1:8" hidden="1" x14ac:dyDescent="0.35">
      <c r="A433" t="s">
        <v>3</v>
      </c>
      <c r="B433" s="63">
        <v>500</v>
      </c>
      <c r="C433" s="45">
        <f>Balance[[#This Row],[COST]]/147</f>
        <v>3.4013605442176869</v>
      </c>
      <c r="D433" s="1" t="s">
        <v>259</v>
      </c>
      <c r="E433" s="27" t="s">
        <v>265</v>
      </c>
      <c r="F433" s="2">
        <v>44955</v>
      </c>
      <c r="G433" t="str">
        <f t="shared" si="14"/>
        <v>Jan</v>
      </c>
      <c r="H433" t="str">
        <f t="shared" si="15"/>
        <v>2023</v>
      </c>
    </row>
    <row r="434" spans="1:8" hidden="1" x14ac:dyDescent="0.35">
      <c r="A434" t="s">
        <v>183</v>
      </c>
      <c r="B434" s="63">
        <v>5300</v>
      </c>
      <c r="C434" s="45">
        <f>Balance[[#This Row],[COST]]/147</f>
        <v>36.054421768707485</v>
      </c>
      <c r="D434" s="1" t="s">
        <v>259</v>
      </c>
      <c r="E434" s="27" t="s">
        <v>4</v>
      </c>
      <c r="F434" s="2">
        <v>44956</v>
      </c>
      <c r="G434" t="str">
        <f t="shared" si="14"/>
        <v>Jan</v>
      </c>
      <c r="H434" t="str">
        <f t="shared" si="15"/>
        <v>2023</v>
      </c>
    </row>
    <row r="435" spans="1:8" hidden="1" x14ac:dyDescent="0.35">
      <c r="A435" t="s">
        <v>229</v>
      </c>
      <c r="B435" s="45">
        <f>5.99*147</f>
        <v>880.53000000000009</v>
      </c>
      <c r="C435" s="63">
        <f>Balance[[#This Row],[COST]]/147</f>
        <v>5.99</v>
      </c>
      <c r="D435" s="1" t="s">
        <v>259</v>
      </c>
      <c r="E435" s="27" t="s">
        <v>267</v>
      </c>
      <c r="F435" s="2">
        <v>44958</v>
      </c>
      <c r="G435" t="str">
        <f t="shared" si="14"/>
        <v>Feb</v>
      </c>
      <c r="H435" t="str">
        <f t="shared" si="15"/>
        <v>2023</v>
      </c>
    </row>
    <row r="436" spans="1:8" hidden="1" x14ac:dyDescent="0.35">
      <c r="A436" t="s">
        <v>247</v>
      </c>
      <c r="B436" s="63">
        <v>1500</v>
      </c>
      <c r="C436" s="45">
        <f>Balance[[#This Row],[COST]]/147</f>
        <v>10.204081632653061</v>
      </c>
      <c r="D436" s="1" t="s">
        <v>259</v>
      </c>
      <c r="E436" s="27" t="s">
        <v>268</v>
      </c>
      <c r="F436" s="2">
        <v>44960</v>
      </c>
      <c r="G436" t="str">
        <f t="shared" si="14"/>
        <v>Feb</v>
      </c>
      <c r="H436" t="str">
        <f t="shared" si="15"/>
        <v>2023</v>
      </c>
    </row>
    <row r="437" spans="1:8" hidden="1" x14ac:dyDescent="0.35">
      <c r="A437" t="s">
        <v>129</v>
      </c>
      <c r="B437" s="63">
        <v>880</v>
      </c>
      <c r="C437" s="45">
        <f>Balance[[#This Row],[COST]]/147</f>
        <v>5.9863945578231297</v>
      </c>
      <c r="D437" s="1" t="s">
        <v>259</v>
      </c>
      <c r="E437" s="27" t="s">
        <v>265</v>
      </c>
      <c r="F437" s="2">
        <v>44963</v>
      </c>
      <c r="G437" t="str">
        <f t="shared" si="14"/>
        <v>Feb</v>
      </c>
      <c r="H437" t="str">
        <f t="shared" si="15"/>
        <v>2023</v>
      </c>
    </row>
    <row r="438" spans="1:8" hidden="1" x14ac:dyDescent="0.35">
      <c r="A438" t="s">
        <v>183</v>
      </c>
      <c r="B438" s="63">
        <v>1500</v>
      </c>
      <c r="C438" s="45">
        <f>Balance[[#This Row],[COST]]/147</f>
        <v>10.204081632653061</v>
      </c>
      <c r="D438" s="1" t="s">
        <v>259</v>
      </c>
      <c r="E438" s="27" t="s">
        <v>4</v>
      </c>
      <c r="F438" s="2">
        <v>44963</v>
      </c>
      <c r="G438" t="str">
        <f t="shared" si="14"/>
        <v>Feb</v>
      </c>
      <c r="H438" t="str">
        <f t="shared" si="15"/>
        <v>2023</v>
      </c>
    </row>
    <row r="439" spans="1:8" hidden="1" x14ac:dyDescent="0.35">
      <c r="A439" t="s">
        <v>300</v>
      </c>
      <c r="B439" s="63">
        <v>15000</v>
      </c>
      <c r="C439" s="45">
        <f>Balance[[#This Row],[COST]]/147</f>
        <v>102.04081632653062</v>
      </c>
      <c r="D439" s="1" t="s">
        <v>259</v>
      </c>
      <c r="E439" s="27" t="s">
        <v>268</v>
      </c>
      <c r="F439" s="2">
        <v>44963</v>
      </c>
      <c r="G439" t="str">
        <f t="shared" si="14"/>
        <v>Feb</v>
      </c>
      <c r="H439" t="str">
        <f t="shared" si="15"/>
        <v>2023</v>
      </c>
    </row>
    <row r="440" spans="1:8" hidden="1" x14ac:dyDescent="0.35">
      <c r="A440" t="s">
        <v>183</v>
      </c>
      <c r="B440" s="63">
        <v>5000</v>
      </c>
      <c r="C440" s="45">
        <f>Balance[[#This Row],[COST]]/147</f>
        <v>34.013605442176868</v>
      </c>
      <c r="D440" s="1" t="s">
        <v>259</v>
      </c>
      <c r="E440" s="27" t="s">
        <v>4</v>
      </c>
      <c r="F440" s="2">
        <v>44967</v>
      </c>
      <c r="G440" t="str">
        <f t="shared" si="14"/>
        <v>Feb</v>
      </c>
      <c r="H440" t="str">
        <f t="shared" si="15"/>
        <v>2023</v>
      </c>
    </row>
    <row r="441" spans="1:8" hidden="1" x14ac:dyDescent="0.35">
      <c r="A441" t="s">
        <v>232</v>
      </c>
      <c r="B441" s="63">
        <v>1300</v>
      </c>
      <c r="C441" s="45">
        <f>Balance[[#This Row],[COST]]/147</f>
        <v>8.8435374149659864</v>
      </c>
      <c r="D441" s="1" t="s">
        <v>259</v>
      </c>
      <c r="E441" s="27" t="s">
        <v>268</v>
      </c>
      <c r="F441" s="2">
        <v>44967</v>
      </c>
      <c r="G441" t="str">
        <f t="shared" si="14"/>
        <v>Feb</v>
      </c>
      <c r="H441" t="str">
        <f t="shared" si="15"/>
        <v>2023</v>
      </c>
    </row>
    <row r="442" spans="1:8" x14ac:dyDescent="0.35">
      <c r="A442" t="s">
        <v>244</v>
      </c>
      <c r="B442" s="63">
        <v>7203</v>
      </c>
      <c r="C442" s="45">
        <f>Balance[[#This Row],[COST]]/147</f>
        <v>49</v>
      </c>
      <c r="D442" s="1" t="s">
        <v>689</v>
      </c>
      <c r="E442" s="27" t="s">
        <v>275</v>
      </c>
      <c r="F442" s="2">
        <v>44968</v>
      </c>
      <c r="G442" t="str">
        <f t="shared" si="14"/>
        <v>Feb</v>
      </c>
      <c r="H442" t="str">
        <f t="shared" si="15"/>
        <v>2023</v>
      </c>
    </row>
    <row r="443" spans="1:8" hidden="1" x14ac:dyDescent="0.35">
      <c r="A443" t="s">
        <v>114</v>
      </c>
      <c r="B443" s="63">
        <v>1020</v>
      </c>
      <c r="C443" s="45">
        <f>Balance[[#This Row],[COST]]/147</f>
        <v>6.9387755102040813</v>
      </c>
      <c r="D443" s="1" t="s">
        <v>259</v>
      </c>
      <c r="E443" s="27" t="s">
        <v>265</v>
      </c>
      <c r="F443" s="2">
        <v>44968</v>
      </c>
      <c r="G443" t="str">
        <f t="shared" si="14"/>
        <v>Feb</v>
      </c>
      <c r="H443" t="str">
        <f t="shared" si="15"/>
        <v>2023</v>
      </c>
    </row>
    <row r="444" spans="1:8" hidden="1" x14ac:dyDescent="0.35">
      <c r="A444" t="s">
        <v>296</v>
      </c>
      <c r="B444" s="63">
        <v>7000</v>
      </c>
      <c r="C444" s="45">
        <f>Balance[[#This Row],[COST]]/147</f>
        <v>47.61904761904762</v>
      </c>
      <c r="D444" s="1" t="s">
        <v>259</v>
      </c>
      <c r="E444" s="27" t="s">
        <v>265</v>
      </c>
      <c r="F444" s="2">
        <v>44968</v>
      </c>
      <c r="G444" t="str">
        <f t="shared" si="14"/>
        <v>Feb</v>
      </c>
      <c r="H444" t="str">
        <f t="shared" si="15"/>
        <v>2023</v>
      </c>
    </row>
    <row r="445" spans="1:8" hidden="1" x14ac:dyDescent="0.35">
      <c r="A445" t="s">
        <v>301</v>
      </c>
      <c r="B445" s="63">
        <v>450</v>
      </c>
      <c r="C445" s="45">
        <f>Balance[[#This Row],[COST]]/147</f>
        <v>3.0612244897959182</v>
      </c>
      <c r="D445" s="1" t="s">
        <v>259</v>
      </c>
      <c r="E445" s="27" t="s">
        <v>265</v>
      </c>
      <c r="F445" s="2">
        <v>44970</v>
      </c>
      <c r="G445" t="str">
        <f t="shared" si="14"/>
        <v>Feb</v>
      </c>
      <c r="H445" t="str">
        <f t="shared" si="15"/>
        <v>2023</v>
      </c>
    </row>
    <row r="446" spans="1:8" hidden="1" x14ac:dyDescent="0.35">
      <c r="A446" t="s">
        <v>202</v>
      </c>
      <c r="B446" s="63">
        <v>520</v>
      </c>
      <c r="C446" s="45">
        <f>Balance[[#This Row],[COST]]/147</f>
        <v>3.5374149659863945</v>
      </c>
      <c r="D446" s="1" t="s">
        <v>259</v>
      </c>
      <c r="E446" s="27" t="s">
        <v>265</v>
      </c>
      <c r="F446" s="2">
        <v>44970</v>
      </c>
      <c r="G446" t="str">
        <f t="shared" si="14"/>
        <v>Feb</v>
      </c>
      <c r="H446" t="str">
        <f t="shared" si="15"/>
        <v>2023</v>
      </c>
    </row>
    <row r="447" spans="1:8" hidden="1" x14ac:dyDescent="0.35">
      <c r="A447" t="s">
        <v>302</v>
      </c>
      <c r="B447" s="63">
        <v>740</v>
      </c>
      <c r="C447" s="45">
        <f>Balance[[#This Row],[COST]]/147</f>
        <v>5.0340136054421771</v>
      </c>
      <c r="D447" s="1" t="s">
        <v>259</v>
      </c>
      <c r="E447" s="27" t="s">
        <v>265</v>
      </c>
      <c r="F447" s="2">
        <v>44971</v>
      </c>
      <c r="G447" t="str">
        <f t="shared" si="14"/>
        <v>Feb</v>
      </c>
      <c r="H447" t="str">
        <f t="shared" si="15"/>
        <v>2023</v>
      </c>
    </row>
    <row r="448" spans="1:8" hidden="1" x14ac:dyDescent="0.35">
      <c r="A448" t="s">
        <v>303</v>
      </c>
      <c r="B448" s="63">
        <v>700</v>
      </c>
      <c r="C448" s="45">
        <f>Balance[[#This Row],[COST]]/147</f>
        <v>4.7619047619047619</v>
      </c>
      <c r="D448" s="1" t="s">
        <v>259</v>
      </c>
      <c r="E448" s="27" t="s">
        <v>268</v>
      </c>
      <c r="F448" s="2">
        <v>44971</v>
      </c>
      <c r="G448" t="str">
        <f t="shared" si="14"/>
        <v>Feb</v>
      </c>
      <c r="H448" t="str">
        <f t="shared" si="15"/>
        <v>2023</v>
      </c>
    </row>
    <row r="449" spans="1:8" hidden="1" x14ac:dyDescent="0.35">
      <c r="A449" t="s">
        <v>293</v>
      </c>
      <c r="B449" s="63">
        <v>500</v>
      </c>
      <c r="C449" s="45">
        <f>Balance[[#This Row],[COST]]/147</f>
        <v>3.4013605442176869</v>
      </c>
      <c r="D449" s="1" t="s">
        <v>259</v>
      </c>
      <c r="E449" s="27" t="s">
        <v>268</v>
      </c>
      <c r="F449" s="2">
        <v>44971</v>
      </c>
      <c r="G449" t="str">
        <f t="shared" si="14"/>
        <v>Feb</v>
      </c>
      <c r="H449" t="str">
        <f t="shared" si="15"/>
        <v>2023</v>
      </c>
    </row>
    <row r="450" spans="1:8" x14ac:dyDescent="0.35">
      <c r="A450" t="s">
        <v>39</v>
      </c>
      <c r="B450" s="63">
        <v>3000</v>
      </c>
      <c r="C450" s="45">
        <f>Balance[[#This Row],[COST]]/147</f>
        <v>20.408163265306122</v>
      </c>
      <c r="D450" s="1" t="s">
        <v>689</v>
      </c>
      <c r="E450" s="27" t="s">
        <v>275</v>
      </c>
      <c r="F450" s="2">
        <v>44972</v>
      </c>
      <c r="G450" t="str">
        <f t="shared" si="14"/>
        <v>Feb</v>
      </c>
      <c r="H450" t="str">
        <f t="shared" si="15"/>
        <v>2023</v>
      </c>
    </row>
    <row r="451" spans="1:8" x14ac:dyDescent="0.35">
      <c r="A451" t="s">
        <v>40</v>
      </c>
      <c r="B451" s="63">
        <v>3000</v>
      </c>
      <c r="C451" s="45">
        <f>Balance[[#This Row],[COST]]/147</f>
        <v>20.408163265306122</v>
      </c>
      <c r="D451" s="1" t="s">
        <v>689</v>
      </c>
      <c r="E451" s="27" t="s">
        <v>275</v>
      </c>
      <c r="F451" s="2">
        <v>44972</v>
      </c>
      <c r="G451" t="str">
        <f t="shared" si="14"/>
        <v>Feb</v>
      </c>
      <c r="H451" t="str">
        <f t="shared" si="15"/>
        <v>2023</v>
      </c>
    </row>
    <row r="452" spans="1:8" hidden="1" x14ac:dyDescent="0.35">
      <c r="A452" t="s">
        <v>302</v>
      </c>
      <c r="B452" s="63">
        <v>840</v>
      </c>
      <c r="C452" s="63">
        <f>Balance[[#This Row],[COST]]/147</f>
        <v>5.7142857142857144</v>
      </c>
      <c r="D452" s="63" t="s">
        <v>259</v>
      </c>
      <c r="E452" s="27" t="s">
        <v>265</v>
      </c>
      <c r="F452" s="2">
        <v>44973</v>
      </c>
      <c r="G452" t="str">
        <f t="shared" si="14"/>
        <v>Feb</v>
      </c>
      <c r="H452" t="str">
        <f t="shared" si="15"/>
        <v>2023</v>
      </c>
    </row>
    <row r="453" spans="1:8" hidden="1" x14ac:dyDescent="0.35">
      <c r="A453" t="s">
        <v>302</v>
      </c>
      <c r="B453" s="63">
        <v>740</v>
      </c>
      <c r="C453" s="63">
        <f>Balance[[#This Row],[COST]]/147</f>
        <v>5.0340136054421771</v>
      </c>
      <c r="D453" s="63" t="s">
        <v>259</v>
      </c>
      <c r="E453" s="27" t="s">
        <v>265</v>
      </c>
      <c r="F453" s="2">
        <v>44974</v>
      </c>
      <c r="G453" t="str">
        <f t="shared" si="14"/>
        <v>Feb</v>
      </c>
      <c r="H453" t="str">
        <f t="shared" si="15"/>
        <v>2023</v>
      </c>
    </row>
    <row r="454" spans="1:8" hidden="1" x14ac:dyDescent="0.35">
      <c r="A454" t="s">
        <v>296</v>
      </c>
      <c r="B454" s="63">
        <v>1000</v>
      </c>
      <c r="C454" s="63">
        <f>Balance[[#This Row],[COST]]/147</f>
        <v>6.8027210884353737</v>
      </c>
      <c r="D454" s="1" t="s">
        <v>259</v>
      </c>
      <c r="E454" s="27" t="s">
        <v>265</v>
      </c>
      <c r="F454" s="2">
        <v>44975</v>
      </c>
      <c r="G454" t="str">
        <f t="shared" si="14"/>
        <v>Feb</v>
      </c>
      <c r="H454" t="str">
        <f t="shared" si="15"/>
        <v>2023</v>
      </c>
    </row>
    <row r="455" spans="1:8" hidden="1" x14ac:dyDescent="0.35">
      <c r="A455" t="s">
        <v>114</v>
      </c>
      <c r="B455" s="63">
        <v>1000</v>
      </c>
      <c r="C455" s="63">
        <f>Balance[[#This Row],[COST]]/147</f>
        <v>6.8027210884353737</v>
      </c>
      <c r="D455" s="1" t="s">
        <v>259</v>
      </c>
      <c r="E455" s="27" t="s">
        <v>265</v>
      </c>
      <c r="F455" s="2">
        <v>44977</v>
      </c>
      <c r="G455" t="str">
        <f t="shared" si="14"/>
        <v>Feb</v>
      </c>
      <c r="H455" t="str">
        <f t="shared" si="15"/>
        <v>2023</v>
      </c>
    </row>
    <row r="456" spans="1:8" hidden="1" x14ac:dyDescent="0.35">
      <c r="A456" t="s">
        <v>296</v>
      </c>
      <c r="B456" s="63">
        <v>800</v>
      </c>
      <c r="C456" s="63">
        <f>Balance[[#This Row],[COST]]/147</f>
        <v>5.4421768707482991</v>
      </c>
      <c r="D456" s="1" t="s">
        <v>259</v>
      </c>
      <c r="E456" s="27" t="s">
        <v>265</v>
      </c>
      <c r="F456" s="2">
        <v>44977</v>
      </c>
      <c r="G456" t="str">
        <f t="shared" si="14"/>
        <v>Feb</v>
      </c>
      <c r="H456" t="str">
        <f t="shared" si="15"/>
        <v>2023</v>
      </c>
    </row>
    <row r="457" spans="1:8" hidden="1" x14ac:dyDescent="0.35">
      <c r="A457" t="s">
        <v>53</v>
      </c>
      <c r="B457" s="63">
        <v>1000</v>
      </c>
      <c r="C457" s="63">
        <f>Balance[[#This Row],[COST]]/147</f>
        <v>6.8027210884353737</v>
      </c>
      <c r="D457" s="1" t="s">
        <v>259</v>
      </c>
      <c r="E457" s="27" t="s">
        <v>265</v>
      </c>
      <c r="F457" s="2">
        <v>44978</v>
      </c>
      <c r="G457" t="str">
        <f t="shared" si="14"/>
        <v>Feb</v>
      </c>
      <c r="H457" t="str">
        <f t="shared" si="15"/>
        <v>2023</v>
      </c>
    </row>
    <row r="458" spans="1:8" hidden="1" x14ac:dyDescent="0.35">
      <c r="A458" t="s">
        <v>302</v>
      </c>
      <c r="B458" s="63">
        <v>1000</v>
      </c>
      <c r="C458" s="63">
        <f>Balance[[#This Row],[COST]]/147</f>
        <v>6.8027210884353737</v>
      </c>
      <c r="D458" s="1" t="s">
        <v>259</v>
      </c>
      <c r="E458" s="27" t="s">
        <v>265</v>
      </c>
      <c r="F458" s="2">
        <v>44978</v>
      </c>
      <c r="G458" t="str">
        <f t="shared" si="14"/>
        <v>Feb</v>
      </c>
      <c r="H458" t="str">
        <f t="shared" si="15"/>
        <v>2023</v>
      </c>
    </row>
    <row r="459" spans="1:8" hidden="1" x14ac:dyDescent="0.35">
      <c r="A459" t="s">
        <v>305</v>
      </c>
      <c r="B459" s="63">
        <v>500</v>
      </c>
      <c r="C459" s="63">
        <f>Balance[[#This Row],[COST]]/147</f>
        <v>3.4013605442176869</v>
      </c>
      <c r="D459" s="1" t="s">
        <v>259</v>
      </c>
      <c r="E459" s="27" t="s">
        <v>265</v>
      </c>
      <c r="F459" s="2">
        <v>44980</v>
      </c>
      <c r="G459" t="str">
        <f t="shared" si="14"/>
        <v>Feb</v>
      </c>
      <c r="H459" t="str">
        <f t="shared" si="15"/>
        <v>2023</v>
      </c>
    </row>
    <row r="460" spans="1:8" hidden="1" x14ac:dyDescent="0.35">
      <c r="A460" t="s">
        <v>183</v>
      </c>
      <c r="B460" s="63">
        <v>4000</v>
      </c>
      <c r="C460" s="63">
        <f>Balance[[#This Row],[COST]]/147</f>
        <v>27.210884353741495</v>
      </c>
      <c r="D460" s="1" t="s">
        <v>259</v>
      </c>
      <c r="E460" s="27" t="s">
        <v>4</v>
      </c>
      <c r="F460" s="2">
        <v>44981</v>
      </c>
      <c r="G460" t="str">
        <f t="shared" si="14"/>
        <v>Feb</v>
      </c>
      <c r="H460" t="str">
        <f t="shared" si="15"/>
        <v>2023</v>
      </c>
    </row>
    <row r="461" spans="1:8" hidden="1" x14ac:dyDescent="0.35">
      <c r="A461" t="s">
        <v>306</v>
      </c>
      <c r="B461" s="63">
        <v>900</v>
      </c>
      <c r="C461" s="63">
        <f>Balance[[#This Row],[COST]]/147</f>
        <v>6.1224489795918364</v>
      </c>
      <c r="D461" s="1" t="s">
        <v>259</v>
      </c>
      <c r="E461" s="27" t="s">
        <v>265</v>
      </c>
      <c r="F461" s="2">
        <v>44981</v>
      </c>
      <c r="G461" t="str">
        <f t="shared" si="14"/>
        <v>Feb</v>
      </c>
      <c r="H461" t="str">
        <f t="shared" si="15"/>
        <v>2023</v>
      </c>
    </row>
    <row r="462" spans="1:8" hidden="1" x14ac:dyDescent="0.35">
      <c r="A462" t="s">
        <v>49</v>
      </c>
      <c r="B462" s="63">
        <v>15000</v>
      </c>
      <c r="C462" s="63">
        <f>Balance[[#This Row],[COST]]/147</f>
        <v>102.04081632653062</v>
      </c>
      <c r="D462" s="1" t="s">
        <v>263</v>
      </c>
      <c r="E462" s="27" t="s">
        <v>274</v>
      </c>
      <c r="F462" s="2">
        <v>44981</v>
      </c>
      <c r="G462" t="str">
        <f t="shared" si="14"/>
        <v>Feb</v>
      </c>
      <c r="H462" t="str">
        <f t="shared" si="15"/>
        <v>2023</v>
      </c>
    </row>
    <row r="463" spans="1:8" hidden="1" x14ac:dyDescent="0.35">
      <c r="A463" t="s">
        <v>283</v>
      </c>
      <c r="B463" s="63">
        <v>57040</v>
      </c>
      <c r="C463" s="63">
        <f>Balance[[#This Row],[COST]]/147</f>
        <v>388.02721088435374</v>
      </c>
      <c r="D463" s="1" t="s">
        <v>15</v>
      </c>
      <c r="E463" s="27" t="s">
        <v>269</v>
      </c>
      <c r="F463" s="2">
        <v>44981</v>
      </c>
      <c r="G463" t="str">
        <f t="shared" si="14"/>
        <v>Feb</v>
      </c>
      <c r="H463" t="str">
        <f t="shared" si="15"/>
        <v>2023</v>
      </c>
    </row>
    <row r="464" spans="1:8" hidden="1" x14ac:dyDescent="0.35">
      <c r="A464" t="s">
        <v>215</v>
      </c>
      <c r="B464" s="63">
        <v>10000</v>
      </c>
      <c r="C464" s="63">
        <f>Balance[[#This Row],[COST]]/147</f>
        <v>68.027210884353735</v>
      </c>
      <c r="D464" s="1" t="s">
        <v>259</v>
      </c>
      <c r="E464" s="27" t="s">
        <v>265</v>
      </c>
      <c r="F464" s="2">
        <v>44982</v>
      </c>
      <c r="G464" t="str">
        <f t="shared" si="14"/>
        <v>Feb</v>
      </c>
      <c r="H464" t="str">
        <f t="shared" si="15"/>
        <v>2023</v>
      </c>
    </row>
    <row r="465" spans="1:8" hidden="1" x14ac:dyDescent="0.35">
      <c r="A465" t="s">
        <v>53</v>
      </c>
      <c r="B465" s="63">
        <v>9000</v>
      </c>
      <c r="C465" s="63">
        <f>Balance[[#This Row],[COST]]/147</f>
        <v>61.224489795918366</v>
      </c>
      <c r="D465" s="1" t="s">
        <v>259</v>
      </c>
      <c r="E465" s="27" t="s">
        <v>265</v>
      </c>
      <c r="F465" s="2">
        <v>44982</v>
      </c>
      <c r="G465" t="str">
        <f t="shared" si="14"/>
        <v>Feb</v>
      </c>
      <c r="H465" t="str">
        <f t="shared" si="15"/>
        <v>2023</v>
      </c>
    </row>
    <row r="466" spans="1:8" hidden="1" x14ac:dyDescent="0.35">
      <c r="A466" t="s">
        <v>67</v>
      </c>
      <c r="B466" s="63">
        <v>1000</v>
      </c>
      <c r="C466" s="63">
        <f>Balance[[#This Row],[COST]]/147</f>
        <v>6.8027210884353737</v>
      </c>
      <c r="D466" s="1" t="s">
        <v>259</v>
      </c>
      <c r="E466" s="27" t="s">
        <v>265</v>
      </c>
      <c r="F466" s="2">
        <v>44982</v>
      </c>
      <c r="G466" t="str">
        <f t="shared" si="14"/>
        <v>Feb</v>
      </c>
      <c r="H466" t="str">
        <f t="shared" si="15"/>
        <v>2023</v>
      </c>
    </row>
    <row r="467" spans="1:8" hidden="1" x14ac:dyDescent="0.35">
      <c r="A467" t="s">
        <v>105</v>
      </c>
      <c r="B467" s="63">
        <v>10000</v>
      </c>
      <c r="C467" s="45">
        <f>Balance[[#This Row],[COST]]/147</f>
        <v>68.027210884353735</v>
      </c>
      <c r="D467" s="1" t="s">
        <v>259</v>
      </c>
      <c r="E467" s="27" t="s">
        <v>265</v>
      </c>
      <c r="F467" s="2">
        <v>44982</v>
      </c>
      <c r="G467" t="str">
        <f t="shared" si="14"/>
        <v>Feb</v>
      </c>
      <c r="H467" t="str">
        <f t="shared" si="15"/>
        <v>2023</v>
      </c>
    </row>
    <row r="468" spans="1:8" hidden="1" x14ac:dyDescent="0.35">
      <c r="A468" t="s">
        <v>114</v>
      </c>
      <c r="B468" s="63">
        <v>1000</v>
      </c>
      <c r="C468" s="63">
        <f>Balance[[#This Row],[COST]]/147</f>
        <v>6.8027210884353737</v>
      </c>
      <c r="D468" s="1" t="s">
        <v>259</v>
      </c>
      <c r="E468" s="27" t="s">
        <v>265</v>
      </c>
      <c r="F468" s="2">
        <v>44983</v>
      </c>
      <c r="G468" t="str">
        <f t="shared" si="14"/>
        <v>Feb</v>
      </c>
      <c r="H468" t="str">
        <f t="shared" si="15"/>
        <v>2023</v>
      </c>
    </row>
    <row r="469" spans="1:8" hidden="1" x14ac:dyDescent="0.35">
      <c r="A469" t="s">
        <v>307</v>
      </c>
      <c r="B469" s="63">
        <v>4000</v>
      </c>
      <c r="C469" s="63">
        <f>Balance[[#This Row],[COST]]/147</f>
        <v>27.210884353741495</v>
      </c>
      <c r="D469" s="1" t="s">
        <v>259</v>
      </c>
      <c r="E469" s="27" t="s">
        <v>265</v>
      </c>
      <c r="F469" s="2">
        <v>44984</v>
      </c>
      <c r="G469" t="str">
        <f t="shared" si="14"/>
        <v>Feb</v>
      </c>
      <c r="H469" t="str">
        <f t="shared" si="15"/>
        <v>2023</v>
      </c>
    </row>
    <row r="470" spans="1:8" hidden="1" x14ac:dyDescent="0.35">
      <c r="A470" t="s">
        <v>42</v>
      </c>
      <c r="B470" s="73">
        <v>7884</v>
      </c>
      <c r="C470" s="73">
        <f>Balance[[#This Row],[COST]]/147</f>
        <v>53.632653061224488</v>
      </c>
      <c r="D470" s="73" t="s">
        <v>42</v>
      </c>
      <c r="E470" s="27" t="s">
        <v>270</v>
      </c>
      <c r="F470" s="2">
        <v>44985</v>
      </c>
      <c r="G470" t="str">
        <f t="shared" si="14"/>
        <v>Feb</v>
      </c>
      <c r="H470" t="str">
        <f t="shared" si="15"/>
        <v>2023</v>
      </c>
    </row>
    <row r="471" spans="1:8" hidden="1" x14ac:dyDescent="0.35">
      <c r="A471" t="s">
        <v>308</v>
      </c>
      <c r="B471" s="63">
        <v>1200</v>
      </c>
      <c r="C471" s="63">
        <f>Balance[[#This Row],[COST]]/147</f>
        <v>8.1632653061224492</v>
      </c>
      <c r="D471" s="1" t="s">
        <v>259</v>
      </c>
      <c r="E471" s="27" t="s">
        <v>265</v>
      </c>
      <c r="F471" s="2">
        <v>44986</v>
      </c>
      <c r="G471" t="str">
        <f t="shared" si="14"/>
        <v>Mar</v>
      </c>
      <c r="H471" t="str">
        <f t="shared" si="15"/>
        <v>2023</v>
      </c>
    </row>
    <row r="472" spans="1:8" hidden="1" x14ac:dyDescent="0.35">
      <c r="A472" t="s">
        <v>215</v>
      </c>
      <c r="B472" s="63">
        <v>15000</v>
      </c>
      <c r="C472" s="63">
        <f>Balance[[#This Row],[COST]]/147</f>
        <v>102.04081632653062</v>
      </c>
      <c r="D472" s="1" t="s">
        <v>259</v>
      </c>
      <c r="E472" s="27" t="s">
        <v>265</v>
      </c>
      <c r="F472" s="2">
        <v>44986</v>
      </c>
      <c r="G472" t="str">
        <f t="shared" si="14"/>
        <v>Mar</v>
      </c>
      <c r="H472" t="str">
        <f t="shared" si="15"/>
        <v>2023</v>
      </c>
    </row>
    <row r="473" spans="1:8" hidden="1" x14ac:dyDescent="0.35">
      <c r="A473" t="s">
        <v>309</v>
      </c>
      <c r="B473" s="63">
        <v>4000</v>
      </c>
      <c r="C473" s="63">
        <f>Balance[[#This Row],[COST]]/147</f>
        <v>27.210884353741495</v>
      </c>
      <c r="D473" s="1" t="s">
        <v>259</v>
      </c>
      <c r="E473" s="27" t="s">
        <v>268</v>
      </c>
      <c r="F473" s="2">
        <v>44987</v>
      </c>
      <c r="G473" t="str">
        <f t="shared" si="14"/>
        <v>Mar</v>
      </c>
      <c r="H473" t="str">
        <f t="shared" si="15"/>
        <v>2023</v>
      </c>
    </row>
    <row r="474" spans="1:8" hidden="1" x14ac:dyDescent="0.35">
      <c r="A474" t="s">
        <v>310</v>
      </c>
      <c r="B474" s="63">
        <v>1200</v>
      </c>
      <c r="C474" s="63">
        <f>Balance[[#This Row],[COST]]/147</f>
        <v>8.1632653061224492</v>
      </c>
      <c r="D474" s="1" t="s">
        <v>259</v>
      </c>
      <c r="E474" s="27" t="s">
        <v>265</v>
      </c>
      <c r="F474" s="2">
        <v>44987</v>
      </c>
      <c r="G474" t="str">
        <f t="shared" si="14"/>
        <v>Mar</v>
      </c>
      <c r="H474" t="str">
        <f t="shared" si="15"/>
        <v>2023</v>
      </c>
    </row>
    <row r="475" spans="1:8" hidden="1" x14ac:dyDescent="0.35">
      <c r="A475" t="s">
        <v>311</v>
      </c>
      <c r="B475" s="63">
        <v>2000</v>
      </c>
      <c r="C475" s="63">
        <f>Balance[[#This Row],[COST]]/147</f>
        <v>13.605442176870747</v>
      </c>
      <c r="D475" s="1" t="s">
        <v>259</v>
      </c>
      <c r="E475" s="27" t="s">
        <v>265</v>
      </c>
      <c r="F475" s="2">
        <v>44987</v>
      </c>
      <c r="G475" t="str">
        <f t="shared" si="14"/>
        <v>Mar</v>
      </c>
      <c r="H475" t="str">
        <f t="shared" si="15"/>
        <v>2023</v>
      </c>
    </row>
    <row r="476" spans="1:8" hidden="1" x14ac:dyDescent="0.35">
      <c r="A476" t="s">
        <v>312</v>
      </c>
      <c r="B476" s="63">
        <f>Balance[[#This Row],[Cost USD]]*155</f>
        <v>62310</v>
      </c>
      <c r="C476" s="63">
        <v>402</v>
      </c>
      <c r="D476" s="1" t="s">
        <v>259</v>
      </c>
      <c r="E476" s="27" t="s">
        <v>4</v>
      </c>
      <c r="F476" s="2">
        <v>44989</v>
      </c>
      <c r="G476" t="str">
        <f t="shared" si="14"/>
        <v>Mar</v>
      </c>
      <c r="H476" t="str">
        <f t="shared" si="15"/>
        <v>2023</v>
      </c>
    </row>
    <row r="477" spans="1:8" hidden="1" x14ac:dyDescent="0.35">
      <c r="A477" t="s">
        <v>129</v>
      </c>
      <c r="B477" s="63">
        <v>4790</v>
      </c>
      <c r="C477" s="63">
        <f>Balance[[#This Row],[COST]]/147</f>
        <v>32.585034013605444</v>
      </c>
      <c r="D477" s="1" t="s">
        <v>259</v>
      </c>
      <c r="E477" s="27" t="s">
        <v>265</v>
      </c>
      <c r="F477" s="2">
        <v>44990</v>
      </c>
      <c r="G477" t="str">
        <f t="shared" si="14"/>
        <v>Mar</v>
      </c>
      <c r="H477" t="str">
        <f t="shared" si="15"/>
        <v>2023</v>
      </c>
    </row>
    <row r="478" spans="1:8" hidden="1" x14ac:dyDescent="0.35">
      <c r="A478" t="s">
        <v>114</v>
      </c>
      <c r="B478" s="63">
        <v>1000</v>
      </c>
      <c r="C478" s="63">
        <f>Balance[[#This Row],[COST]]/147</f>
        <v>6.8027210884353737</v>
      </c>
      <c r="D478" s="1" t="s">
        <v>259</v>
      </c>
      <c r="E478" s="27" t="s">
        <v>265</v>
      </c>
      <c r="F478" s="2">
        <v>44991</v>
      </c>
      <c r="G478" t="str">
        <f t="shared" si="14"/>
        <v>Mar</v>
      </c>
      <c r="H478" t="str">
        <f t="shared" si="15"/>
        <v>2023</v>
      </c>
    </row>
    <row r="479" spans="1:8" hidden="1" x14ac:dyDescent="0.35">
      <c r="A479" t="s">
        <v>298</v>
      </c>
      <c r="B479" s="63">
        <v>520</v>
      </c>
      <c r="C479" s="63">
        <f>Balance[[#This Row],[COST]]/147</f>
        <v>3.5374149659863945</v>
      </c>
      <c r="D479" s="1" t="s">
        <v>259</v>
      </c>
      <c r="E479" s="27" t="s">
        <v>265</v>
      </c>
      <c r="F479" s="2">
        <v>44991</v>
      </c>
      <c r="G479" t="str">
        <f t="shared" ref="G479:G542" si="16">TEXT(F479,"mmm")</f>
        <v>Mar</v>
      </c>
      <c r="H479" t="str">
        <f t="shared" ref="H479:H542" si="17">TEXT(F479,"yyy")</f>
        <v>2023</v>
      </c>
    </row>
    <row r="480" spans="1:8" hidden="1" x14ac:dyDescent="0.35">
      <c r="A480" t="s">
        <v>61</v>
      </c>
      <c r="B480" s="63">
        <v>8200</v>
      </c>
      <c r="C480" s="63">
        <f>Balance[[#This Row],[COST]]/147</f>
        <v>55.782312925170068</v>
      </c>
      <c r="D480" s="1" t="s">
        <v>260</v>
      </c>
      <c r="E480" s="27" t="s">
        <v>267</v>
      </c>
      <c r="F480" s="2">
        <v>44991</v>
      </c>
      <c r="G480" t="str">
        <f t="shared" si="16"/>
        <v>Mar</v>
      </c>
      <c r="H480" t="str">
        <f t="shared" si="17"/>
        <v>2023</v>
      </c>
    </row>
    <row r="481" spans="1:10" hidden="1" x14ac:dyDescent="0.35">
      <c r="A481" t="s">
        <v>323</v>
      </c>
      <c r="B481" s="63">
        <f>Balance[[#This Row],[Cost USD]]*155</f>
        <v>10850</v>
      </c>
      <c r="C481" s="63">
        <v>70</v>
      </c>
      <c r="D481" s="1" t="s">
        <v>259</v>
      </c>
      <c r="E481" s="27" t="s">
        <v>267</v>
      </c>
      <c r="F481" s="2">
        <v>44991</v>
      </c>
      <c r="G481" t="str">
        <f t="shared" si="16"/>
        <v>Mar</v>
      </c>
      <c r="H481" t="str">
        <f t="shared" si="17"/>
        <v>2023</v>
      </c>
    </row>
    <row r="482" spans="1:10" hidden="1" x14ac:dyDescent="0.35">
      <c r="A482" t="s">
        <v>183</v>
      </c>
      <c r="B482" s="63">
        <v>3000</v>
      </c>
      <c r="C482" s="63">
        <f>Balance[[#This Row],[COST]]/147</f>
        <v>20.408163265306122</v>
      </c>
      <c r="D482" s="1" t="s">
        <v>259</v>
      </c>
      <c r="E482" s="27" t="s">
        <v>4</v>
      </c>
      <c r="F482" s="2">
        <v>44995</v>
      </c>
      <c r="G482" t="str">
        <f t="shared" si="16"/>
        <v>Mar</v>
      </c>
      <c r="H482" t="str">
        <f t="shared" si="17"/>
        <v>2023</v>
      </c>
    </row>
    <row r="483" spans="1:10" hidden="1" x14ac:dyDescent="0.35">
      <c r="A483" t="s">
        <v>302</v>
      </c>
      <c r="B483" s="63">
        <v>1000</v>
      </c>
      <c r="C483" s="63">
        <f>Balance[[#This Row],[COST]]/147</f>
        <v>6.8027210884353737</v>
      </c>
      <c r="D483" s="1" t="s">
        <v>259</v>
      </c>
      <c r="E483" s="27" t="s">
        <v>265</v>
      </c>
      <c r="F483" s="2">
        <v>44995</v>
      </c>
      <c r="G483" t="str">
        <f t="shared" si="16"/>
        <v>Mar</v>
      </c>
      <c r="H483" t="str">
        <f t="shared" si="17"/>
        <v>2023</v>
      </c>
    </row>
    <row r="484" spans="1:10" hidden="1" x14ac:dyDescent="0.35">
      <c r="A484" t="s">
        <v>284</v>
      </c>
      <c r="B484" s="63">
        <v>700</v>
      </c>
      <c r="C484" s="63">
        <f>Balance[[#This Row],[COST]]/147</f>
        <v>4.7619047619047619</v>
      </c>
      <c r="D484" s="1" t="s">
        <v>259</v>
      </c>
      <c r="E484" s="27" t="s">
        <v>265</v>
      </c>
      <c r="F484" s="2">
        <v>44995</v>
      </c>
      <c r="G484" t="str">
        <f t="shared" si="16"/>
        <v>Mar</v>
      </c>
      <c r="H484" t="str">
        <f t="shared" si="17"/>
        <v>2023</v>
      </c>
    </row>
    <row r="485" spans="1:10" hidden="1" x14ac:dyDescent="0.35">
      <c r="A485" t="s">
        <v>313</v>
      </c>
      <c r="B485" s="63">
        <v>4000</v>
      </c>
      <c r="C485" s="63">
        <f>Balance[[#This Row],[COST]]/147</f>
        <v>27.210884353741495</v>
      </c>
      <c r="D485" s="1" t="s">
        <v>259</v>
      </c>
      <c r="E485" s="27" t="s">
        <v>265</v>
      </c>
      <c r="F485" s="2">
        <v>44995</v>
      </c>
      <c r="G485" t="str">
        <f t="shared" si="16"/>
        <v>Mar</v>
      </c>
      <c r="H485" t="str">
        <f t="shared" si="17"/>
        <v>2023</v>
      </c>
    </row>
    <row r="486" spans="1:10" hidden="1" x14ac:dyDescent="0.35">
      <c r="A486" t="s">
        <v>302</v>
      </c>
      <c r="B486" s="63">
        <v>1000</v>
      </c>
      <c r="C486" s="63">
        <f>Balance[[#This Row],[COST]]/147</f>
        <v>6.8027210884353737</v>
      </c>
      <c r="D486" s="1" t="s">
        <v>259</v>
      </c>
      <c r="E486" s="27" t="s">
        <v>265</v>
      </c>
      <c r="F486" s="2">
        <v>44996</v>
      </c>
      <c r="G486" t="str">
        <f t="shared" si="16"/>
        <v>Mar</v>
      </c>
      <c r="H486" t="str">
        <f t="shared" si="17"/>
        <v>2023</v>
      </c>
    </row>
    <row r="487" spans="1:10" hidden="1" x14ac:dyDescent="0.35">
      <c r="A487" t="s">
        <v>115</v>
      </c>
      <c r="B487" s="63">
        <v>4000</v>
      </c>
      <c r="C487" s="63">
        <f>Balance[[#This Row],[COST]]/147</f>
        <v>27.210884353741495</v>
      </c>
      <c r="D487" s="1" t="s">
        <v>259</v>
      </c>
      <c r="E487" s="27" t="s">
        <v>265</v>
      </c>
      <c r="F487" s="2">
        <v>44998</v>
      </c>
      <c r="G487" t="str">
        <f t="shared" si="16"/>
        <v>Mar</v>
      </c>
      <c r="H487" t="str">
        <f t="shared" si="17"/>
        <v>2023</v>
      </c>
    </row>
    <row r="488" spans="1:10" hidden="1" x14ac:dyDescent="0.35">
      <c r="A488" t="s">
        <v>183</v>
      </c>
      <c r="B488" s="63">
        <v>3000</v>
      </c>
      <c r="C488" s="63">
        <f>Balance[[#This Row],[COST]]/147</f>
        <v>20.408163265306122</v>
      </c>
      <c r="D488" s="1" t="s">
        <v>259</v>
      </c>
      <c r="E488" s="27" t="s">
        <v>4</v>
      </c>
      <c r="F488" s="2">
        <v>44999</v>
      </c>
      <c r="G488" t="str">
        <f t="shared" si="16"/>
        <v>Mar</v>
      </c>
      <c r="H488" t="str">
        <f t="shared" si="17"/>
        <v>2023</v>
      </c>
    </row>
    <row r="489" spans="1:10" hidden="1" x14ac:dyDescent="0.35">
      <c r="A489" t="s">
        <v>229</v>
      </c>
      <c r="B489" s="45">
        <f>5.99*147</f>
        <v>880.53000000000009</v>
      </c>
      <c r="C489" s="63">
        <f>Balance[[#This Row],[COST]]/147</f>
        <v>5.99</v>
      </c>
      <c r="D489" s="1" t="s">
        <v>259</v>
      </c>
      <c r="E489" s="27" t="s">
        <v>267</v>
      </c>
      <c r="F489" s="2">
        <v>45000</v>
      </c>
      <c r="G489" t="str">
        <f t="shared" si="16"/>
        <v>Mar</v>
      </c>
      <c r="H489" t="str">
        <f t="shared" si="17"/>
        <v>2023</v>
      </c>
    </row>
    <row r="490" spans="1:10" hidden="1" x14ac:dyDescent="0.35">
      <c r="A490" t="s">
        <v>242</v>
      </c>
      <c r="B490" s="63">
        <v>1000</v>
      </c>
      <c r="C490" s="63">
        <f>Balance[[#This Row],[COST]]/147</f>
        <v>6.8027210884353737</v>
      </c>
      <c r="D490" s="1" t="s">
        <v>259</v>
      </c>
      <c r="E490" s="27" t="s">
        <v>265</v>
      </c>
      <c r="F490" s="2">
        <v>45001</v>
      </c>
      <c r="G490" t="str">
        <f t="shared" si="16"/>
        <v>Mar</v>
      </c>
      <c r="H490" t="str">
        <f t="shared" si="17"/>
        <v>2023</v>
      </c>
    </row>
    <row r="491" spans="1:10" hidden="1" x14ac:dyDescent="0.35">
      <c r="A491" t="s">
        <v>314</v>
      </c>
      <c r="B491" s="63">
        <f>Balance[[#This Row],[Cost USD]]*147</f>
        <v>2940</v>
      </c>
      <c r="C491" s="63">
        <v>20</v>
      </c>
      <c r="D491" s="1" t="s">
        <v>260</v>
      </c>
      <c r="E491" s="27" t="s">
        <v>273</v>
      </c>
      <c r="F491" s="2">
        <v>45001</v>
      </c>
      <c r="G491" t="str">
        <f t="shared" si="16"/>
        <v>Mar</v>
      </c>
      <c r="H491" t="str">
        <f t="shared" si="17"/>
        <v>2023</v>
      </c>
    </row>
    <row r="492" spans="1:10" hidden="1" x14ac:dyDescent="0.35">
      <c r="A492" t="s">
        <v>114</v>
      </c>
      <c r="B492" s="63">
        <v>1200</v>
      </c>
      <c r="C492" s="63">
        <f>Balance[[#This Row],[COST]]/147</f>
        <v>8.1632653061224492</v>
      </c>
      <c r="D492" s="1" t="s">
        <v>259</v>
      </c>
      <c r="E492" s="27" t="s">
        <v>265</v>
      </c>
      <c r="F492" s="2">
        <v>45002</v>
      </c>
      <c r="G492" t="str">
        <f t="shared" si="16"/>
        <v>Mar</v>
      </c>
      <c r="H492" t="str">
        <f t="shared" si="17"/>
        <v>2023</v>
      </c>
    </row>
    <row r="493" spans="1:10" hidden="1" x14ac:dyDescent="0.35">
      <c r="A493" t="s">
        <v>183</v>
      </c>
      <c r="B493" s="63">
        <v>1500</v>
      </c>
      <c r="C493" s="63">
        <f>Balance[[#This Row],[COST]]/147</f>
        <v>10.204081632653061</v>
      </c>
      <c r="D493" s="1" t="s">
        <v>259</v>
      </c>
      <c r="E493" s="27" t="s">
        <v>4</v>
      </c>
      <c r="F493" s="2">
        <v>45004</v>
      </c>
      <c r="G493" t="str">
        <f t="shared" si="16"/>
        <v>Mar</v>
      </c>
      <c r="H493" t="str">
        <f t="shared" si="17"/>
        <v>2023</v>
      </c>
    </row>
    <row r="494" spans="1:10" hidden="1" x14ac:dyDescent="0.35">
      <c r="A494" t="s">
        <v>315</v>
      </c>
      <c r="B494" s="63">
        <v>50000</v>
      </c>
      <c r="C494" s="63">
        <v>340</v>
      </c>
      <c r="D494" s="1" t="s">
        <v>259</v>
      </c>
      <c r="E494" s="27" t="s">
        <v>268</v>
      </c>
      <c r="F494" s="2">
        <v>45005</v>
      </c>
      <c r="G494" t="str">
        <f t="shared" si="16"/>
        <v>Mar</v>
      </c>
      <c r="H494" t="str">
        <f t="shared" si="17"/>
        <v>2023</v>
      </c>
    </row>
    <row r="495" spans="1:10" hidden="1" x14ac:dyDescent="0.35">
      <c r="A495" t="s">
        <v>58</v>
      </c>
      <c r="B495" s="63">
        <v>7507</v>
      </c>
      <c r="C495" s="63">
        <v>49</v>
      </c>
      <c r="D495" s="1" t="s">
        <v>260</v>
      </c>
      <c r="E495" s="27" t="s">
        <v>273</v>
      </c>
      <c r="F495" s="2">
        <v>45008</v>
      </c>
      <c r="G495" t="str">
        <f t="shared" si="16"/>
        <v>Mar</v>
      </c>
      <c r="H495" t="str">
        <f t="shared" si="17"/>
        <v>2023</v>
      </c>
    </row>
    <row r="496" spans="1:10" hidden="1" x14ac:dyDescent="0.35">
      <c r="A496" t="s">
        <v>316</v>
      </c>
      <c r="B496" s="63">
        <v>6000</v>
      </c>
      <c r="C496" s="63">
        <f>Balance[[#This Row],[COST]]/147</f>
        <v>40.816326530612244</v>
      </c>
      <c r="D496" s="1" t="s">
        <v>263</v>
      </c>
      <c r="E496" s="27" t="s">
        <v>274</v>
      </c>
      <c r="F496" s="2">
        <v>45008</v>
      </c>
      <c r="G496" t="str">
        <f t="shared" si="16"/>
        <v>Mar</v>
      </c>
      <c r="H496" t="str">
        <f t="shared" si="17"/>
        <v>2023</v>
      </c>
      <c r="J496">
        <v>108</v>
      </c>
    </row>
    <row r="497" spans="1:8" hidden="1" x14ac:dyDescent="0.35">
      <c r="A497" t="s">
        <v>183</v>
      </c>
      <c r="B497" s="63">
        <v>2000</v>
      </c>
      <c r="C497" s="63">
        <f>Balance[[#This Row],[COST]]/147</f>
        <v>13.605442176870747</v>
      </c>
      <c r="D497" s="1" t="s">
        <v>259</v>
      </c>
      <c r="E497" s="27" t="s">
        <v>4</v>
      </c>
      <c r="F497" s="2">
        <v>45008</v>
      </c>
      <c r="G497" t="str">
        <f t="shared" si="16"/>
        <v>Mar</v>
      </c>
      <c r="H497" t="str">
        <f t="shared" si="17"/>
        <v>2023</v>
      </c>
    </row>
    <row r="498" spans="1:8" x14ac:dyDescent="0.35">
      <c r="A498" t="s">
        <v>40</v>
      </c>
      <c r="B498" s="63">
        <v>3500</v>
      </c>
      <c r="C498" s="63">
        <f>Balance[[#This Row],[COST]]/147</f>
        <v>23.80952380952381</v>
      </c>
      <c r="D498" s="1" t="s">
        <v>689</v>
      </c>
      <c r="E498" s="27" t="s">
        <v>275</v>
      </c>
      <c r="F498" s="2">
        <v>45010</v>
      </c>
      <c r="G498" t="str">
        <f t="shared" si="16"/>
        <v>Mar</v>
      </c>
      <c r="H498" t="str">
        <f t="shared" si="17"/>
        <v>2023</v>
      </c>
    </row>
    <row r="499" spans="1:8" hidden="1" x14ac:dyDescent="0.35">
      <c r="A499" t="s">
        <v>49</v>
      </c>
      <c r="B499" s="63">
        <v>15000</v>
      </c>
      <c r="C499" s="45">
        <f>Balance[[#This Row],[COST]]/147</f>
        <v>102.04081632653062</v>
      </c>
      <c r="D499" s="1" t="s">
        <v>263</v>
      </c>
      <c r="E499" s="27" t="s">
        <v>274</v>
      </c>
      <c r="F499" s="2">
        <v>45010</v>
      </c>
      <c r="G499" t="str">
        <f t="shared" si="16"/>
        <v>Mar</v>
      </c>
      <c r="H499" t="str">
        <f t="shared" si="17"/>
        <v>2023</v>
      </c>
    </row>
    <row r="500" spans="1:8" hidden="1" x14ac:dyDescent="0.35">
      <c r="A500" t="s">
        <v>283</v>
      </c>
      <c r="B500" s="63">
        <v>57040</v>
      </c>
      <c r="C500" s="45">
        <f>Balance[[#This Row],[COST]]/147</f>
        <v>388.02721088435374</v>
      </c>
      <c r="D500" s="1" t="s">
        <v>15</v>
      </c>
      <c r="E500" s="27" t="s">
        <v>269</v>
      </c>
      <c r="F500" s="2">
        <v>45010</v>
      </c>
      <c r="G500" t="str">
        <f t="shared" si="16"/>
        <v>Mar</v>
      </c>
      <c r="H500" t="str">
        <f t="shared" si="17"/>
        <v>2023</v>
      </c>
    </row>
    <row r="501" spans="1:8" hidden="1" x14ac:dyDescent="0.35">
      <c r="A501" t="s">
        <v>105</v>
      </c>
      <c r="B501" s="63">
        <v>10000</v>
      </c>
      <c r="C501" s="45">
        <f>Balance[[#This Row],[COST]]/147</f>
        <v>68.027210884353735</v>
      </c>
      <c r="D501" s="1" t="s">
        <v>259</v>
      </c>
      <c r="E501" s="27" t="s">
        <v>265</v>
      </c>
      <c r="F501" s="2">
        <v>45010</v>
      </c>
      <c r="G501" t="str">
        <f t="shared" si="16"/>
        <v>Mar</v>
      </c>
      <c r="H501" t="str">
        <f t="shared" si="17"/>
        <v>2023</v>
      </c>
    </row>
    <row r="502" spans="1:8" hidden="1" x14ac:dyDescent="0.35">
      <c r="A502" t="s">
        <v>183</v>
      </c>
      <c r="B502" s="63">
        <v>3000</v>
      </c>
      <c r="C502" s="63">
        <f>Balance[[#This Row],[COST]]/147</f>
        <v>20.408163265306122</v>
      </c>
      <c r="D502" s="1" t="s">
        <v>259</v>
      </c>
      <c r="E502" s="27" t="s">
        <v>4</v>
      </c>
      <c r="F502" s="2">
        <v>45011</v>
      </c>
      <c r="G502" t="str">
        <f t="shared" si="16"/>
        <v>Mar</v>
      </c>
      <c r="H502" t="str">
        <f t="shared" si="17"/>
        <v>2023</v>
      </c>
    </row>
    <row r="503" spans="1:8" x14ac:dyDescent="0.35">
      <c r="A503" t="s">
        <v>39</v>
      </c>
      <c r="B503" s="63">
        <v>3000</v>
      </c>
      <c r="C503" s="63">
        <f>Balance[[#This Row],[COST]]/147</f>
        <v>20.408163265306122</v>
      </c>
      <c r="D503" s="1" t="s">
        <v>689</v>
      </c>
      <c r="E503" s="27" t="s">
        <v>275</v>
      </c>
      <c r="F503" s="2">
        <v>45012</v>
      </c>
      <c r="G503" t="str">
        <f t="shared" si="16"/>
        <v>Mar</v>
      </c>
      <c r="H503" t="str">
        <f t="shared" si="17"/>
        <v>2023</v>
      </c>
    </row>
    <row r="504" spans="1:8" x14ac:dyDescent="0.35">
      <c r="A504" t="s">
        <v>40</v>
      </c>
      <c r="B504" s="63">
        <v>900</v>
      </c>
      <c r="C504" s="63">
        <f>Balance[[#This Row],[COST]]/147</f>
        <v>6.1224489795918364</v>
      </c>
      <c r="D504" s="1" t="s">
        <v>689</v>
      </c>
      <c r="E504" s="27" t="s">
        <v>275</v>
      </c>
      <c r="F504" s="2">
        <v>45012</v>
      </c>
      <c r="G504" t="str">
        <f t="shared" si="16"/>
        <v>Mar</v>
      </c>
      <c r="H504" t="str">
        <f t="shared" si="17"/>
        <v>2023</v>
      </c>
    </row>
    <row r="505" spans="1:8" hidden="1" x14ac:dyDescent="0.35">
      <c r="A505" t="s">
        <v>114</v>
      </c>
      <c r="B505" s="63">
        <v>1000</v>
      </c>
      <c r="C505" s="63">
        <f>Balance[[#This Row],[COST]]/147</f>
        <v>6.8027210884353737</v>
      </c>
      <c r="D505" s="1" t="s">
        <v>259</v>
      </c>
      <c r="E505" s="27" t="s">
        <v>265</v>
      </c>
      <c r="F505" s="2">
        <v>45012</v>
      </c>
      <c r="G505" t="str">
        <f t="shared" si="16"/>
        <v>Mar</v>
      </c>
      <c r="H505" t="str">
        <f t="shared" si="17"/>
        <v>2023</v>
      </c>
    </row>
    <row r="506" spans="1:8" hidden="1" x14ac:dyDescent="0.35">
      <c r="A506" t="s">
        <v>42</v>
      </c>
      <c r="B506" s="63">
        <v>7884</v>
      </c>
      <c r="C506" s="45">
        <f>Balance[[#This Row],[COST]]/147</f>
        <v>53.632653061224488</v>
      </c>
      <c r="D506" s="1" t="s">
        <v>42</v>
      </c>
      <c r="E506" s="27" t="s">
        <v>270</v>
      </c>
      <c r="F506" s="2">
        <v>45013</v>
      </c>
      <c r="G506" t="str">
        <f t="shared" si="16"/>
        <v>Mar</v>
      </c>
      <c r="H506" t="str">
        <f t="shared" si="17"/>
        <v>2023</v>
      </c>
    </row>
    <row r="507" spans="1:8" hidden="1" x14ac:dyDescent="0.35">
      <c r="A507" t="s">
        <v>317</v>
      </c>
      <c r="B507" s="63">
        <f>Balance[[#This Row],[Cost USD]]*160</f>
        <v>4800</v>
      </c>
      <c r="C507" s="63">
        <v>30</v>
      </c>
      <c r="D507" s="1" t="s">
        <v>259</v>
      </c>
      <c r="E507" s="27" t="s">
        <v>4</v>
      </c>
      <c r="F507" s="2">
        <v>45014</v>
      </c>
      <c r="G507" t="str">
        <f t="shared" si="16"/>
        <v>Mar</v>
      </c>
      <c r="H507" t="str">
        <f t="shared" si="17"/>
        <v>2023</v>
      </c>
    </row>
    <row r="508" spans="1:8" hidden="1" x14ac:dyDescent="0.35">
      <c r="A508" t="s">
        <v>318</v>
      </c>
      <c r="B508" s="63">
        <f>Balance[[#This Row],[Cost USD]]*160</f>
        <v>1920</v>
      </c>
      <c r="C508" s="63">
        <v>12</v>
      </c>
      <c r="D508" s="1" t="s">
        <v>259</v>
      </c>
      <c r="E508" s="27" t="s">
        <v>265</v>
      </c>
      <c r="F508" s="2">
        <v>45014</v>
      </c>
      <c r="G508" t="str">
        <f t="shared" si="16"/>
        <v>Mar</v>
      </c>
      <c r="H508" t="str">
        <f t="shared" si="17"/>
        <v>2023</v>
      </c>
    </row>
    <row r="509" spans="1:8" hidden="1" x14ac:dyDescent="0.35">
      <c r="A509" t="s">
        <v>242</v>
      </c>
      <c r="B509" s="63">
        <f>Balance[[#This Row],[Cost USD]]*160</f>
        <v>1920</v>
      </c>
      <c r="C509" s="63">
        <v>12</v>
      </c>
      <c r="D509" s="1" t="s">
        <v>259</v>
      </c>
      <c r="E509" s="27" t="s">
        <v>265</v>
      </c>
      <c r="F509" s="2">
        <v>45014</v>
      </c>
      <c r="G509" t="str">
        <f t="shared" si="16"/>
        <v>Mar</v>
      </c>
      <c r="H509" t="str">
        <f t="shared" si="17"/>
        <v>2023</v>
      </c>
    </row>
    <row r="510" spans="1:8" x14ac:dyDescent="0.35">
      <c r="A510" t="s">
        <v>319</v>
      </c>
      <c r="B510" s="63">
        <f>Balance[[#This Row],[Cost USD]]*160</f>
        <v>1280</v>
      </c>
      <c r="C510" s="63">
        <v>8</v>
      </c>
      <c r="D510" s="1" t="s">
        <v>689</v>
      </c>
      <c r="E510" s="27" t="s">
        <v>275</v>
      </c>
      <c r="F510" s="2">
        <v>45014</v>
      </c>
      <c r="G510" t="str">
        <f t="shared" si="16"/>
        <v>Mar</v>
      </c>
      <c r="H510" t="str">
        <f t="shared" si="17"/>
        <v>2023</v>
      </c>
    </row>
    <row r="511" spans="1:8" hidden="1" x14ac:dyDescent="0.35">
      <c r="A511" t="s">
        <v>321</v>
      </c>
      <c r="B511" s="63">
        <f>Balance[[#This Row],[Cost USD]]*155</f>
        <v>15500</v>
      </c>
      <c r="C511" s="63">
        <v>100</v>
      </c>
      <c r="D511" s="1" t="s">
        <v>259</v>
      </c>
      <c r="E511" s="27" t="s">
        <v>268</v>
      </c>
      <c r="F511" s="2">
        <v>45020</v>
      </c>
      <c r="G511" t="str">
        <f t="shared" si="16"/>
        <v>Apr</v>
      </c>
      <c r="H511" t="str">
        <f t="shared" si="17"/>
        <v>2023</v>
      </c>
    </row>
    <row r="512" spans="1:8" hidden="1" x14ac:dyDescent="0.35">
      <c r="A512" t="s">
        <v>322</v>
      </c>
      <c r="B512" s="63">
        <f>Balance[[#This Row],[Cost USD]]*155</f>
        <v>1240</v>
      </c>
      <c r="C512" s="63">
        <v>8</v>
      </c>
      <c r="D512" s="1" t="s">
        <v>259</v>
      </c>
      <c r="E512" s="27" t="s">
        <v>268</v>
      </c>
      <c r="F512" s="2">
        <v>45020</v>
      </c>
      <c r="G512" t="str">
        <f t="shared" si="16"/>
        <v>Apr</v>
      </c>
      <c r="H512" t="str">
        <f t="shared" si="17"/>
        <v>2023</v>
      </c>
    </row>
    <row r="513" spans="1:10" hidden="1" x14ac:dyDescent="0.35">
      <c r="A513" t="s">
        <v>320</v>
      </c>
      <c r="B513" s="63">
        <f>Balance[[#This Row],[Cost USD]]*155</f>
        <v>3720</v>
      </c>
      <c r="C513" s="63">
        <v>24</v>
      </c>
      <c r="D513" s="1" t="s">
        <v>259</v>
      </c>
      <c r="E513" s="27" t="s">
        <v>4</v>
      </c>
      <c r="F513" s="2">
        <v>45020</v>
      </c>
      <c r="G513" t="str">
        <f t="shared" si="16"/>
        <v>Apr</v>
      </c>
      <c r="H513" t="str">
        <f t="shared" si="17"/>
        <v>2023</v>
      </c>
    </row>
    <row r="514" spans="1:10" hidden="1" x14ac:dyDescent="0.35">
      <c r="A514" t="s">
        <v>320</v>
      </c>
      <c r="B514" s="63">
        <f>Balance[[#This Row],[Cost USD]]*155</f>
        <v>6200</v>
      </c>
      <c r="C514" s="63">
        <v>40</v>
      </c>
      <c r="D514" s="1" t="s">
        <v>259</v>
      </c>
      <c r="E514" s="27" t="s">
        <v>4</v>
      </c>
      <c r="F514" s="2">
        <v>45023</v>
      </c>
      <c r="G514" t="str">
        <f t="shared" si="16"/>
        <v>Apr</v>
      </c>
      <c r="H514" t="str">
        <f t="shared" si="17"/>
        <v>2023</v>
      </c>
      <c r="J514" s="24">
        <f>C518+C517+C510+C507</f>
        <v>170</v>
      </c>
    </row>
    <row r="515" spans="1:10" hidden="1" x14ac:dyDescent="0.35">
      <c r="A515" t="s">
        <v>324</v>
      </c>
      <c r="B515" s="63">
        <f>Balance[[#This Row],[Cost USD]]*155</f>
        <v>28365</v>
      </c>
      <c r="C515" s="63">
        <v>183</v>
      </c>
      <c r="D515" s="1" t="s">
        <v>259</v>
      </c>
      <c r="E515" s="27" t="s">
        <v>268</v>
      </c>
      <c r="F515" s="2">
        <v>45023</v>
      </c>
      <c r="G515" t="str">
        <f t="shared" si="16"/>
        <v>Apr</v>
      </c>
      <c r="H515" t="str">
        <f t="shared" si="17"/>
        <v>2023</v>
      </c>
    </row>
    <row r="516" spans="1:10" hidden="1" x14ac:dyDescent="0.35">
      <c r="A516" t="s">
        <v>325</v>
      </c>
      <c r="B516" s="63">
        <f>Balance[[#This Row],[Cost USD]]*155</f>
        <v>7440</v>
      </c>
      <c r="C516" s="63">
        <v>48</v>
      </c>
      <c r="D516" s="1" t="s">
        <v>259</v>
      </c>
      <c r="E516" s="27" t="s">
        <v>268</v>
      </c>
      <c r="F516" s="2">
        <v>45023</v>
      </c>
      <c r="G516" t="str">
        <f t="shared" si="16"/>
        <v>Apr</v>
      </c>
      <c r="H516" t="str">
        <f t="shared" si="17"/>
        <v>2023</v>
      </c>
      <c r="J516" s="24">
        <f>SUM(C503:C518)-70</f>
        <v>613.96598639455783</v>
      </c>
    </row>
    <row r="517" spans="1:10" hidden="1" x14ac:dyDescent="0.35">
      <c r="A517" t="s">
        <v>326</v>
      </c>
      <c r="B517" s="63">
        <f>Balance[[#This Row],[Cost USD]]*155</f>
        <v>12400</v>
      </c>
      <c r="C517" s="63">
        <v>80</v>
      </c>
      <c r="D517" s="1" t="s">
        <v>259</v>
      </c>
      <c r="E517" s="27" t="s">
        <v>268</v>
      </c>
      <c r="F517" s="2">
        <v>45023</v>
      </c>
      <c r="G517" t="str">
        <f t="shared" si="16"/>
        <v>Apr</v>
      </c>
      <c r="H517" t="str">
        <f t="shared" si="17"/>
        <v>2023</v>
      </c>
    </row>
    <row r="518" spans="1:10" hidden="1" x14ac:dyDescent="0.35">
      <c r="A518" t="s">
        <v>329</v>
      </c>
      <c r="B518" s="63">
        <f>Balance[[#This Row],[Cost USD]]*155</f>
        <v>8060</v>
      </c>
      <c r="C518" s="63">
        <v>52</v>
      </c>
      <c r="D518" s="1" t="s">
        <v>259</v>
      </c>
      <c r="E518" s="27" t="s">
        <v>268</v>
      </c>
      <c r="F518" s="2">
        <v>45023</v>
      </c>
      <c r="G518" t="str">
        <f t="shared" si="16"/>
        <v>Apr</v>
      </c>
      <c r="H518" t="str">
        <f t="shared" si="17"/>
        <v>2023</v>
      </c>
      <c r="J518" s="24">
        <f>J516-J514</f>
        <v>443.96598639455783</v>
      </c>
    </row>
    <row r="519" spans="1:10" hidden="1" x14ac:dyDescent="0.35">
      <c r="A519" t="s">
        <v>67</v>
      </c>
      <c r="B519" s="63">
        <f>Balance[[#This Row],[Cost USD]]*155</f>
        <v>1860</v>
      </c>
      <c r="C519" s="1">
        <v>12</v>
      </c>
      <c r="D519" s="1" t="s">
        <v>259</v>
      </c>
      <c r="E519" s="27" t="s">
        <v>265</v>
      </c>
      <c r="F519" s="2">
        <v>45023</v>
      </c>
      <c r="G519" t="str">
        <f t="shared" si="16"/>
        <v>Apr</v>
      </c>
      <c r="H519" t="str">
        <f t="shared" si="17"/>
        <v>2023</v>
      </c>
    </row>
    <row r="520" spans="1:10" hidden="1" x14ac:dyDescent="0.35">
      <c r="A520" t="s">
        <v>327</v>
      </c>
      <c r="B520" s="63">
        <f>Balance[[#This Row],[Cost USD]]*155</f>
        <v>4908.8500000000004</v>
      </c>
      <c r="C520" s="63">
        <v>31.67</v>
      </c>
      <c r="D520" s="1" t="s">
        <v>259</v>
      </c>
      <c r="E520" s="27" t="s">
        <v>265</v>
      </c>
      <c r="F520" s="2">
        <v>45023</v>
      </c>
      <c r="G520" t="str">
        <f t="shared" si="16"/>
        <v>Apr</v>
      </c>
      <c r="H520" t="str">
        <f t="shared" si="17"/>
        <v>2023</v>
      </c>
    </row>
    <row r="521" spans="1:10" hidden="1" x14ac:dyDescent="0.35">
      <c r="A521" t="s">
        <v>328</v>
      </c>
      <c r="B521" s="63">
        <f>Balance[[#This Row],[Cost USD]]*155</f>
        <v>2233.5500000000002</v>
      </c>
      <c r="C521" s="63">
        <v>14.41</v>
      </c>
      <c r="D521" s="1" t="s">
        <v>259</v>
      </c>
      <c r="E521" s="27" t="s">
        <v>265</v>
      </c>
      <c r="F521" s="2">
        <v>45024</v>
      </c>
      <c r="G521" t="str">
        <f t="shared" si="16"/>
        <v>Apr</v>
      </c>
      <c r="H521" t="str">
        <f t="shared" si="17"/>
        <v>2023</v>
      </c>
      <c r="J521" s="24">
        <f>SUM(C503:C521)-100</f>
        <v>642.04598639455776</v>
      </c>
    </row>
    <row r="522" spans="1:10" hidden="1" x14ac:dyDescent="0.35">
      <c r="A522" t="s">
        <v>324</v>
      </c>
      <c r="B522" s="63">
        <f>Balance[[#This Row],[Cost USD]]*155</f>
        <v>12400</v>
      </c>
      <c r="C522" s="63">
        <v>80</v>
      </c>
      <c r="D522" s="1" t="s">
        <v>259</v>
      </c>
      <c r="E522" s="27" t="s">
        <v>268</v>
      </c>
      <c r="F522" s="2">
        <v>45026</v>
      </c>
      <c r="G522" t="str">
        <f t="shared" si="16"/>
        <v>Apr</v>
      </c>
      <c r="H522" t="str">
        <f t="shared" si="17"/>
        <v>2023</v>
      </c>
      <c r="J522" s="24"/>
    </row>
    <row r="523" spans="1:10" hidden="1" x14ac:dyDescent="0.35">
      <c r="A523" t="s">
        <v>325</v>
      </c>
      <c r="B523" s="63">
        <f>Balance[[#This Row],[Cost USD]]*155</f>
        <v>5735</v>
      </c>
      <c r="C523" s="63">
        <v>37</v>
      </c>
      <c r="D523" s="1" t="s">
        <v>259</v>
      </c>
      <c r="E523" s="27" t="s">
        <v>268</v>
      </c>
      <c r="F523" s="2">
        <v>45026</v>
      </c>
      <c r="G523" t="str">
        <f t="shared" si="16"/>
        <v>Apr</v>
      </c>
      <c r="H523" t="str">
        <f t="shared" si="17"/>
        <v>2023</v>
      </c>
    </row>
    <row r="524" spans="1:10" hidden="1" x14ac:dyDescent="0.35">
      <c r="A524" t="s">
        <v>320</v>
      </c>
      <c r="B524" s="63">
        <f>Balance[[#This Row],[Cost USD]]*155</f>
        <v>7905</v>
      </c>
      <c r="C524" s="63">
        <v>51</v>
      </c>
      <c r="D524" s="1" t="s">
        <v>259</v>
      </c>
      <c r="E524" s="27" t="s">
        <v>4</v>
      </c>
      <c r="F524" s="2">
        <v>45026</v>
      </c>
      <c r="G524" t="str">
        <f t="shared" si="16"/>
        <v>Apr</v>
      </c>
      <c r="H524" t="str">
        <f t="shared" si="17"/>
        <v>2023</v>
      </c>
    </row>
    <row r="525" spans="1:10" hidden="1" x14ac:dyDescent="0.35">
      <c r="A525" t="s">
        <v>314</v>
      </c>
      <c r="B525" s="63">
        <f>Balance[[#This Row],[Cost USD]]*147</f>
        <v>2940</v>
      </c>
      <c r="C525" s="63">
        <v>20</v>
      </c>
      <c r="D525" s="63" t="s">
        <v>260</v>
      </c>
      <c r="E525" s="27" t="s">
        <v>273</v>
      </c>
      <c r="F525" s="2">
        <v>45029</v>
      </c>
      <c r="G525" t="str">
        <f t="shared" si="16"/>
        <v>Apr</v>
      </c>
      <c r="H525" t="str">
        <f t="shared" si="17"/>
        <v>2023</v>
      </c>
    </row>
    <row r="526" spans="1:10" hidden="1" x14ac:dyDescent="0.35">
      <c r="A526" t="s">
        <v>342</v>
      </c>
      <c r="B526" s="63">
        <v>24500</v>
      </c>
      <c r="C526" s="63">
        <f>Balance[[#This Row],[COST]]/147</f>
        <v>166.66666666666666</v>
      </c>
      <c r="D526" s="1" t="s">
        <v>263</v>
      </c>
      <c r="E526" s="27" t="s">
        <v>274</v>
      </c>
      <c r="F526" s="2">
        <v>45029</v>
      </c>
      <c r="G526" t="str">
        <f t="shared" si="16"/>
        <v>Apr</v>
      </c>
      <c r="H526" t="str">
        <f t="shared" si="17"/>
        <v>2023</v>
      </c>
    </row>
    <row r="527" spans="1:10" hidden="1" x14ac:dyDescent="0.35">
      <c r="A527" t="s">
        <v>229</v>
      </c>
      <c r="B527" s="63">
        <f>Balance[[#This Row],[Cost USD]]*155</f>
        <v>928.45</v>
      </c>
      <c r="C527" s="63">
        <v>5.99</v>
      </c>
      <c r="D527" s="1" t="s">
        <v>259</v>
      </c>
      <c r="E527" s="27" t="s">
        <v>267</v>
      </c>
      <c r="F527" s="2">
        <v>45031</v>
      </c>
      <c r="G527" t="str">
        <f t="shared" si="16"/>
        <v>Apr</v>
      </c>
      <c r="H527" t="str">
        <f t="shared" si="17"/>
        <v>2023</v>
      </c>
    </row>
    <row r="528" spans="1:10" hidden="1" x14ac:dyDescent="0.35">
      <c r="A528" t="s">
        <v>330</v>
      </c>
      <c r="B528" s="63">
        <f>Balance[[#This Row],[Cost USD]]*155</f>
        <v>2325</v>
      </c>
      <c r="C528" s="63">
        <v>15</v>
      </c>
      <c r="D528" s="1" t="s">
        <v>259</v>
      </c>
      <c r="E528" s="27" t="s">
        <v>265</v>
      </c>
      <c r="F528" s="2">
        <v>45033</v>
      </c>
      <c r="G528" t="str">
        <f t="shared" si="16"/>
        <v>Apr</v>
      </c>
      <c r="H528" t="str">
        <f t="shared" si="17"/>
        <v>2023</v>
      </c>
    </row>
    <row r="529" spans="1:8" hidden="1" x14ac:dyDescent="0.35">
      <c r="A529" t="s">
        <v>320</v>
      </c>
      <c r="B529" s="63">
        <f>Balance[[#This Row],[Cost USD]]*155</f>
        <v>4650</v>
      </c>
      <c r="C529" s="63">
        <v>30</v>
      </c>
      <c r="D529" s="1" t="s">
        <v>259</v>
      </c>
      <c r="E529" s="27" t="s">
        <v>4</v>
      </c>
      <c r="F529" s="2">
        <v>45034</v>
      </c>
      <c r="G529" t="str">
        <f t="shared" si="16"/>
        <v>Apr</v>
      </c>
      <c r="H529" t="str">
        <f t="shared" si="17"/>
        <v>2023</v>
      </c>
    </row>
    <row r="530" spans="1:8" hidden="1" x14ac:dyDescent="0.35">
      <c r="A530" t="s">
        <v>331</v>
      </c>
      <c r="B530" s="63">
        <f>Balance[[#This Row],[Cost USD]]*155</f>
        <v>4650</v>
      </c>
      <c r="C530" s="63">
        <v>30</v>
      </c>
      <c r="D530" s="1" t="s">
        <v>259</v>
      </c>
      <c r="E530" s="27" t="s">
        <v>4</v>
      </c>
      <c r="F530" s="2">
        <v>45035</v>
      </c>
      <c r="G530" t="str">
        <f t="shared" si="16"/>
        <v>Apr</v>
      </c>
      <c r="H530" t="str">
        <f t="shared" si="17"/>
        <v>2023</v>
      </c>
    </row>
    <row r="531" spans="1:8" hidden="1" x14ac:dyDescent="0.35">
      <c r="A531" t="s">
        <v>332</v>
      </c>
      <c r="B531" s="63">
        <f>Balance[[#This Row],[Cost USD]]*155</f>
        <v>3565</v>
      </c>
      <c r="C531" s="63">
        <v>23</v>
      </c>
      <c r="D531" s="1" t="s">
        <v>259</v>
      </c>
      <c r="E531" s="27" t="s">
        <v>265</v>
      </c>
      <c r="F531" s="2">
        <v>45035</v>
      </c>
      <c r="G531" t="str">
        <f t="shared" si="16"/>
        <v>Apr</v>
      </c>
      <c r="H531" t="str">
        <f t="shared" si="17"/>
        <v>2023</v>
      </c>
    </row>
    <row r="532" spans="1:8" hidden="1" x14ac:dyDescent="0.35">
      <c r="A532" t="s">
        <v>183</v>
      </c>
      <c r="B532" s="63">
        <v>3000</v>
      </c>
      <c r="C532" s="63">
        <f>Balance[[#This Row],[COST]]/147</f>
        <v>20.408163265306122</v>
      </c>
      <c r="D532" s="1" t="s">
        <v>259</v>
      </c>
      <c r="E532" s="27" t="s">
        <v>4</v>
      </c>
      <c r="F532" s="2">
        <v>45037</v>
      </c>
      <c r="G532" t="str">
        <f t="shared" si="16"/>
        <v>Apr</v>
      </c>
      <c r="H532" t="str">
        <f t="shared" si="17"/>
        <v>2023</v>
      </c>
    </row>
    <row r="533" spans="1:8" hidden="1" x14ac:dyDescent="0.35">
      <c r="A533" t="s">
        <v>114</v>
      </c>
      <c r="B533" s="63">
        <v>2000</v>
      </c>
      <c r="C533" s="63">
        <f>Balance[[#This Row],[COST]]/147</f>
        <v>13.605442176870747</v>
      </c>
      <c r="D533" s="1" t="s">
        <v>259</v>
      </c>
      <c r="E533" s="27" t="s">
        <v>265</v>
      </c>
      <c r="F533" s="2">
        <v>45038</v>
      </c>
      <c r="G533" t="str">
        <f t="shared" si="16"/>
        <v>Apr</v>
      </c>
      <c r="H533" t="str">
        <f t="shared" si="17"/>
        <v>2023</v>
      </c>
    </row>
    <row r="534" spans="1:8" hidden="1" x14ac:dyDescent="0.35">
      <c r="A534" t="s">
        <v>105</v>
      </c>
      <c r="B534" s="63">
        <v>10000</v>
      </c>
      <c r="C534" s="45">
        <f>Balance[[#This Row],[COST]]/147</f>
        <v>68.027210884353735</v>
      </c>
      <c r="D534" s="1" t="s">
        <v>259</v>
      </c>
      <c r="E534" s="27" t="s">
        <v>265</v>
      </c>
      <c r="F534" s="2">
        <v>45041</v>
      </c>
      <c r="G534" t="str">
        <f t="shared" si="16"/>
        <v>Apr</v>
      </c>
      <c r="H534" t="str">
        <f t="shared" si="17"/>
        <v>2023</v>
      </c>
    </row>
    <row r="535" spans="1:8" hidden="1" x14ac:dyDescent="0.35">
      <c r="A535" t="s">
        <v>129</v>
      </c>
      <c r="B535" s="63">
        <v>1000</v>
      </c>
      <c r="C535" s="63">
        <f>Balance[[#This Row],[COST]]/147</f>
        <v>6.8027210884353737</v>
      </c>
      <c r="D535" s="1" t="s">
        <v>259</v>
      </c>
      <c r="E535" s="27" t="s">
        <v>265</v>
      </c>
      <c r="F535" s="2">
        <v>45042</v>
      </c>
      <c r="G535" t="str">
        <f t="shared" si="16"/>
        <v>Apr</v>
      </c>
      <c r="H535" t="str">
        <f t="shared" si="17"/>
        <v>2023</v>
      </c>
    </row>
    <row r="536" spans="1:8" hidden="1" x14ac:dyDescent="0.35">
      <c r="A536" t="s">
        <v>67</v>
      </c>
      <c r="B536" s="63">
        <v>1000</v>
      </c>
      <c r="C536" s="63">
        <f>Balance[[#This Row],[COST]]/147</f>
        <v>6.8027210884353737</v>
      </c>
      <c r="D536" s="1" t="s">
        <v>259</v>
      </c>
      <c r="E536" s="27" t="s">
        <v>265</v>
      </c>
      <c r="F536" s="2">
        <v>45043</v>
      </c>
      <c r="G536" t="str">
        <f t="shared" si="16"/>
        <v>Apr</v>
      </c>
      <c r="H536" t="str">
        <f t="shared" si="17"/>
        <v>2023</v>
      </c>
    </row>
    <row r="537" spans="1:8" hidden="1" x14ac:dyDescent="0.35">
      <c r="A537" t="s">
        <v>67</v>
      </c>
      <c r="B537" s="63">
        <v>1300</v>
      </c>
      <c r="C537" s="63">
        <f>Balance[[#This Row],[COST]]/147</f>
        <v>8.8435374149659864</v>
      </c>
      <c r="D537" s="1" t="s">
        <v>259</v>
      </c>
      <c r="E537" s="27" t="s">
        <v>265</v>
      </c>
      <c r="F537" s="2">
        <v>45044</v>
      </c>
      <c r="G537" t="str">
        <f t="shared" si="16"/>
        <v>Apr</v>
      </c>
      <c r="H537" t="str">
        <f t="shared" si="17"/>
        <v>2023</v>
      </c>
    </row>
    <row r="538" spans="1:8" hidden="1" x14ac:dyDescent="0.35">
      <c r="A538" t="s">
        <v>115</v>
      </c>
      <c r="B538" s="63">
        <v>1000</v>
      </c>
      <c r="C538" s="63">
        <f>Balance[[#This Row],[COST]]/147</f>
        <v>6.8027210884353737</v>
      </c>
      <c r="D538" s="1" t="s">
        <v>259</v>
      </c>
      <c r="E538" s="27" t="s">
        <v>265</v>
      </c>
      <c r="F538" s="2">
        <v>45044</v>
      </c>
      <c r="G538" t="str">
        <f t="shared" si="16"/>
        <v>Apr</v>
      </c>
      <c r="H538" t="str">
        <f t="shared" si="17"/>
        <v>2023</v>
      </c>
    </row>
    <row r="539" spans="1:8" hidden="1" x14ac:dyDescent="0.35">
      <c r="A539" t="s">
        <v>283</v>
      </c>
      <c r="B539" s="63">
        <v>57040</v>
      </c>
      <c r="C539" s="45">
        <f>Balance[[#This Row],[COST]]/147</f>
        <v>388.02721088435374</v>
      </c>
      <c r="D539" s="1" t="s">
        <v>15</v>
      </c>
      <c r="E539" s="27" t="s">
        <v>269</v>
      </c>
      <c r="F539" s="2">
        <v>45044</v>
      </c>
      <c r="G539" t="str">
        <f t="shared" si="16"/>
        <v>Apr</v>
      </c>
      <c r="H539" t="str">
        <f t="shared" si="17"/>
        <v>2023</v>
      </c>
    </row>
    <row r="540" spans="1:8" hidden="1" x14ac:dyDescent="0.35">
      <c r="A540" t="s">
        <v>42</v>
      </c>
      <c r="B540" s="63">
        <v>7884</v>
      </c>
      <c r="C540" s="63">
        <f>Balance[[#This Row],[COST]]/147</f>
        <v>53.632653061224488</v>
      </c>
      <c r="D540" s="1" t="s">
        <v>42</v>
      </c>
      <c r="E540" s="27" t="s">
        <v>270</v>
      </c>
      <c r="F540" s="2">
        <v>45044</v>
      </c>
      <c r="G540" t="str">
        <f t="shared" si="16"/>
        <v>Apr</v>
      </c>
      <c r="H540" t="str">
        <f t="shared" si="17"/>
        <v>2023</v>
      </c>
    </row>
    <row r="541" spans="1:8" hidden="1" x14ac:dyDescent="0.35">
      <c r="A541" t="s">
        <v>183</v>
      </c>
      <c r="B541" s="63">
        <v>3000</v>
      </c>
      <c r="C541" s="63">
        <f>Balance[[#This Row],[COST]]/147</f>
        <v>20.408163265306122</v>
      </c>
      <c r="D541" s="1" t="s">
        <v>259</v>
      </c>
      <c r="E541" s="27" t="s">
        <v>4</v>
      </c>
      <c r="F541" s="2">
        <v>45045</v>
      </c>
      <c r="G541" t="str">
        <f t="shared" si="16"/>
        <v>Apr</v>
      </c>
      <c r="H541" t="str">
        <f t="shared" si="17"/>
        <v>2023</v>
      </c>
    </row>
    <row r="542" spans="1:8" hidden="1" x14ac:dyDescent="0.35">
      <c r="A542" t="s">
        <v>129</v>
      </c>
      <c r="B542" s="63">
        <v>2000</v>
      </c>
      <c r="C542" s="63">
        <f>Balance[[#This Row],[COST]]/147</f>
        <v>13.605442176870747</v>
      </c>
      <c r="D542" s="1" t="s">
        <v>259</v>
      </c>
      <c r="E542" s="27" t="s">
        <v>265</v>
      </c>
      <c r="F542" s="2">
        <v>45045</v>
      </c>
      <c r="G542" t="str">
        <f t="shared" si="16"/>
        <v>Apr</v>
      </c>
      <c r="H542" t="str">
        <f t="shared" si="17"/>
        <v>2023</v>
      </c>
    </row>
    <row r="543" spans="1:8" hidden="1" x14ac:dyDescent="0.35">
      <c r="A543" t="s">
        <v>336</v>
      </c>
      <c r="B543" s="63">
        <v>1000</v>
      </c>
      <c r="C543" s="63">
        <f>Balance[[#This Row],[COST]]/147</f>
        <v>6.8027210884353737</v>
      </c>
      <c r="D543" s="1" t="s">
        <v>515</v>
      </c>
      <c r="E543" s="27" t="s">
        <v>204</v>
      </c>
      <c r="F543" s="2">
        <v>45045</v>
      </c>
      <c r="G543" t="str">
        <f t="shared" ref="G543:G606" si="18">TEXT(F543,"mmm")</f>
        <v>Apr</v>
      </c>
      <c r="H543" t="str">
        <f t="shared" ref="H543:H606" si="19">TEXT(F543,"yyy")</f>
        <v>2023</v>
      </c>
    </row>
    <row r="544" spans="1:8" hidden="1" x14ac:dyDescent="0.35">
      <c r="A544" t="s">
        <v>191</v>
      </c>
      <c r="B544" s="63">
        <v>2000</v>
      </c>
      <c r="C544" s="63">
        <f>Balance[[#This Row],[COST]]/147</f>
        <v>13.605442176870747</v>
      </c>
      <c r="D544" s="1" t="s">
        <v>259</v>
      </c>
      <c r="E544" s="27" t="s">
        <v>4</v>
      </c>
      <c r="F544" s="2">
        <v>45045</v>
      </c>
      <c r="G544" t="str">
        <f t="shared" si="18"/>
        <v>Apr</v>
      </c>
      <c r="H544" t="str">
        <f t="shared" si="19"/>
        <v>2023</v>
      </c>
    </row>
    <row r="545" spans="1:8" hidden="1" x14ac:dyDescent="0.35">
      <c r="A545" t="s">
        <v>67</v>
      </c>
      <c r="B545" s="63">
        <v>2000</v>
      </c>
      <c r="C545" s="63">
        <f>Balance[[#This Row],[COST]]/147</f>
        <v>13.605442176870747</v>
      </c>
      <c r="D545" s="1" t="s">
        <v>259</v>
      </c>
      <c r="E545" s="27" t="s">
        <v>265</v>
      </c>
      <c r="F545" s="2">
        <v>45051</v>
      </c>
      <c r="G545" t="str">
        <f t="shared" si="18"/>
        <v>May</v>
      </c>
      <c r="H545" t="str">
        <f t="shared" si="19"/>
        <v>2023</v>
      </c>
    </row>
    <row r="546" spans="1:8" hidden="1" x14ac:dyDescent="0.35">
      <c r="A546" t="s">
        <v>183</v>
      </c>
      <c r="B546" s="63">
        <v>3000</v>
      </c>
      <c r="C546" s="63">
        <f>Balance[[#This Row],[COST]]/147</f>
        <v>20.408163265306122</v>
      </c>
      <c r="D546" s="1" t="s">
        <v>259</v>
      </c>
      <c r="E546" s="27" t="s">
        <v>4</v>
      </c>
      <c r="F546" s="2">
        <v>45052</v>
      </c>
      <c r="G546" t="str">
        <f t="shared" si="18"/>
        <v>May</v>
      </c>
      <c r="H546" t="str">
        <f t="shared" si="19"/>
        <v>2023</v>
      </c>
    </row>
    <row r="547" spans="1:8" hidden="1" x14ac:dyDescent="0.35">
      <c r="A547" t="s">
        <v>296</v>
      </c>
      <c r="B547" s="63">
        <v>700</v>
      </c>
      <c r="C547" s="63">
        <f>Balance[[#This Row],[COST]]/147</f>
        <v>4.7619047619047619</v>
      </c>
      <c r="D547" s="1" t="s">
        <v>259</v>
      </c>
      <c r="E547" s="27" t="s">
        <v>265</v>
      </c>
      <c r="F547" s="2">
        <v>45052</v>
      </c>
      <c r="G547" t="str">
        <f t="shared" si="18"/>
        <v>May</v>
      </c>
      <c r="H547" t="str">
        <f t="shared" si="19"/>
        <v>2023</v>
      </c>
    </row>
    <row r="548" spans="1:8" hidden="1" x14ac:dyDescent="0.35">
      <c r="A548" t="s">
        <v>115</v>
      </c>
      <c r="B548" s="63">
        <v>560</v>
      </c>
      <c r="C548" s="63">
        <f>Balance[[#This Row],[COST]]/147</f>
        <v>3.8095238095238093</v>
      </c>
      <c r="D548" s="1" t="s">
        <v>259</v>
      </c>
      <c r="E548" s="27" t="s">
        <v>265</v>
      </c>
      <c r="F548" s="2">
        <v>45054</v>
      </c>
      <c r="G548" t="str">
        <f t="shared" si="18"/>
        <v>May</v>
      </c>
      <c r="H548" t="str">
        <f t="shared" si="19"/>
        <v>2023</v>
      </c>
    </row>
    <row r="549" spans="1:8" hidden="1" x14ac:dyDescent="0.35">
      <c r="A549" t="s">
        <v>115</v>
      </c>
      <c r="B549" s="63">
        <v>600</v>
      </c>
      <c r="C549" s="63">
        <f>Balance[[#This Row],[COST]]/147</f>
        <v>4.0816326530612246</v>
      </c>
      <c r="D549" s="1" t="s">
        <v>259</v>
      </c>
      <c r="E549" s="27" t="s">
        <v>265</v>
      </c>
      <c r="F549" s="2">
        <v>45056</v>
      </c>
      <c r="G549" t="str">
        <f t="shared" si="18"/>
        <v>May</v>
      </c>
      <c r="H549" t="str">
        <f t="shared" si="19"/>
        <v>2023</v>
      </c>
    </row>
    <row r="550" spans="1:8" hidden="1" x14ac:dyDescent="0.35">
      <c r="A550" t="s">
        <v>312</v>
      </c>
      <c r="B550" s="63">
        <f>Balance[[#This Row],[Cost USD]]*147</f>
        <v>46011</v>
      </c>
      <c r="C550" s="63">
        <v>313</v>
      </c>
      <c r="D550" s="1" t="s">
        <v>259</v>
      </c>
      <c r="E550" s="27" t="s">
        <v>4</v>
      </c>
      <c r="F550" s="2">
        <v>45056</v>
      </c>
      <c r="G550" t="str">
        <f t="shared" si="18"/>
        <v>May</v>
      </c>
      <c r="H550" t="str">
        <f t="shared" si="19"/>
        <v>2023</v>
      </c>
    </row>
    <row r="551" spans="1:8" hidden="1" x14ac:dyDescent="0.35">
      <c r="A551" t="s">
        <v>183</v>
      </c>
      <c r="B551" s="63">
        <v>4000</v>
      </c>
      <c r="C551" s="63">
        <f>Balance[[#This Row],[COST]]/147</f>
        <v>27.210884353741495</v>
      </c>
      <c r="D551" s="1" t="s">
        <v>259</v>
      </c>
      <c r="E551" s="27" t="s">
        <v>4</v>
      </c>
      <c r="F551" s="2">
        <v>45059</v>
      </c>
      <c r="G551" t="str">
        <f t="shared" si="18"/>
        <v>May</v>
      </c>
      <c r="H551" t="str">
        <f t="shared" si="19"/>
        <v>2023</v>
      </c>
    </row>
    <row r="552" spans="1:8" hidden="1" x14ac:dyDescent="0.35">
      <c r="A552" t="s">
        <v>215</v>
      </c>
      <c r="B552" s="63">
        <v>4000</v>
      </c>
      <c r="C552" s="63">
        <f>Balance[[#This Row],[COST]]/147</f>
        <v>27.210884353741495</v>
      </c>
      <c r="D552" s="1" t="s">
        <v>259</v>
      </c>
      <c r="E552" s="27" t="s">
        <v>265</v>
      </c>
      <c r="F552" s="2">
        <v>45059</v>
      </c>
      <c r="G552" t="str">
        <f t="shared" si="18"/>
        <v>May</v>
      </c>
      <c r="H552" t="str">
        <f t="shared" si="19"/>
        <v>2023</v>
      </c>
    </row>
    <row r="553" spans="1:8" hidden="1" x14ac:dyDescent="0.35">
      <c r="A553" t="s">
        <v>314</v>
      </c>
      <c r="B553" s="63">
        <f>Balance[[#This Row],[Cost USD]]*147</f>
        <v>5733</v>
      </c>
      <c r="C553" s="63">
        <v>39</v>
      </c>
      <c r="D553" s="1" t="s">
        <v>260</v>
      </c>
      <c r="E553" s="27" t="s">
        <v>273</v>
      </c>
      <c r="F553" s="2">
        <v>45059</v>
      </c>
      <c r="G553" t="str">
        <f t="shared" si="18"/>
        <v>May</v>
      </c>
      <c r="H553" t="str">
        <f t="shared" si="19"/>
        <v>2023</v>
      </c>
    </row>
    <row r="554" spans="1:8" hidden="1" x14ac:dyDescent="0.35">
      <c r="A554" t="s">
        <v>337</v>
      </c>
      <c r="B554" s="63">
        <v>10000</v>
      </c>
      <c r="C554" s="63">
        <f>Balance[[#This Row],[COST]]/147</f>
        <v>68.027210884353735</v>
      </c>
      <c r="D554" s="1" t="s">
        <v>263</v>
      </c>
      <c r="E554" s="27" t="s">
        <v>274</v>
      </c>
      <c r="F554" s="2">
        <v>45060</v>
      </c>
      <c r="G554" t="str">
        <f t="shared" si="18"/>
        <v>May</v>
      </c>
      <c r="H554" t="str">
        <f t="shared" si="19"/>
        <v>2023</v>
      </c>
    </row>
    <row r="555" spans="1:8" hidden="1" x14ac:dyDescent="0.35">
      <c r="A555" t="s">
        <v>229</v>
      </c>
      <c r="B555" s="63">
        <f>Balance[[#This Row],[Cost USD]]*147</f>
        <v>880.53000000000009</v>
      </c>
      <c r="C555" s="63">
        <v>5.99</v>
      </c>
      <c r="D555" s="1" t="s">
        <v>259</v>
      </c>
      <c r="E555" s="27" t="s">
        <v>267</v>
      </c>
      <c r="F555" s="2">
        <v>45061</v>
      </c>
      <c r="G555" t="str">
        <f t="shared" si="18"/>
        <v>May</v>
      </c>
      <c r="H555" t="str">
        <f t="shared" si="19"/>
        <v>2023</v>
      </c>
    </row>
    <row r="556" spans="1:8" hidden="1" x14ac:dyDescent="0.35">
      <c r="A556" t="s">
        <v>308</v>
      </c>
      <c r="B556" s="63">
        <v>1000</v>
      </c>
      <c r="C556" s="63">
        <f>Balance[[#This Row],[COST]]/147</f>
        <v>6.8027210884353737</v>
      </c>
      <c r="D556" s="1" t="s">
        <v>259</v>
      </c>
      <c r="E556" s="27" t="s">
        <v>265</v>
      </c>
      <c r="F556" s="2">
        <v>45061</v>
      </c>
      <c r="G556" t="str">
        <f t="shared" si="18"/>
        <v>May</v>
      </c>
      <c r="H556" t="str">
        <f t="shared" si="19"/>
        <v>2023</v>
      </c>
    </row>
    <row r="557" spans="1:8" hidden="1" x14ac:dyDescent="0.35">
      <c r="A557" t="s">
        <v>296</v>
      </c>
      <c r="B557" s="63">
        <v>700</v>
      </c>
      <c r="C557" s="63">
        <f>Balance[[#This Row],[COST]]/147</f>
        <v>4.7619047619047619</v>
      </c>
      <c r="D557" s="1" t="s">
        <v>259</v>
      </c>
      <c r="E557" s="27" t="s">
        <v>265</v>
      </c>
      <c r="F557" s="2">
        <v>45065</v>
      </c>
      <c r="G557" t="str">
        <f t="shared" si="18"/>
        <v>May</v>
      </c>
      <c r="H557" t="str">
        <f t="shared" si="19"/>
        <v>2023</v>
      </c>
    </row>
    <row r="558" spans="1:8" hidden="1" x14ac:dyDescent="0.35">
      <c r="A558" t="s">
        <v>114</v>
      </c>
      <c r="B558" s="63">
        <v>2000</v>
      </c>
      <c r="C558" s="63">
        <f>Balance[[#This Row],[COST]]/147</f>
        <v>13.605442176870747</v>
      </c>
      <c r="D558" s="1" t="s">
        <v>259</v>
      </c>
      <c r="E558" s="27" t="s">
        <v>265</v>
      </c>
      <c r="F558" s="2">
        <v>45068</v>
      </c>
      <c r="G558" t="str">
        <f t="shared" si="18"/>
        <v>May</v>
      </c>
      <c r="H558" t="str">
        <f t="shared" si="19"/>
        <v>2023</v>
      </c>
    </row>
    <row r="559" spans="1:8" hidden="1" x14ac:dyDescent="0.35">
      <c r="A559" t="s">
        <v>183</v>
      </c>
      <c r="B559" s="63">
        <v>2000</v>
      </c>
      <c r="C559" s="63">
        <f>Balance[[#This Row],[COST]]/147</f>
        <v>13.605442176870747</v>
      </c>
      <c r="D559" s="1" t="s">
        <v>259</v>
      </c>
      <c r="E559" s="27" t="s">
        <v>4</v>
      </c>
      <c r="F559" s="2">
        <v>45069</v>
      </c>
      <c r="G559" t="str">
        <f t="shared" si="18"/>
        <v>May</v>
      </c>
      <c r="H559" t="str">
        <f t="shared" si="19"/>
        <v>2023</v>
      </c>
    </row>
    <row r="560" spans="1:8" hidden="1" x14ac:dyDescent="0.35">
      <c r="A560" t="s">
        <v>283</v>
      </c>
      <c r="B560" s="63">
        <v>57040</v>
      </c>
      <c r="C560" s="63">
        <f>Balance[[#This Row],[COST]]/147</f>
        <v>388.02721088435374</v>
      </c>
      <c r="D560" s="1" t="s">
        <v>15</v>
      </c>
      <c r="E560" s="27" t="s">
        <v>269</v>
      </c>
      <c r="F560" s="2">
        <v>45071</v>
      </c>
      <c r="G560" t="str">
        <f t="shared" si="18"/>
        <v>May</v>
      </c>
      <c r="H560" t="str">
        <f t="shared" si="19"/>
        <v>2023</v>
      </c>
    </row>
    <row r="561" spans="1:10" hidden="1" x14ac:dyDescent="0.35">
      <c r="A561" t="s">
        <v>105</v>
      </c>
      <c r="B561" s="63">
        <v>10000</v>
      </c>
      <c r="C561" s="45">
        <f>Balance[[#This Row],[COST]]/147</f>
        <v>68.027210884353735</v>
      </c>
      <c r="D561" s="1" t="s">
        <v>259</v>
      </c>
      <c r="E561" s="27" t="s">
        <v>265</v>
      </c>
      <c r="F561" s="2">
        <v>45071</v>
      </c>
      <c r="G561" t="str">
        <f t="shared" si="18"/>
        <v>May</v>
      </c>
      <c r="H561" t="str">
        <f t="shared" si="19"/>
        <v>2023</v>
      </c>
    </row>
    <row r="562" spans="1:10" hidden="1" x14ac:dyDescent="0.35">
      <c r="A562" t="s">
        <v>67</v>
      </c>
      <c r="B562" s="63">
        <v>1000</v>
      </c>
      <c r="C562" s="63">
        <f>Balance[[#This Row],[COST]]/147</f>
        <v>6.8027210884353737</v>
      </c>
      <c r="D562" s="1" t="s">
        <v>259</v>
      </c>
      <c r="E562" s="27" t="s">
        <v>265</v>
      </c>
      <c r="F562" s="2">
        <v>45072</v>
      </c>
      <c r="G562" t="str">
        <f t="shared" si="18"/>
        <v>May</v>
      </c>
      <c r="H562" t="str">
        <f t="shared" si="19"/>
        <v>2023</v>
      </c>
    </row>
    <row r="563" spans="1:10" hidden="1" x14ac:dyDescent="0.35">
      <c r="A563" t="s">
        <v>183</v>
      </c>
      <c r="B563" s="63">
        <v>3000</v>
      </c>
      <c r="C563" s="63">
        <f>Balance[[#This Row],[COST]]/147</f>
        <v>20.408163265306122</v>
      </c>
      <c r="D563" s="1" t="s">
        <v>259</v>
      </c>
      <c r="E563" s="27" t="s">
        <v>4</v>
      </c>
      <c r="F563" s="2">
        <v>45073</v>
      </c>
      <c r="G563" t="str">
        <f t="shared" si="18"/>
        <v>May</v>
      </c>
      <c r="H563" t="str">
        <f t="shared" si="19"/>
        <v>2023</v>
      </c>
    </row>
    <row r="564" spans="1:10" hidden="1" x14ac:dyDescent="0.35">
      <c r="A564" t="s">
        <v>67</v>
      </c>
      <c r="B564" s="63">
        <v>1000</v>
      </c>
      <c r="C564" s="63">
        <f>Balance[[#This Row],[COST]]/147</f>
        <v>6.8027210884353737</v>
      </c>
      <c r="D564" s="1" t="s">
        <v>259</v>
      </c>
      <c r="E564" s="27" t="s">
        <v>265</v>
      </c>
      <c r="F564" s="2">
        <v>45073</v>
      </c>
      <c r="G564" t="str">
        <f t="shared" si="18"/>
        <v>May</v>
      </c>
      <c r="H564" t="str">
        <f t="shared" si="19"/>
        <v>2023</v>
      </c>
    </row>
    <row r="565" spans="1:10" hidden="1" x14ac:dyDescent="0.35">
      <c r="A565" t="s">
        <v>196</v>
      </c>
      <c r="B565" s="63">
        <v>1000</v>
      </c>
      <c r="C565" s="63">
        <f>Balance[[#This Row],[COST]]/147</f>
        <v>6.8027210884353737</v>
      </c>
      <c r="D565" s="1" t="s">
        <v>259</v>
      </c>
      <c r="E565" s="27" t="s">
        <v>268</v>
      </c>
      <c r="F565" s="2">
        <v>45074</v>
      </c>
      <c r="G565" t="str">
        <f t="shared" si="18"/>
        <v>May</v>
      </c>
      <c r="H565" t="str">
        <f t="shared" si="19"/>
        <v>2023</v>
      </c>
    </row>
    <row r="566" spans="1:10" hidden="1" x14ac:dyDescent="0.35">
      <c r="A566" t="s">
        <v>42</v>
      </c>
      <c r="B566" s="63">
        <v>7884</v>
      </c>
      <c r="C566" s="63">
        <f>Balance[[#This Row],[COST]]/147</f>
        <v>53.632653061224488</v>
      </c>
      <c r="D566" s="63" t="s">
        <v>42</v>
      </c>
      <c r="E566" s="27" t="s">
        <v>270</v>
      </c>
      <c r="F566" s="2">
        <v>45074</v>
      </c>
      <c r="G566" t="str">
        <f t="shared" si="18"/>
        <v>May</v>
      </c>
      <c r="H566" t="str">
        <f t="shared" si="19"/>
        <v>2023</v>
      </c>
    </row>
    <row r="567" spans="1:10" hidden="1" x14ac:dyDescent="0.35">
      <c r="A567" t="s">
        <v>67</v>
      </c>
      <c r="B567" s="63">
        <v>1000</v>
      </c>
      <c r="C567" s="63">
        <f>Balance[[#This Row],[COST]]/147</f>
        <v>6.8027210884353737</v>
      </c>
      <c r="D567" s="1" t="s">
        <v>259</v>
      </c>
      <c r="E567" s="27" t="s">
        <v>265</v>
      </c>
      <c r="F567" s="2">
        <v>45075</v>
      </c>
      <c r="G567" t="str">
        <f t="shared" si="18"/>
        <v>May</v>
      </c>
      <c r="H567" t="str">
        <f t="shared" si="19"/>
        <v>2023</v>
      </c>
    </row>
    <row r="568" spans="1:10" hidden="1" x14ac:dyDescent="0.35">
      <c r="A568" t="s">
        <v>338</v>
      </c>
      <c r="B568" s="63">
        <v>15500</v>
      </c>
      <c r="C568" s="63">
        <f>Balance[[#This Row],[COST]]/147</f>
        <v>105.4421768707483</v>
      </c>
      <c r="D568" s="1" t="s">
        <v>259</v>
      </c>
      <c r="E568" s="27" t="s">
        <v>4</v>
      </c>
      <c r="F568" s="2">
        <v>45077</v>
      </c>
      <c r="G568" t="str">
        <f t="shared" si="18"/>
        <v>May</v>
      </c>
      <c r="H568" t="str">
        <f t="shared" si="19"/>
        <v>2023</v>
      </c>
    </row>
    <row r="569" spans="1:10" hidden="1" x14ac:dyDescent="0.35">
      <c r="A569" t="s">
        <v>49</v>
      </c>
      <c r="B569" s="63">
        <v>20000</v>
      </c>
      <c r="C569" s="63">
        <f>Balance[[#This Row],[COST]]/147</f>
        <v>136.05442176870747</v>
      </c>
      <c r="D569" s="1" t="s">
        <v>263</v>
      </c>
      <c r="E569" s="27" t="s">
        <v>274</v>
      </c>
      <c r="F569" s="2">
        <v>45077</v>
      </c>
      <c r="G569" t="str">
        <f t="shared" si="18"/>
        <v>May</v>
      </c>
      <c r="H569" t="str">
        <f t="shared" si="19"/>
        <v>2023</v>
      </c>
    </row>
    <row r="570" spans="1:10" x14ac:dyDescent="0.35">
      <c r="A570" t="s">
        <v>345</v>
      </c>
      <c r="B570" s="63">
        <v>8500</v>
      </c>
      <c r="C570" s="63">
        <f>Balance[[#This Row],[COST]]/147</f>
        <v>57.823129251700678</v>
      </c>
      <c r="D570" s="1" t="s">
        <v>689</v>
      </c>
      <c r="E570" s="27" t="s">
        <v>275</v>
      </c>
      <c r="F570" s="2">
        <v>45078</v>
      </c>
      <c r="G570" t="str">
        <f t="shared" si="18"/>
        <v>Jun</v>
      </c>
      <c r="H570" t="str">
        <f t="shared" si="19"/>
        <v>2023</v>
      </c>
    </row>
    <row r="571" spans="1:10" x14ac:dyDescent="0.35">
      <c r="A571" t="s">
        <v>40</v>
      </c>
      <c r="B571" s="63">
        <v>400</v>
      </c>
      <c r="C571" s="63">
        <f>Balance[[#This Row],[COST]]/147</f>
        <v>2.7210884353741496</v>
      </c>
      <c r="D571" s="1" t="s">
        <v>689</v>
      </c>
      <c r="E571" s="27" t="s">
        <v>275</v>
      </c>
      <c r="F571" s="2">
        <v>45078</v>
      </c>
      <c r="G571" t="str">
        <f t="shared" si="18"/>
        <v>Jun</v>
      </c>
      <c r="H571" t="str">
        <f t="shared" si="19"/>
        <v>2023</v>
      </c>
    </row>
    <row r="572" spans="1:10" hidden="1" x14ac:dyDescent="0.35">
      <c r="A572" t="s">
        <v>67</v>
      </c>
      <c r="B572" s="63">
        <v>850</v>
      </c>
      <c r="C572" s="63">
        <f>Balance[[#This Row],[COST]]/147</f>
        <v>5.7823129251700678</v>
      </c>
      <c r="D572" s="1" t="s">
        <v>259</v>
      </c>
      <c r="E572" s="27" t="s">
        <v>265</v>
      </c>
      <c r="F572" s="2">
        <v>45078</v>
      </c>
      <c r="G572" t="str">
        <f t="shared" si="18"/>
        <v>Jun</v>
      </c>
      <c r="H572" t="str">
        <f t="shared" si="19"/>
        <v>2023</v>
      </c>
    </row>
    <row r="573" spans="1:10" hidden="1" x14ac:dyDescent="0.35">
      <c r="A573" t="s">
        <v>183</v>
      </c>
      <c r="B573" s="63">
        <v>2500</v>
      </c>
      <c r="C573" s="63">
        <f>Balance[[#This Row],[COST]]/147</f>
        <v>17.006802721088434</v>
      </c>
      <c r="D573" s="1" t="s">
        <v>259</v>
      </c>
      <c r="E573" s="27" t="s">
        <v>4</v>
      </c>
      <c r="F573" s="2">
        <v>45078</v>
      </c>
      <c r="G573" t="str">
        <f t="shared" si="18"/>
        <v>Jun</v>
      </c>
      <c r="H573" t="str">
        <f t="shared" si="19"/>
        <v>2023</v>
      </c>
      <c r="J573" s="67"/>
    </row>
    <row r="574" spans="1:10" hidden="1" x14ac:dyDescent="0.35">
      <c r="A574" t="s">
        <v>291</v>
      </c>
      <c r="B574" s="63">
        <v>15500</v>
      </c>
      <c r="C574" s="63">
        <f>Balance[[#This Row],[COST]]/147</f>
        <v>105.4421768707483</v>
      </c>
      <c r="D574" s="1" t="s">
        <v>259</v>
      </c>
      <c r="E574" t="s">
        <v>554</v>
      </c>
      <c r="F574" s="2">
        <v>45081</v>
      </c>
      <c r="G574" t="str">
        <f t="shared" si="18"/>
        <v>Jun</v>
      </c>
      <c r="H574" t="str">
        <f t="shared" si="19"/>
        <v>2023</v>
      </c>
    </row>
    <row r="575" spans="1:10" hidden="1" x14ac:dyDescent="0.35">
      <c r="A575" t="s">
        <v>183</v>
      </c>
      <c r="B575" s="63">
        <v>3000</v>
      </c>
      <c r="C575" s="63">
        <f>Balance[[#This Row],[COST]]/147</f>
        <v>20.408163265306122</v>
      </c>
      <c r="D575" s="1" t="s">
        <v>259</v>
      </c>
      <c r="E575" s="27" t="s">
        <v>4</v>
      </c>
      <c r="F575" s="2">
        <v>45081</v>
      </c>
      <c r="G575" t="str">
        <f t="shared" si="18"/>
        <v>Jun</v>
      </c>
      <c r="H575" t="str">
        <f t="shared" si="19"/>
        <v>2023</v>
      </c>
    </row>
    <row r="576" spans="1:10" hidden="1" x14ac:dyDescent="0.35">
      <c r="A576" t="s">
        <v>129</v>
      </c>
      <c r="B576" s="63">
        <v>1150</v>
      </c>
      <c r="C576" s="63">
        <f>Balance[[#This Row],[COST]]/147</f>
        <v>7.8231292517006805</v>
      </c>
      <c r="D576" s="1" t="s">
        <v>259</v>
      </c>
      <c r="E576" s="27" t="s">
        <v>265</v>
      </c>
      <c r="F576" s="2">
        <v>45081</v>
      </c>
      <c r="G576" t="str">
        <f t="shared" si="18"/>
        <v>Jun</v>
      </c>
      <c r="H576" t="str">
        <f t="shared" si="19"/>
        <v>2023</v>
      </c>
    </row>
    <row r="577" spans="1:8" hidden="1" x14ac:dyDescent="0.35">
      <c r="A577" t="s">
        <v>115</v>
      </c>
      <c r="B577" s="63">
        <v>520</v>
      </c>
      <c r="C577" s="63">
        <f>Balance[[#This Row],[COST]]/147</f>
        <v>3.5374149659863945</v>
      </c>
      <c r="D577" s="1" t="s">
        <v>259</v>
      </c>
      <c r="E577" s="27" t="s">
        <v>265</v>
      </c>
      <c r="F577" s="2">
        <v>45082</v>
      </c>
      <c r="G577" t="str">
        <f t="shared" si="18"/>
        <v>Jun</v>
      </c>
      <c r="H577" t="str">
        <f t="shared" si="19"/>
        <v>2023</v>
      </c>
    </row>
    <row r="578" spans="1:8" hidden="1" x14ac:dyDescent="0.35">
      <c r="A578" t="s">
        <v>61</v>
      </c>
      <c r="B578" s="63">
        <v>5500</v>
      </c>
      <c r="C578" s="63">
        <f>Balance[[#This Row],[COST]]/147</f>
        <v>37.414965986394556</v>
      </c>
      <c r="D578" s="1" t="s">
        <v>259</v>
      </c>
      <c r="E578" s="27" t="s">
        <v>267</v>
      </c>
      <c r="F578" s="2">
        <v>45082</v>
      </c>
      <c r="G578" t="str">
        <f t="shared" si="18"/>
        <v>Jun</v>
      </c>
      <c r="H578" t="str">
        <f t="shared" si="19"/>
        <v>2023</v>
      </c>
    </row>
    <row r="579" spans="1:8" hidden="1" x14ac:dyDescent="0.35">
      <c r="A579" t="s">
        <v>339</v>
      </c>
      <c r="B579" s="63">
        <v>2700</v>
      </c>
      <c r="C579" s="63">
        <f>Balance[[#This Row],[COST]]/147</f>
        <v>18.367346938775512</v>
      </c>
      <c r="D579" s="1" t="s">
        <v>259</v>
      </c>
      <c r="E579" s="27" t="s">
        <v>267</v>
      </c>
      <c r="F579" s="2">
        <v>45082</v>
      </c>
      <c r="G579" t="str">
        <f t="shared" si="18"/>
        <v>Jun</v>
      </c>
      <c r="H579" t="str">
        <f t="shared" si="19"/>
        <v>2023</v>
      </c>
    </row>
    <row r="580" spans="1:8" hidden="1" x14ac:dyDescent="0.35">
      <c r="A580" t="s">
        <v>340</v>
      </c>
      <c r="B580" s="63">
        <v>2100</v>
      </c>
      <c r="C580" s="63">
        <f>Balance[[#This Row],[COST]]/147</f>
        <v>14.285714285714286</v>
      </c>
      <c r="D580" s="1" t="s">
        <v>259</v>
      </c>
      <c r="E580" s="27" t="s">
        <v>268</v>
      </c>
      <c r="F580" s="2">
        <v>45082</v>
      </c>
      <c r="G580" t="str">
        <f t="shared" si="18"/>
        <v>Jun</v>
      </c>
      <c r="H580" t="str">
        <f t="shared" si="19"/>
        <v>2023</v>
      </c>
    </row>
    <row r="581" spans="1:8" x14ac:dyDescent="0.35">
      <c r="A581" t="s">
        <v>211</v>
      </c>
      <c r="B581" s="1">
        <v>6000</v>
      </c>
      <c r="C581" s="63">
        <f>Balance[[#This Row],[COST]]/147</f>
        <v>40.816326530612244</v>
      </c>
      <c r="D581" s="1" t="s">
        <v>689</v>
      </c>
      <c r="E581" s="27" t="s">
        <v>275</v>
      </c>
      <c r="F581" s="2">
        <v>45082</v>
      </c>
      <c r="G581" t="str">
        <f t="shared" si="18"/>
        <v>Jun</v>
      </c>
      <c r="H581" t="str">
        <f t="shared" si="19"/>
        <v>2023</v>
      </c>
    </row>
    <row r="582" spans="1:8" hidden="1" x14ac:dyDescent="0.35">
      <c r="A582" t="s">
        <v>203</v>
      </c>
      <c r="B582" s="63">
        <f>Balance[[#This Row],[Cost USD]]*147</f>
        <v>36436.89</v>
      </c>
      <c r="C582" s="63">
        <v>247.87</v>
      </c>
      <c r="D582" s="1" t="s">
        <v>260</v>
      </c>
      <c r="E582" s="27" t="s">
        <v>267</v>
      </c>
      <c r="F582" s="2">
        <v>45083</v>
      </c>
      <c r="G582" t="str">
        <f t="shared" si="18"/>
        <v>Jun</v>
      </c>
      <c r="H582" t="str">
        <f t="shared" si="19"/>
        <v>2023</v>
      </c>
    </row>
    <row r="583" spans="1:8" hidden="1" x14ac:dyDescent="0.35">
      <c r="A583" t="s">
        <v>183</v>
      </c>
      <c r="B583" s="63">
        <v>3000</v>
      </c>
      <c r="C583" s="63">
        <f>Balance[[#This Row],[COST]]/147</f>
        <v>20.408163265306122</v>
      </c>
      <c r="D583" s="1" t="s">
        <v>259</v>
      </c>
      <c r="E583" s="27" t="s">
        <v>4</v>
      </c>
      <c r="F583" s="2">
        <v>45085</v>
      </c>
      <c r="G583" t="str">
        <f t="shared" si="18"/>
        <v>Jun</v>
      </c>
      <c r="H583" t="str">
        <f t="shared" si="19"/>
        <v>2023</v>
      </c>
    </row>
    <row r="584" spans="1:8" hidden="1" x14ac:dyDescent="0.35">
      <c r="A584" t="s">
        <v>67</v>
      </c>
      <c r="B584" s="63">
        <v>100</v>
      </c>
      <c r="C584" s="63">
        <f>Balance[[#This Row],[COST]]/147</f>
        <v>0.68027210884353739</v>
      </c>
      <c r="D584" s="1" t="s">
        <v>259</v>
      </c>
      <c r="E584" s="27" t="s">
        <v>265</v>
      </c>
      <c r="F584" s="2">
        <v>45085</v>
      </c>
      <c r="G584" t="str">
        <f t="shared" si="18"/>
        <v>Jun</v>
      </c>
      <c r="H584" t="str">
        <f t="shared" si="19"/>
        <v>2023</v>
      </c>
    </row>
    <row r="585" spans="1:8" hidden="1" x14ac:dyDescent="0.35">
      <c r="A585" t="s">
        <v>214</v>
      </c>
      <c r="B585" s="63">
        <v>50000</v>
      </c>
      <c r="C585" s="63">
        <f>Balance[[#This Row],[COST]]/147</f>
        <v>340.13605442176873</v>
      </c>
      <c r="D585" s="1" t="s">
        <v>42</v>
      </c>
      <c r="E585" s="27" t="s">
        <v>214</v>
      </c>
      <c r="F585" s="2">
        <v>45085</v>
      </c>
      <c r="G585" t="str">
        <f t="shared" si="18"/>
        <v>Jun</v>
      </c>
      <c r="H585" t="str">
        <f t="shared" si="19"/>
        <v>2023</v>
      </c>
    </row>
    <row r="586" spans="1:8" hidden="1" x14ac:dyDescent="0.35">
      <c r="A586" t="s">
        <v>344</v>
      </c>
      <c r="B586" s="63">
        <v>4200</v>
      </c>
      <c r="C586" s="63">
        <f>Balance[[#This Row],[COST]]/147</f>
        <v>28.571428571428573</v>
      </c>
      <c r="D586" s="1" t="s">
        <v>259</v>
      </c>
      <c r="E586" s="27" t="s">
        <v>265</v>
      </c>
      <c r="F586" s="2">
        <v>45088</v>
      </c>
      <c r="G586" t="str">
        <f t="shared" si="18"/>
        <v>Jun</v>
      </c>
      <c r="H586" t="str">
        <f t="shared" si="19"/>
        <v>2023</v>
      </c>
    </row>
    <row r="587" spans="1:8" hidden="1" x14ac:dyDescent="0.35">
      <c r="A587" t="s">
        <v>129</v>
      </c>
      <c r="B587" s="63">
        <v>1100</v>
      </c>
      <c r="C587" s="63">
        <f>Balance[[#This Row],[COST]]/147</f>
        <v>7.4829931972789119</v>
      </c>
      <c r="D587" s="1" t="s">
        <v>259</v>
      </c>
      <c r="E587" s="27" t="s">
        <v>265</v>
      </c>
      <c r="F587" s="2">
        <v>45089</v>
      </c>
      <c r="G587" t="str">
        <f t="shared" si="18"/>
        <v>Jun</v>
      </c>
      <c r="H587" t="str">
        <f t="shared" si="19"/>
        <v>2023</v>
      </c>
    </row>
    <row r="588" spans="1:8" hidden="1" x14ac:dyDescent="0.35">
      <c r="A588" t="s">
        <v>341</v>
      </c>
      <c r="B588" s="63">
        <v>900</v>
      </c>
      <c r="C588" s="63">
        <f>Balance[[#This Row],[COST]]/147</f>
        <v>6.1224489795918364</v>
      </c>
      <c r="D588" s="1" t="s">
        <v>259</v>
      </c>
      <c r="E588" s="27" t="s">
        <v>265</v>
      </c>
      <c r="F588" s="2">
        <v>45089</v>
      </c>
      <c r="G588" t="str">
        <f t="shared" si="18"/>
        <v>Jun</v>
      </c>
      <c r="H588" t="str">
        <f t="shared" si="19"/>
        <v>2023</v>
      </c>
    </row>
    <row r="589" spans="1:8" hidden="1" x14ac:dyDescent="0.35">
      <c r="A589" t="s">
        <v>114</v>
      </c>
      <c r="B589" s="63">
        <v>980</v>
      </c>
      <c r="C589" s="63">
        <f>Balance[[#This Row],[COST]]/147</f>
        <v>6.666666666666667</v>
      </c>
      <c r="D589" s="1" t="s">
        <v>259</v>
      </c>
      <c r="E589" s="27" t="s">
        <v>265</v>
      </c>
      <c r="F589" s="2">
        <v>45090</v>
      </c>
      <c r="G589" t="str">
        <f t="shared" si="18"/>
        <v>Jun</v>
      </c>
      <c r="H589" t="str">
        <f t="shared" si="19"/>
        <v>2023</v>
      </c>
    </row>
    <row r="590" spans="1:8" hidden="1" x14ac:dyDescent="0.35">
      <c r="A590" t="s">
        <v>242</v>
      </c>
      <c r="B590" s="63">
        <v>980</v>
      </c>
      <c r="C590" s="63">
        <f>Balance[[#This Row],[COST]]/147</f>
        <v>6.666666666666667</v>
      </c>
      <c r="D590" s="1" t="s">
        <v>259</v>
      </c>
      <c r="E590" s="27" t="s">
        <v>265</v>
      </c>
      <c r="F590" s="2">
        <v>45090</v>
      </c>
      <c r="G590" t="str">
        <f t="shared" si="18"/>
        <v>Jun</v>
      </c>
      <c r="H590" t="str">
        <f t="shared" si="19"/>
        <v>2023</v>
      </c>
    </row>
    <row r="591" spans="1:8" x14ac:dyDescent="0.35">
      <c r="A591" t="s">
        <v>345</v>
      </c>
      <c r="B591" s="63">
        <v>18500</v>
      </c>
      <c r="C591" s="63">
        <f>Balance[[#This Row],[COST]]/147</f>
        <v>125.85034013605443</v>
      </c>
      <c r="D591" s="1" t="s">
        <v>689</v>
      </c>
      <c r="E591" s="27" t="s">
        <v>275</v>
      </c>
      <c r="F591" s="2">
        <v>45092</v>
      </c>
      <c r="G591" t="str">
        <f t="shared" si="18"/>
        <v>Jun</v>
      </c>
      <c r="H591" t="str">
        <f t="shared" si="19"/>
        <v>2023</v>
      </c>
    </row>
    <row r="592" spans="1:8" hidden="1" x14ac:dyDescent="0.35">
      <c r="A592" t="s">
        <v>343</v>
      </c>
      <c r="B592" s="63">
        <v>800</v>
      </c>
      <c r="C592" s="63">
        <f>Balance[[#This Row],[COST]]/147</f>
        <v>5.4421768707482991</v>
      </c>
      <c r="D592" s="1" t="s">
        <v>259</v>
      </c>
      <c r="E592" s="27" t="s">
        <v>265</v>
      </c>
      <c r="F592" s="2">
        <v>45093</v>
      </c>
      <c r="G592" t="str">
        <f t="shared" si="18"/>
        <v>Jun</v>
      </c>
      <c r="H592" t="str">
        <f t="shared" si="19"/>
        <v>2023</v>
      </c>
    </row>
    <row r="593" spans="1:8" hidden="1" x14ac:dyDescent="0.35">
      <c r="A593" t="s">
        <v>302</v>
      </c>
      <c r="B593" s="63">
        <v>820</v>
      </c>
      <c r="C593" s="63">
        <f>Balance[[#This Row],[COST]]/147</f>
        <v>5.5782312925170068</v>
      </c>
      <c r="D593" s="1" t="s">
        <v>259</v>
      </c>
      <c r="E593" s="27" t="s">
        <v>265</v>
      </c>
      <c r="F593" s="2">
        <v>45093</v>
      </c>
      <c r="G593" t="str">
        <f t="shared" si="18"/>
        <v>Jun</v>
      </c>
      <c r="H593" t="str">
        <f t="shared" si="19"/>
        <v>2023</v>
      </c>
    </row>
    <row r="594" spans="1:8" hidden="1" x14ac:dyDescent="0.35">
      <c r="A594" t="s">
        <v>246</v>
      </c>
      <c r="B594" s="63">
        <v>700</v>
      </c>
      <c r="C594" s="63">
        <f>Balance[[#This Row],[COST]]/147</f>
        <v>4.7619047619047619</v>
      </c>
      <c r="D594" s="1" t="s">
        <v>259</v>
      </c>
      <c r="E594" s="27" t="s">
        <v>265</v>
      </c>
      <c r="F594" s="2">
        <v>45093</v>
      </c>
      <c r="G594" t="str">
        <f t="shared" si="18"/>
        <v>Jun</v>
      </c>
      <c r="H594" t="str">
        <f t="shared" si="19"/>
        <v>2023</v>
      </c>
    </row>
    <row r="595" spans="1:8" hidden="1" x14ac:dyDescent="0.35">
      <c r="A595" t="s">
        <v>183</v>
      </c>
      <c r="B595" s="63">
        <v>4000</v>
      </c>
      <c r="C595" s="63">
        <f>Balance[[#This Row],[COST]]/147</f>
        <v>27.210884353741495</v>
      </c>
      <c r="D595" s="1" t="s">
        <v>259</v>
      </c>
      <c r="E595" s="27" t="s">
        <v>4</v>
      </c>
      <c r="F595" s="2">
        <v>45095</v>
      </c>
      <c r="G595" t="str">
        <f t="shared" si="18"/>
        <v>Jun</v>
      </c>
      <c r="H595" t="str">
        <f t="shared" si="19"/>
        <v>2023</v>
      </c>
    </row>
    <row r="596" spans="1:8" hidden="1" x14ac:dyDescent="0.35">
      <c r="A596" t="s">
        <v>229</v>
      </c>
      <c r="B596" s="63">
        <f>Balance[[#This Row],[Cost USD]]*147</f>
        <v>880.53000000000009</v>
      </c>
      <c r="C596" s="63">
        <v>5.99</v>
      </c>
      <c r="D596" s="1" t="s">
        <v>259</v>
      </c>
      <c r="E596" s="27" t="s">
        <v>267</v>
      </c>
      <c r="F596" s="2">
        <v>45095</v>
      </c>
      <c r="G596" t="str">
        <f t="shared" si="18"/>
        <v>Jun</v>
      </c>
      <c r="H596" t="str">
        <f t="shared" si="19"/>
        <v>2023</v>
      </c>
    </row>
    <row r="597" spans="1:8" hidden="1" x14ac:dyDescent="0.35">
      <c r="A597" t="s">
        <v>214</v>
      </c>
      <c r="B597" s="63">
        <v>25500</v>
      </c>
      <c r="C597" s="63">
        <f>Balance[[#This Row],[COST]]/147</f>
        <v>173.46938775510205</v>
      </c>
      <c r="D597" s="1" t="s">
        <v>42</v>
      </c>
      <c r="E597" s="27" t="s">
        <v>214</v>
      </c>
      <c r="F597" s="2">
        <v>45097</v>
      </c>
      <c r="G597" t="str">
        <f t="shared" si="18"/>
        <v>Jun</v>
      </c>
      <c r="H597" t="str">
        <f t="shared" si="19"/>
        <v>2023</v>
      </c>
    </row>
    <row r="598" spans="1:8" hidden="1" x14ac:dyDescent="0.35">
      <c r="A598" t="s">
        <v>298</v>
      </c>
      <c r="B598" s="63">
        <v>880</v>
      </c>
      <c r="C598" s="63">
        <f>Balance[[#This Row],[COST]]/147</f>
        <v>5.9863945578231297</v>
      </c>
      <c r="D598" s="1" t="s">
        <v>259</v>
      </c>
      <c r="E598" s="27" t="s">
        <v>265</v>
      </c>
      <c r="F598" s="2">
        <v>45097</v>
      </c>
      <c r="G598" t="str">
        <f t="shared" si="18"/>
        <v>Jun</v>
      </c>
      <c r="H598" t="str">
        <f t="shared" si="19"/>
        <v>2023</v>
      </c>
    </row>
    <row r="599" spans="1:8" hidden="1" x14ac:dyDescent="0.35">
      <c r="A599" t="s">
        <v>8</v>
      </c>
      <c r="B599" s="63">
        <v>1451</v>
      </c>
      <c r="C599" s="63">
        <f>Balance[[#This Row],[COST]]/147</f>
        <v>9.8707482993197271</v>
      </c>
      <c r="D599" s="1" t="s">
        <v>259</v>
      </c>
      <c r="E599" s="27" t="s">
        <v>268</v>
      </c>
      <c r="F599" s="2">
        <v>45097</v>
      </c>
      <c r="G599" t="str">
        <f t="shared" si="18"/>
        <v>Jun</v>
      </c>
      <c r="H599" t="str">
        <f t="shared" si="19"/>
        <v>2023</v>
      </c>
    </row>
    <row r="600" spans="1:8" hidden="1" x14ac:dyDescent="0.35">
      <c r="A600" t="s">
        <v>215</v>
      </c>
      <c r="B600" s="63">
        <v>1000</v>
      </c>
      <c r="C600" s="63">
        <f>Balance[[#This Row],[COST]]/147</f>
        <v>6.8027210884353737</v>
      </c>
      <c r="D600" s="1" t="s">
        <v>259</v>
      </c>
      <c r="E600" s="27" t="s">
        <v>265</v>
      </c>
      <c r="F600" s="2">
        <v>45100</v>
      </c>
      <c r="G600" t="str">
        <f t="shared" si="18"/>
        <v>Jun</v>
      </c>
      <c r="H600" t="str">
        <f t="shared" si="19"/>
        <v>2023</v>
      </c>
    </row>
    <row r="601" spans="1:8" hidden="1" x14ac:dyDescent="0.35">
      <c r="A601" t="s">
        <v>114</v>
      </c>
      <c r="B601" s="63">
        <v>1000</v>
      </c>
      <c r="C601" s="63">
        <f>Balance[[#This Row],[COST]]/147</f>
        <v>6.8027210884353737</v>
      </c>
      <c r="D601" s="1" t="s">
        <v>259</v>
      </c>
      <c r="E601" s="27" t="s">
        <v>265</v>
      </c>
      <c r="F601" s="2">
        <v>45101</v>
      </c>
      <c r="G601" t="str">
        <f t="shared" si="18"/>
        <v>Jun</v>
      </c>
      <c r="H601" t="str">
        <f t="shared" si="19"/>
        <v>2023</v>
      </c>
    </row>
    <row r="602" spans="1:8" hidden="1" x14ac:dyDescent="0.35">
      <c r="A602" t="s">
        <v>183</v>
      </c>
      <c r="B602" s="63">
        <v>2000</v>
      </c>
      <c r="C602" s="63">
        <f>Balance[[#This Row],[COST]]/147</f>
        <v>13.605442176870747</v>
      </c>
      <c r="D602" s="1" t="s">
        <v>259</v>
      </c>
      <c r="E602" s="27" t="s">
        <v>4</v>
      </c>
      <c r="F602" s="2">
        <v>45101</v>
      </c>
      <c r="G602" t="str">
        <f t="shared" si="18"/>
        <v>Jun</v>
      </c>
      <c r="H602" t="str">
        <f t="shared" si="19"/>
        <v>2023</v>
      </c>
    </row>
    <row r="603" spans="1:8" hidden="1" x14ac:dyDescent="0.35">
      <c r="A603" t="s">
        <v>283</v>
      </c>
      <c r="B603" s="63">
        <v>57040</v>
      </c>
      <c r="C603" s="63">
        <f>Balance[[#This Row],[COST]]/147</f>
        <v>388.02721088435374</v>
      </c>
      <c r="D603" s="1" t="s">
        <v>15</v>
      </c>
      <c r="E603" s="27" t="s">
        <v>269</v>
      </c>
      <c r="F603" s="2">
        <v>45102</v>
      </c>
      <c r="G603" t="str">
        <f t="shared" si="18"/>
        <v>Jun</v>
      </c>
      <c r="H603" t="str">
        <f t="shared" si="19"/>
        <v>2023</v>
      </c>
    </row>
    <row r="604" spans="1:8" hidden="1" x14ac:dyDescent="0.35">
      <c r="A604" t="s">
        <v>196</v>
      </c>
      <c r="B604" s="63">
        <v>1000</v>
      </c>
      <c r="C604" s="63">
        <f>Balance[[#This Row],[COST]]/147</f>
        <v>6.8027210884353737</v>
      </c>
      <c r="D604" s="1" t="s">
        <v>259</v>
      </c>
      <c r="E604" s="27" t="s">
        <v>268</v>
      </c>
      <c r="F604" s="2">
        <v>45103</v>
      </c>
      <c r="G604" t="str">
        <f t="shared" si="18"/>
        <v>Jun</v>
      </c>
      <c r="H604" t="str">
        <f t="shared" si="19"/>
        <v>2023</v>
      </c>
    </row>
    <row r="605" spans="1:8" hidden="1" x14ac:dyDescent="0.35">
      <c r="A605" t="s">
        <v>232</v>
      </c>
      <c r="B605" s="63">
        <v>1300</v>
      </c>
      <c r="C605" s="45">
        <f>Balance[[#This Row],[COST]]/147</f>
        <v>8.8435374149659864</v>
      </c>
      <c r="D605" s="1" t="s">
        <v>259</v>
      </c>
      <c r="E605" s="27" t="s">
        <v>268</v>
      </c>
      <c r="F605" s="2">
        <v>45103</v>
      </c>
      <c r="G605" t="str">
        <f t="shared" si="18"/>
        <v>Jun</v>
      </c>
      <c r="H605" t="str">
        <f t="shared" si="19"/>
        <v>2023</v>
      </c>
    </row>
    <row r="606" spans="1:8" hidden="1" x14ac:dyDescent="0.35">
      <c r="A606" t="s">
        <v>183</v>
      </c>
      <c r="B606" s="63">
        <v>4500</v>
      </c>
      <c r="C606" s="45">
        <f>Balance[[#This Row],[COST]]/147</f>
        <v>30.612244897959183</v>
      </c>
      <c r="D606" s="1" t="s">
        <v>259</v>
      </c>
      <c r="E606" s="27" t="s">
        <v>4</v>
      </c>
      <c r="F606" s="2">
        <v>45103</v>
      </c>
      <c r="G606" t="str">
        <f t="shared" si="18"/>
        <v>Jun</v>
      </c>
      <c r="H606" t="str">
        <f t="shared" si="19"/>
        <v>2023</v>
      </c>
    </row>
    <row r="607" spans="1:8" hidden="1" x14ac:dyDescent="0.35">
      <c r="A607" t="s">
        <v>114</v>
      </c>
      <c r="B607" s="63">
        <v>2200</v>
      </c>
      <c r="C607" s="45">
        <f>Balance[[#This Row],[COST]]/147</f>
        <v>14.965986394557824</v>
      </c>
      <c r="D607" s="1" t="s">
        <v>259</v>
      </c>
      <c r="E607" s="27" t="s">
        <v>265</v>
      </c>
      <c r="F607" s="2">
        <v>45103</v>
      </c>
      <c r="G607" t="str">
        <f t="shared" ref="G607:G670" si="20">TEXT(F607,"mmm")</f>
        <v>Jun</v>
      </c>
      <c r="H607" t="str">
        <f t="shared" ref="H607:H670" si="21">TEXT(F607,"yyy")</f>
        <v>2023</v>
      </c>
    </row>
    <row r="608" spans="1:8" hidden="1" x14ac:dyDescent="0.35">
      <c r="A608" t="s">
        <v>317</v>
      </c>
      <c r="B608" s="63">
        <f>Balance[[#This Row],[Cost USD]]*147</f>
        <v>4424.7</v>
      </c>
      <c r="C608" s="63">
        <v>30.1</v>
      </c>
      <c r="D608" s="1" t="s">
        <v>259</v>
      </c>
      <c r="E608" s="27" t="s">
        <v>4</v>
      </c>
      <c r="F608" s="2">
        <v>45104</v>
      </c>
      <c r="G608" t="str">
        <f t="shared" si="20"/>
        <v>Jun</v>
      </c>
      <c r="H608" t="str">
        <f t="shared" si="21"/>
        <v>2023</v>
      </c>
    </row>
    <row r="609" spans="1:8" hidden="1" x14ac:dyDescent="0.35">
      <c r="A609" t="s">
        <v>315</v>
      </c>
      <c r="B609" s="63">
        <v>50000</v>
      </c>
      <c r="C609" s="63">
        <f>Balance[[#This Row],[COST]]/147</f>
        <v>340.13605442176873</v>
      </c>
      <c r="D609" s="1" t="s">
        <v>259</v>
      </c>
      <c r="E609" s="27" t="s">
        <v>268</v>
      </c>
      <c r="F609" s="2">
        <v>45104</v>
      </c>
      <c r="G609" t="str">
        <f t="shared" si="20"/>
        <v>Jun</v>
      </c>
      <c r="H609" t="str">
        <f t="shared" si="21"/>
        <v>2023</v>
      </c>
    </row>
    <row r="610" spans="1:8" hidden="1" x14ac:dyDescent="0.35">
      <c r="A610" t="s">
        <v>352</v>
      </c>
      <c r="B610" s="63">
        <v>50000</v>
      </c>
      <c r="C610" s="63">
        <f>Balance[[#This Row],[COST]]/147</f>
        <v>340.13605442176873</v>
      </c>
      <c r="D610" s="1" t="s">
        <v>259</v>
      </c>
      <c r="E610" s="27" t="s">
        <v>268</v>
      </c>
      <c r="F610" s="2">
        <v>45104</v>
      </c>
      <c r="G610" t="str">
        <f t="shared" si="20"/>
        <v>Jun</v>
      </c>
      <c r="H610" t="str">
        <f t="shared" si="21"/>
        <v>2023</v>
      </c>
    </row>
    <row r="611" spans="1:8" hidden="1" x14ac:dyDescent="0.35">
      <c r="A611" t="s">
        <v>49</v>
      </c>
      <c r="B611" s="63">
        <v>15000</v>
      </c>
      <c r="C611" s="63">
        <f>Balance[[#This Row],[COST]]/147</f>
        <v>102.04081632653062</v>
      </c>
      <c r="D611" s="1" t="s">
        <v>263</v>
      </c>
      <c r="E611" s="27" t="s">
        <v>274</v>
      </c>
      <c r="F611" s="2">
        <v>45104</v>
      </c>
      <c r="G611" t="str">
        <f t="shared" si="20"/>
        <v>Jun</v>
      </c>
      <c r="H611" t="str">
        <f t="shared" si="21"/>
        <v>2023</v>
      </c>
    </row>
    <row r="612" spans="1:8" hidden="1" x14ac:dyDescent="0.35">
      <c r="A612" t="s">
        <v>105</v>
      </c>
      <c r="B612" s="63">
        <v>10000</v>
      </c>
      <c r="C612" s="45">
        <f>Balance[[#This Row],[COST]]/147</f>
        <v>68.027210884353735</v>
      </c>
      <c r="D612" s="1" t="s">
        <v>259</v>
      </c>
      <c r="E612" s="27" t="s">
        <v>265</v>
      </c>
      <c r="F612" s="2">
        <v>45104</v>
      </c>
      <c r="G612" t="str">
        <f t="shared" si="20"/>
        <v>Jun</v>
      </c>
      <c r="H612" t="str">
        <f t="shared" si="21"/>
        <v>2023</v>
      </c>
    </row>
    <row r="613" spans="1:8" hidden="1" x14ac:dyDescent="0.35">
      <c r="A613" t="s">
        <v>42</v>
      </c>
      <c r="B613" s="63">
        <v>7884</v>
      </c>
      <c r="C613" s="63">
        <f>Balance[[#This Row],[COST]]/147</f>
        <v>53.632653061224488</v>
      </c>
      <c r="D613" s="63" t="s">
        <v>42</v>
      </c>
      <c r="E613" s="27" t="s">
        <v>270</v>
      </c>
      <c r="F613" s="2">
        <v>45105</v>
      </c>
      <c r="G613" t="str">
        <f t="shared" si="20"/>
        <v>Jun</v>
      </c>
      <c r="H613" t="str">
        <f t="shared" si="21"/>
        <v>2023</v>
      </c>
    </row>
    <row r="614" spans="1:8" hidden="1" x14ac:dyDescent="0.35">
      <c r="A614" t="s">
        <v>353</v>
      </c>
      <c r="B614" s="63">
        <f>Balance[[#This Row],[Cost USD]]*147</f>
        <v>1358.28</v>
      </c>
      <c r="C614" s="63">
        <v>9.24</v>
      </c>
      <c r="D614" s="1" t="s">
        <v>259</v>
      </c>
      <c r="E614" s="27" t="s">
        <v>265</v>
      </c>
      <c r="F614" s="2">
        <v>45119</v>
      </c>
      <c r="G614" t="str">
        <f t="shared" si="20"/>
        <v>Jul</v>
      </c>
      <c r="H614" t="str">
        <f t="shared" si="21"/>
        <v>2023</v>
      </c>
    </row>
    <row r="615" spans="1:8" hidden="1" x14ac:dyDescent="0.35">
      <c r="A615" t="s">
        <v>354</v>
      </c>
      <c r="B615" s="63">
        <f>Balance[[#This Row],[Cost USD]]*147</f>
        <v>2790.06</v>
      </c>
      <c r="C615" s="63">
        <v>18.98</v>
      </c>
      <c r="D615" s="1" t="s">
        <v>259</v>
      </c>
      <c r="E615" s="27" t="s">
        <v>265</v>
      </c>
      <c r="F615" s="2">
        <v>45119</v>
      </c>
      <c r="G615" t="str">
        <f t="shared" si="20"/>
        <v>Jul</v>
      </c>
      <c r="H615" t="str">
        <f t="shared" si="21"/>
        <v>2023</v>
      </c>
    </row>
    <row r="616" spans="1:8" hidden="1" x14ac:dyDescent="0.35">
      <c r="A616" t="s">
        <v>355</v>
      </c>
      <c r="B616" s="63">
        <f>Balance[[#This Row],[Cost USD]]*147</f>
        <v>1176</v>
      </c>
      <c r="C616" s="63">
        <v>8</v>
      </c>
      <c r="D616" s="1" t="s">
        <v>259</v>
      </c>
      <c r="E616" s="27" t="s">
        <v>265</v>
      </c>
      <c r="F616" s="2">
        <v>45119</v>
      </c>
      <c r="G616" t="str">
        <f t="shared" si="20"/>
        <v>Jul</v>
      </c>
      <c r="H616" t="str">
        <f t="shared" si="21"/>
        <v>2023</v>
      </c>
    </row>
    <row r="617" spans="1:8" hidden="1" x14ac:dyDescent="0.35">
      <c r="A617" t="s">
        <v>356</v>
      </c>
      <c r="B617" s="63">
        <f>Balance[[#This Row],[Cost USD]]*147</f>
        <v>1553.79</v>
      </c>
      <c r="C617" s="63">
        <v>10.57</v>
      </c>
      <c r="D617" s="1" t="s">
        <v>259</v>
      </c>
      <c r="E617" s="27" t="s">
        <v>265</v>
      </c>
      <c r="F617" s="2">
        <v>45119</v>
      </c>
      <c r="G617" t="str">
        <f t="shared" si="20"/>
        <v>Jul</v>
      </c>
      <c r="H617" t="str">
        <f t="shared" si="21"/>
        <v>2023</v>
      </c>
    </row>
    <row r="618" spans="1:8" hidden="1" x14ac:dyDescent="0.35">
      <c r="A618" t="s">
        <v>343</v>
      </c>
      <c r="B618" s="63">
        <f>Balance[[#This Row],[Cost USD]]*147</f>
        <v>1697.8500000000001</v>
      </c>
      <c r="C618" s="63">
        <v>11.55</v>
      </c>
      <c r="D618" s="1" t="s">
        <v>259</v>
      </c>
      <c r="E618" s="27" t="s">
        <v>265</v>
      </c>
      <c r="F618" s="2">
        <v>45124</v>
      </c>
      <c r="G618" t="str">
        <f t="shared" si="20"/>
        <v>Jul</v>
      </c>
      <c r="H618" t="str">
        <f t="shared" si="21"/>
        <v>2023</v>
      </c>
    </row>
    <row r="619" spans="1:8" hidden="1" x14ac:dyDescent="0.35">
      <c r="A619" t="s">
        <v>357</v>
      </c>
      <c r="B619" s="63">
        <f>Balance[[#This Row],[Cost USD]]*147</f>
        <v>333.69</v>
      </c>
      <c r="C619" s="63">
        <v>2.27</v>
      </c>
      <c r="D619" s="1" t="s">
        <v>259</v>
      </c>
      <c r="E619" s="27" t="s">
        <v>265</v>
      </c>
      <c r="F619" s="2">
        <v>45124</v>
      </c>
      <c r="G619" t="str">
        <f t="shared" si="20"/>
        <v>Jul</v>
      </c>
      <c r="H619" t="str">
        <f t="shared" si="21"/>
        <v>2023</v>
      </c>
    </row>
    <row r="620" spans="1:8" hidden="1" x14ac:dyDescent="0.35">
      <c r="A620" t="s">
        <v>358</v>
      </c>
      <c r="B620" s="63">
        <f>Balance[[#This Row],[Cost USD]]*147</f>
        <v>583.59</v>
      </c>
      <c r="C620" s="63">
        <v>3.97</v>
      </c>
      <c r="D620" s="1" t="s">
        <v>259</v>
      </c>
      <c r="E620" s="27" t="s">
        <v>265</v>
      </c>
      <c r="F620" s="2">
        <v>45124</v>
      </c>
      <c r="G620" t="str">
        <f t="shared" si="20"/>
        <v>Jul</v>
      </c>
      <c r="H620" t="str">
        <f t="shared" si="21"/>
        <v>2023</v>
      </c>
    </row>
    <row r="621" spans="1:8" hidden="1" x14ac:dyDescent="0.35">
      <c r="A621" t="s">
        <v>229</v>
      </c>
      <c r="B621" s="63">
        <f>Balance[[#This Row],[Cost USD]]*147</f>
        <v>880.53000000000009</v>
      </c>
      <c r="C621" s="63">
        <v>5.99</v>
      </c>
      <c r="D621" s="1" t="s">
        <v>259</v>
      </c>
      <c r="E621" s="27" t="s">
        <v>267</v>
      </c>
      <c r="F621" s="2">
        <v>45125</v>
      </c>
      <c r="G621" t="str">
        <f t="shared" si="20"/>
        <v>Jul</v>
      </c>
      <c r="H621" t="str">
        <f t="shared" si="21"/>
        <v>2023</v>
      </c>
    </row>
    <row r="622" spans="1:8" hidden="1" x14ac:dyDescent="0.35">
      <c r="A622" t="s">
        <v>359</v>
      </c>
      <c r="B622" s="63">
        <f>Balance[[#This Row],[Cost USD]]*147</f>
        <v>2616.6</v>
      </c>
      <c r="C622" s="63">
        <v>17.8</v>
      </c>
      <c r="D622" s="1" t="s">
        <v>259</v>
      </c>
      <c r="E622" s="27" t="s">
        <v>265</v>
      </c>
      <c r="F622" s="2">
        <v>45128</v>
      </c>
      <c r="G622" t="str">
        <f t="shared" si="20"/>
        <v>Jul</v>
      </c>
      <c r="H622" t="str">
        <f t="shared" si="21"/>
        <v>2023</v>
      </c>
    </row>
    <row r="623" spans="1:8" x14ac:dyDescent="0.35">
      <c r="A623" t="s">
        <v>213</v>
      </c>
      <c r="B623" s="63">
        <f>Balance[[#This Row],[Cost USD]]*147</f>
        <v>886.41000000000008</v>
      </c>
      <c r="C623" s="63">
        <v>6.03</v>
      </c>
      <c r="D623" s="1" t="s">
        <v>689</v>
      </c>
      <c r="E623" s="27" t="s">
        <v>275</v>
      </c>
      <c r="F623" s="2">
        <v>45128</v>
      </c>
      <c r="G623" t="str">
        <f t="shared" si="20"/>
        <v>Jul</v>
      </c>
      <c r="H623" t="str">
        <f t="shared" si="21"/>
        <v>2023</v>
      </c>
    </row>
    <row r="624" spans="1:8" x14ac:dyDescent="0.35">
      <c r="A624" t="s">
        <v>362</v>
      </c>
      <c r="B624" s="63">
        <f>Balance[[#This Row],[Cost USD]]*147</f>
        <v>1558.2</v>
      </c>
      <c r="C624" s="63">
        <v>10.6</v>
      </c>
      <c r="D624" s="1" t="s">
        <v>689</v>
      </c>
      <c r="E624" s="27" t="s">
        <v>275</v>
      </c>
      <c r="F624" s="2">
        <v>45128</v>
      </c>
      <c r="G624" t="str">
        <f t="shared" si="20"/>
        <v>Jul</v>
      </c>
      <c r="H624" t="str">
        <f t="shared" si="21"/>
        <v>2023</v>
      </c>
    </row>
    <row r="625" spans="1:8" x14ac:dyDescent="0.35">
      <c r="A625" t="s">
        <v>363</v>
      </c>
      <c r="B625" s="63">
        <f>Balance[[#This Row],[Cost USD]]*147</f>
        <v>1303.8899999999999</v>
      </c>
      <c r="C625" s="63">
        <v>8.8699999999999992</v>
      </c>
      <c r="D625" s="1" t="s">
        <v>689</v>
      </c>
      <c r="E625" s="27" t="s">
        <v>275</v>
      </c>
      <c r="F625" s="2">
        <v>45128</v>
      </c>
      <c r="G625" t="str">
        <f t="shared" si="20"/>
        <v>Jul</v>
      </c>
      <c r="H625" t="str">
        <f t="shared" si="21"/>
        <v>2023</v>
      </c>
    </row>
    <row r="626" spans="1:8" hidden="1" x14ac:dyDescent="0.35">
      <c r="A626" t="s">
        <v>359</v>
      </c>
      <c r="B626" s="63">
        <f>Balance[[#This Row],[Cost USD]]*147</f>
        <v>1653.75</v>
      </c>
      <c r="C626" s="63">
        <v>11.25</v>
      </c>
      <c r="D626" s="1" t="s">
        <v>259</v>
      </c>
      <c r="E626" s="27" t="s">
        <v>265</v>
      </c>
      <c r="F626" s="2">
        <v>45130</v>
      </c>
      <c r="G626" t="str">
        <f t="shared" si="20"/>
        <v>Jul</v>
      </c>
      <c r="H626" t="str">
        <f t="shared" si="21"/>
        <v>2023</v>
      </c>
    </row>
    <row r="627" spans="1:8" hidden="1" x14ac:dyDescent="0.35">
      <c r="A627" t="s">
        <v>360</v>
      </c>
      <c r="B627" s="63">
        <f>Balance[[#This Row],[Cost USD]]*147</f>
        <v>735</v>
      </c>
      <c r="C627" s="63">
        <v>5</v>
      </c>
      <c r="D627" s="1" t="s">
        <v>260</v>
      </c>
      <c r="E627" s="27" t="s">
        <v>273</v>
      </c>
      <c r="F627" s="2">
        <v>45130</v>
      </c>
      <c r="G627" t="str">
        <f t="shared" si="20"/>
        <v>Jul</v>
      </c>
      <c r="H627" t="str">
        <f t="shared" si="21"/>
        <v>2023</v>
      </c>
    </row>
    <row r="628" spans="1:8" hidden="1" x14ac:dyDescent="0.35">
      <c r="A628" t="s">
        <v>283</v>
      </c>
      <c r="B628" s="63">
        <v>57040</v>
      </c>
      <c r="C628" s="63">
        <f>Balance[[#This Row],[COST]]/147</f>
        <v>388.02721088435374</v>
      </c>
      <c r="D628" s="63" t="s">
        <v>15</v>
      </c>
      <c r="E628" s="27" t="s">
        <v>269</v>
      </c>
      <c r="F628" s="2">
        <v>45132</v>
      </c>
      <c r="G628" t="str">
        <f t="shared" si="20"/>
        <v>Jul</v>
      </c>
      <c r="H628" t="str">
        <f t="shared" si="21"/>
        <v>2023</v>
      </c>
    </row>
    <row r="629" spans="1:8" x14ac:dyDescent="0.35">
      <c r="A629" t="s">
        <v>39</v>
      </c>
      <c r="B629" s="63">
        <f>Balance[[#This Row],[Cost USD]]*147</f>
        <v>7247.0999999999995</v>
      </c>
      <c r="C629" s="63">
        <v>49.3</v>
      </c>
      <c r="D629" s="1" t="s">
        <v>689</v>
      </c>
      <c r="E629" s="27" t="s">
        <v>275</v>
      </c>
      <c r="F629" s="2">
        <v>45133</v>
      </c>
      <c r="G629" t="str">
        <f t="shared" si="20"/>
        <v>Jul</v>
      </c>
      <c r="H629" t="str">
        <f t="shared" si="21"/>
        <v>2023</v>
      </c>
    </row>
    <row r="630" spans="1:8" x14ac:dyDescent="0.35">
      <c r="A630" t="s">
        <v>40</v>
      </c>
      <c r="B630" s="63">
        <f>Balance[[#This Row],[Cost USD]]*147</f>
        <v>2787.1200000000003</v>
      </c>
      <c r="C630" s="63">
        <v>18.96</v>
      </c>
      <c r="D630" s="1" t="s">
        <v>689</v>
      </c>
      <c r="E630" s="27" t="s">
        <v>275</v>
      </c>
      <c r="F630" s="2">
        <v>45133</v>
      </c>
      <c r="G630" t="str">
        <f t="shared" si="20"/>
        <v>Jul</v>
      </c>
      <c r="H630" t="str">
        <f t="shared" si="21"/>
        <v>2023</v>
      </c>
    </row>
    <row r="631" spans="1:8" hidden="1" x14ac:dyDescent="0.35">
      <c r="A631" t="s">
        <v>3</v>
      </c>
      <c r="B631" s="63">
        <f>Balance[[#This Row],[Cost USD]]*147</f>
        <v>780.56999999999994</v>
      </c>
      <c r="C631" s="63">
        <v>5.31</v>
      </c>
      <c r="D631" s="1" t="s">
        <v>259</v>
      </c>
      <c r="E631" s="27" t="s">
        <v>265</v>
      </c>
      <c r="F631" s="2">
        <v>45133</v>
      </c>
      <c r="G631" t="str">
        <f t="shared" si="20"/>
        <v>Jul</v>
      </c>
      <c r="H631" t="str">
        <f t="shared" si="21"/>
        <v>2023</v>
      </c>
    </row>
    <row r="632" spans="1:8" hidden="1" x14ac:dyDescent="0.35">
      <c r="A632" t="s">
        <v>361</v>
      </c>
      <c r="B632" s="63">
        <f>Balance[[#This Row],[Cost USD]]*147</f>
        <v>223.44</v>
      </c>
      <c r="C632" s="63">
        <v>1.52</v>
      </c>
      <c r="D632" s="1" t="s">
        <v>259</v>
      </c>
      <c r="E632" s="27" t="s">
        <v>265</v>
      </c>
      <c r="F632" s="2">
        <v>45133</v>
      </c>
      <c r="G632" t="str">
        <f t="shared" si="20"/>
        <v>Jul</v>
      </c>
      <c r="H632" t="str">
        <f t="shared" si="21"/>
        <v>2023</v>
      </c>
    </row>
    <row r="633" spans="1:8" hidden="1" x14ac:dyDescent="0.35">
      <c r="A633" t="s">
        <v>42</v>
      </c>
      <c r="B633" s="63">
        <v>7884</v>
      </c>
      <c r="C633" s="63">
        <f>Balance[[#This Row],[COST]]/147</f>
        <v>53.632653061224488</v>
      </c>
      <c r="D633" s="63" t="s">
        <v>42</v>
      </c>
      <c r="E633" s="27" t="s">
        <v>270</v>
      </c>
      <c r="F633" s="2">
        <v>45135</v>
      </c>
      <c r="G633" t="str">
        <f t="shared" si="20"/>
        <v>Jul</v>
      </c>
      <c r="H633" t="str">
        <f t="shared" si="21"/>
        <v>2023</v>
      </c>
    </row>
    <row r="634" spans="1:8" x14ac:dyDescent="0.35">
      <c r="A634" t="s">
        <v>365</v>
      </c>
      <c r="B634" s="63">
        <f>Balance[[#This Row],[Cost USD]]*147</f>
        <v>2205</v>
      </c>
      <c r="C634" s="63">
        <v>15</v>
      </c>
      <c r="D634" s="1" t="s">
        <v>689</v>
      </c>
      <c r="E634" s="27" t="s">
        <v>275</v>
      </c>
      <c r="F634" s="2">
        <v>45137</v>
      </c>
      <c r="G634" t="str">
        <f t="shared" si="20"/>
        <v>Jul</v>
      </c>
      <c r="H634" t="str">
        <f t="shared" si="21"/>
        <v>2023</v>
      </c>
    </row>
    <row r="635" spans="1:8" x14ac:dyDescent="0.35">
      <c r="A635" t="s">
        <v>366</v>
      </c>
      <c r="B635" s="63">
        <f>Balance[[#This Row],[Cost USD]]*147</f>
        <v>1470</v>
      </c>
      <c r="C635" s="63">
        <v>10</v>
      </c>
      <c r="D635" s="1" t="s">
        <v>689</v>
      </c>
      <c r="E635" s="27" t="s">
        <v>275</v>
      </c>
      <c r="F635" s="2">
        <v>45137</v>
      </c>
      <c r="G635" t="str">
        <f t="shared" si="20"/>
        <v>Jul</v>
      </c>
      <c r="H635" t="str">
        <f t="shared" si="21"/>
        <v>2023</v>
      </c>
    </row>
    <row r="636" spans="1:8" x14ac:dyDescent="0.35">
      <c r="A636" t="s">
        <v>364</v>
      </c>
      <c r="B636" s="63">
        <f>Balance[[#This Row],[Cost USD]]*147</f>
        <v>1761.0600000000002</v>
      </c>
      <c r="C636" s="63">
        <v>11.98</v>
      </c>
      <c r="D636" s="1" t="s">
        <v>689</v>
      </c>
      <c r="E636" s="27" t="s">
        <v>275</v>
      </c>
      <c r="F636" s="2">
        <v>45138</v>
      </c>
      <c r="G636" t="str">
        <f t="shared" si="20"/>
        <v>Jul</v>
      </c>
      <c r="H636" t="str">
        <f t="shared" si="21"/>
        <v>2023</v>
      </c>
    </row>
    <row r="637" spans="1:8" hidden="1" x14ac:dyDescent="0.35">
      <c r="A637" t="s">
        <v>327</v>
      </c>
      <c r="B637" s="63">
        <f>Balance[[#This Row],[Cost USD]]*147</f>
        <v>1029</v>
      </c>
      <c r="C637" s="63">
        <v>7</v>
      </c>
      <c r="D637" s="1" t="s">
        <v>259</v>
      </c>
      <c r="E637" s="27" t="s">
        <v>265</v>
      </c>
      <c r="F637" s="2">
        <v>45144</v>
      </c>
      <c r="G637" t="str">
        <f t="shared" si="20"/>
        <v>Aug</v>
      </c>
      <c r="H637" t="str">
        <f t="shared" si="21"/>
        <v>2023</v>
      </c>
    </row>
    <row r="638" spans="1:8" hidden="1" x14ac:dyDescent="0.35">
      <c r="A638" t="s">
        <v>196</v>
      </c>
      <c r="B638" s="63">
        <f>Balance[[#This Row],[Cost USD]]*147</f>
        <v>3087</v>
      </c>
      <c r="C638" s="63">
        <v>21</v>
      </c>
      <c r="D638" s="1" t="s">
        <v>259</v>
      </c>
      <c r="E638" s="27" t="s">
        <v>268</v>
      </c>
      <c r="F638" s="2">
        <v>45144</v>
      </c>
      <c r="G638" t="str">
        <f t="shared" si="20"/>
        <v>Aug</v>
      </c>
      <c r="H638" t="str">
        <f t="shared" si="21"/>
        <v>2023</v>
      </c>
    </row>
    <row r="639" spans="1:8" x14ac:dyDescent="0.35">
      <c r="A639" t="s">
        <v>367</v>
      </c>
      <c r="B639" s="63">
        <f>Balance[[#This Row],[Cost USD]]*147</f>
        <v>10878</v>
      </c>
      <c r="C639" s="63">
        <v>74</v>
      </c>
      <c r="D639" s="1" t="s">
        <v>689</v>
      </c>
      <c r="E639" s="27" t="s">
        <v>275</v>
      </c>
      <c r="F639" s="2">
        <v>45152</v>
      </c>
      <c r="G639" t="str">
        <f t="shared" si="20"/>
        <v>Aug</v>
      </c>
      <c r="H639" t="str">
        <f t="shared" si="21"/>
        <v>2023</v>
      </c>
    </row>
    <row r="640" spans="1:8" x14ac:dyDescent="0.35">
      <c r="A640" t="s">
        <v>368</v>
      </c>
      <c r="B640" s="63">
        <f>Balance[[#This Row],[Cost USD]]*147</f>
        <v>16170</v>
      </c>
      <c r="C640" s="63">
        <v>110</v>
      </c>
      <c r="D640" s="1" t="s">
        <v>689</v>
      </c>
      <c r="E640" s="27" t="s">
        <v>275</v>
      </c>
      <c r="F640" s="2">
        <v>45152</v>
      </c>
      <c r="G640" t="str">
        <f t="shared" si="20"/>
        <v>Aug</v>
      </c>
      <c r="H640" t="str">
        <f t="shared" si="21"/>
        <v>2023</v>
      </c>
    </row>
    <row r="641" spans="1:8" x14ac:dyDescent="0.35">
      <c r="A641" t="s">
        <v>39</v>
      </c>
      <c r="B641" s="63">
        <f>Balance[[#This Row],[Cost USD]]*147</f>
        <v>7056</v>
      </c>
      <c r="C641" s="63">
        <v>48</v>
      </c>
      <c r="D641" s="1" t="s">
        <v>689</v>
      </c>
      <c r="E641" s="27" t="s">
        <v>275</v>
      </c>
      <c r="F641" s="2">
        <v>45153</v>
      </c>
      <c r="G641" t="str">
        <f t="shared" si="20"/>
        <v>Aug</v>
      </c>
      <c r="H641" t="str">
        <f t="shared" si="21"/>
        <v>2023</v>
      </c>
    </row>
    <row r="642" spans="1:8" x14ac:dyDescent="0.35">
      <c r="A642" t="s">
        <v>40</v>
      </c>
      <c r="B642" s="63">
        <f>Balance[[#This Row],[Cost USD]]*147</f>
        <v>4116</v>
      </c>
      <c r="C642" s="63">
        <v>28</v>
      </c>
      <c r="D642" s="1" t="s">
        <v>689</v>
      </c>
      <c r="E642" s="27" t="s">
        <v>275</v>
      </c>
      <c r="F642" s="2">
        <v>45153</v>
      </c>
      <c r="G642" t="str">
        <f t="shared" si="20"/>
        <v>Aug</v>
      </c>
      <c r="H642" t="str">
        <f t="shared" si="21"/>
        <v>2023</v>
      </c>
    </row>
    <row r="643" spans="1:8" hidden="1" x14ac:dyDescent="0.35">
      <c r="A643" t="s">
        <v>67</v>
      </c>
      <c r="B643" s="63">
        <f>Balance[[#This Row],[Cost USD]]*147</f>
        <v>4116</v>
      </c>
      <c r="C643" s="63">
        <v>28</v>
      </c>
      <c r="D643" s="1" t="s">
        <v>259</v>
      </c>
      <c r="E643" s="27" t="s">
        <v>265</v>
      </c>
      <c r="F643" s="2">
        <v>45153</v>
      </c>
      <c r="G643" t="str">
        <f t="shared" si="20"/>
        <v>Aug</v>
      </c>
      <c r="H643" t="str">
        <f t="shared" si="21"/>
        <v>2023</v>
      </c>
    </row>
    <row r="644" spans="1:8" hidden="1" x14ac:dyDescent="0.35">
      <c r="A644" t="s">
        <v>312</v>
      </c>
      <c r="B644" s="63">
        <f>Balance[[#This Row],[Cost USD]]*147</f>
        <v>56742</v>
      </c>
      <c r="C644" s="63">
        <v>386</v>
      </c>
      <c r="D644" s="1" t="s">
        <v>259</v>
      </c>
      <c r="E644" s="27" t="s">
        <v>4</v>
      </c>
      <c r="F644" s="2">
        <v>45154</v>
      </c>
      <c r="G644" t="str">
        <f t="shared" si="20"/>
        <v>Aug</v>
      </c>
      <c r="H644" t="str">
        <f t="shared" si="21"/>
        <v>2023</v>
      </c>
    </row>
    <row r="645" spans="1:8" hidden="1" x14ac:dyDescent="0.35">
      <c r="A645" t="s">
        <v>229</v>
      </c>
      <c r="B645" s="63">
        <f>Balance[[#This Row],[Cost USD]]*147</f>
        <v>880.53000000000009</v>
      </c>
      <c r="C645" s="63">
        <v>5.99</v>
      </c>
      <c r="D645" s="1" t="s">
        <v>259</v>
      </c>
      <c r="E645" s="27" t="s">
        <v>267</v>
      </c>
      <c r="F645" s="2">
        <v>45156</v>
      </c>
      <c r="G645" t="str">
        <f t="shared" si="20"/>
        <v>Aug</v>
      </c>
      <c r="H645" t="str">
        <f t="shared" si="21"/>
        <v>2023</v>
      </c>
    </row>
    <row r="646" spans="1:8" hidden="1" x14ac:dyDescent="0.35">
      <c r="A646" t="s">
        <v>283</v>
      </c>
      <c r="B646" s="63">
        <v>57040</v>
      </c>
      <c r="C646" s="63">
        <f>Balance[[#This Row],[COST]]/147</f>
        <v>388.02721088435374</v>
      </c>
      <c r="D646" s="63" t="s">
        <v>15</v>
      </c>
      <c r="E646" s="27" t="s">
        <v>269</v>
      </c>
      <c r="F646" s="2">
        <v>45161</v>
      </c>
      <c r="G646" t="str">
        <f t="shared" si="20"/>
        <v>Aug</v>
      </c>
      <c r="H646" t="str">
        <f t="shared" si="21"/>
        <v>2023</v>
      </c>
    </row>
    <row r="647" spans="1:8" hidden="1" x14ac:dyDescent="0.35">
      <c r="A647" t="s">
        <v>369</v>
      </c>
      <c r="B647" s="63">
        <v>6000</v>
      </c>
      <c r="C647" s="63">
        <f>Balance[[#This Row],[COST]]/147</f>
        <v>40.816326530612244</v>
      </c>
      <c r="D647" s="1" t="s">
        <v>259</v>
      </c>
      <c r="E647" s="27" t="s">
        <v>267</v>
      </c>
      <c r="F647" s="2">
        <v>45163</v>
      </c>
      <c r="G647" t="str">
        <f t="shared" si="20"/>
        <v>Aug</v>
      </c>
      <c r="H647" t="str">
        <f t="shared" si="21"/>
        <v>2023</v>
      </c>
    </row>
    <row r="648" spans="1:8" hidden="1" x14ac:dyDescent="0.35">
      <c r="A648" t="s">
        <v>242</v>
      </c>
      <c r="B648" s="63">
        <f>Balance[[#This Row],[Cost USD]]*147</f>
        <v>2152.08</v>
      </c>
      <c r="C648" s="63">
        <v>14.64</v>
      </c>
      <c r="D648" s="1" t="s">
        <v>259</v>
      </c>
      <c r="E648" s="27" t="s">
        <v>265</v>
      </c>
      <c r="F648" s="2">
        <v>45166</v>
      </c>
      <c r="G648" t="str">
        <f t="shared" si="20"/>
        <v>Aug</v>
      </c>
      <c r="H648" t="str">
        <f t="shared" si="21"/>
        <v>2023</v>
      </c>
    </row>
    <row r="649" spans="1:8" hidden="1" x14ac:dyDescent="0.35">
      <c r="A649" t="s">
        <v>42</v>
      </c>
      <c r="B649" s="63">
        <v>7884</v>
      </c>
      <c r="C649" s="63">
        <f>Balance[[#This Row],[COST]]/147</f>
        <v>53.632653061224488</v>
      </c>
      <c r="D649" s="63" t="s">
        <v>42</v>
      </c>
      <c r="E649" s="27" t="s">
        <v>270</v>
      </c>
      <c r="F649" s="2">
        <v>45166</v>
      </c>
      <c r="G649" t="str">
        <f t="shared" si="20"/>
        <v>Aug</v>
      </c>
      <c r="H649" t="str">
        <f t="shared" si="21"/>
        <v>2023</v>
      </c>
    </row>
    <row r="650" spans="1:8" hidden="1" x14ac:dyDescent="0.35">
      <c r="A650" t="s">
        <v>60</v>
      </c>
      <c r="B650" s="63">
        <f>Balance[[#This Row],[Cost USD]]*147</f>
        <v>4305.63</v>
      </c>
      <c r="C650" s="63">
        <v>29.29</v>
      </c>
      <c r="D650" s="1" t="s">
        <v>259</v>
      </c>
      <c r="E650" s="27" t="s">
        <v>267</v>
      </c>
      <c r="F650" s="2">
        <v>45167</v>
      </c>
      <c r="G650" t="str">
        <f t="shared" si="20"/>
        <v>Aug</v>
      </c>
      <c r="H650" t="str">
        <f t="shared" si="21"/>
        <v>2023</v>
      </c>
    </row>
    <row r="651" spans="1:8" hidden="1" x14ac:dyDescent="0.35">
      <c r="A651" t="s">
        <v>242</v>
      </c>
      <c r="B651" s="63">
        <f>Balance[[#This Row],[Cost USD]]*147</f>
        <v>1292.1299999999999</v>
      </c>
      <c r="C651" s="63">
        <v>8.7899999999999991</v>
      </c>
      <c r="D651" s="1" t="s">
        <v>259</v>
      </c>
      <c r="E651" s="27" t="s">
        <v>265</v>
      </c>
      <c r="F651" s="2">
        <v>45167</v>
      </c>
      <c r="G651" t="str">
        <f t="shared" si="20"/>
        <v>Aug</v>
      </c>
      <c r="H651" t="str">
        <f t="shared" si="21"/>
        <v>2023</v>
      </c>
    </row>
    <row r="652" spans="1:8" hidden="1" x14ac:dyDescent="0.35">
      <c r="A652" t="s">
        <v>371</v>
      </c>
      <c r="B652" s="63">
        <f>Balance[[#This Row],[Cost USD]]*147</f>
        <v>1430.3100000000002</v>
      </c>
      <c r="C652" s="63">
        <v>9.73</v>
      </c>
      <c r="D652" s="1" t="s">
        <v>259</v>
      </c>
      <c r="E652" s="27" t="s">
        <v>268</v>
      </c>
      <c r="F652" s="2">
        <v>45167</v>
      </c>
      <c r="G652" t="str">
        <f t="shared" si="20"/>
        <v>Aug</v>
      </c>
      <c r="H652" t="str">
        <f t="shared" si="21"/>
        <v>2023</v>
      </c>
    </row>
    <row r="653" spans="1:8" hidden="1" x14ac:dyDescent="0.35">
      <c r="A653" t="s">
        <v>343</v>
      </c>
      <c r="B653" s="63">
        <f>Balance[[#This Row],[Cost USD]]*147</f>
        <v>1076.04</v>
      </c>
      <c r="C653" s="63">
        <v>7.32</v>
      </c>
      <c r="D653" s="1" t="s">
        <v>259</v>
      </c>
      <c r="E653" s="27" t="s">
        <v>265</v>
      </c>
      <c r="F653" s="2">
        <v>45167</v>
      </c>
      <c r="G653" t="str">
        <f t="shared" si="20"/>
        <v>Aug</v>
      </c>
      <c r="H653" t="str">
        <f t="shared" si="21"/>
        <v>2023</v>
      </c>
    </row>
    <row r="654" spans="1:8" hidden="1" x14ac:dyDescent="0.35">
      <c r="A654" t="s">
        <v>372</v>
      </c>
      <c r="B654" s="63">
        <f>Balance[[#This Row],[Cost USD]]*147</f>
        <v>535.08000000000004</v>
      </c>
      <c r="C654" s="63">
        <v>3.64</v>
      </c>
      <c r="D654" s="1" t="s">
        <v>259</v>
      </c>
      <c r="E654" s="27" t="s">
        <v>265</v>
      </c>
      <c r="F654" s="2">
        <v>45167</v>
      </c>
      <c r="G654" t="str">
        <f t="shared" si="20"/>
        <v>Aug</v>
      </c>
      <c r="H654" t="str">
        <f t="shared" si="21"/>
        <v>2023</v>
      </c>
    </row>
    <row r="655" spans="1:8" hidden="1" x14ac:dyDescent="0.35">
      <c r="A655" t="s">
        <v>373</v>
      </c>
      <c r="B655" s="63">
        <f>Balance[[#This Row],[Cost USD]]*147</f>
        <v>682.07999999999993</v>
      </c>
      <c r="C655" s="63">
        <v>4.6399999999999997</v>
      </c>
      <c r="D655" s="1" t="s">
        <v>259</v>
      </c>
      <c r="E655" s="27" t="s">
        <v>265</v>
      </c>
      <c r="F655" s="2">
        <v>45167</v>
      </c>
      <c r="G655" t="str">
        <f t="shared" si="20"/>
        <v>Aug</v>
      </c>
      <c r="H655" t="str">
        <f t="shared" si="21"/>
        <v>2023</v>
      </c>
    </row>
    <row r="656" spans="1:8" hidden="1" x14ac:dyDescent="0.35">
      <c r="A656" t="s">
        <v>285</v>
      </c>
      <c r="B656" s="63">
        <f>Balance[[#This Row],[Cost USD]]*147</f>
        <v>1292.1299999999999</v>
      </c>
      <c r="C656" s="63">
        <v>8.7899999999999991</v>
      </c>
      <c r="D656" s="1" t="s">
        <v>259</v>
      </c>
      <c r="E656" s="27" t="s">
        <v>265</v>
      </c>
      <c r="F656" s="2">
        <v>45171</v>
      </c>
      <c r="G656" t="str">
        <f t="shared" si="20"/>
        <v>Sep</v>
      </c>
      <c r="H656" t="str">
        <f t="shared" si="21"/>
        <v>2023</v>
      </c>
    </row>
    <row r="657" spans="1:8" hidden="1" x14ac:dyDescent="0.35">
      <c r="A657" t="s">
        <v>370</v>
      </c>
      <c r="B657" s="63">
        <f>Balance[[#This Row],[Cost USD]]*147</f>
        <v>538.02</v>
      </c>
      <c r="C657" s="63">
        <v>3.66</v>
      </c>
      <c r="D657" s="1" t="s">
        <v>259</v>
      </c>
      <c r="E657" s="27" t="s">
        <v>265</v>
      </c>
      <c r="F657" s="2">
        <v>45171</v>
      </c>
      <c r="G657" t="str">
        <f t="shared" si="20"/>
        <v>Sep</v>
      </c>
      <c r="H657" t="str">
        <f t="shared" si="21"/>
        <v>2023</v>
      </c>
    </row>
    <row r="658" spans="1:8" hidden="1" x14ac:dyDescent="0.35">
      <c r="A658" t="s">
        <v>375</v>
      </c>
      <c r="B658" s="63">
        <f>Balance[[#This Row],[Cost USD]]*147</f>
        <v>1090.74</v>
      </c>
      <c r="C658" s="63">
        <v>7.42</v>
      </c>
      <c r="D658" s="1" t="s">
        <v>259</v>
      </c>
      <c r="E658" s="27" t="s">
        <v>265</v>
      </c>
      <c r="F658" s="2">
        <v>45183</v>
      </c>
      <c r="G658" t="str">
        <f t="shared" si="20"/>
        <v>Sep</v>
      </c>
      <c r="H658" t="str">
        <f t="shared" si="21"/>
        <v>2023</v>
      </c>
    </row>
    <row r="659" spans="1:8" x14ac:dyDescent="0.35">
      <c r="A659" t="s">
        <v>376</v>
      </c>
      <c r="B659" s="63">
        <f>Balance[[#This Row],[Cost USD]]*147</f>
        <v>980.49</v>
      </c>
      <c r="C659" s="63">
        <v>6.67</v>
      </c>
      <c r="D659" s="1" t="s">
        <v>689</v>
      </c>
      <c r="E659" s="27" t="s">
        <v>275</v>
      </c>
      <c r="F659" s="2">
        <v>45183</v>
      </c>
      <c r="G659" t="str">
        <f t="shared" si="20"/>
        <v>Sep</v>
      </c>
      <c r="H659" t="str">
        <f t="shared" si="21"/>
        <v>2023</v>
      </c>
    </row>
    <row r="660" spans="1:8" x14ac:dyDescent="0.35">
      <c r="A660" t="s">
        <v>378</v>
      </c>
      <c r="B660" s="63">
        <f>Balance[[#This Row],[Cost USD]]*147</f>
        <v>3748.5</v>
      </c>
      <c r="C660" s="63">
        <v>25.5</v>
      </c>
      <c r="D660" s="1" t="s">
        <v>689</v>
      </c>
      <c r="E660" s="27" t="s">
        <v>275</v>
      </c>
      <c r="F660" s="2">
        <v>45183</v>
      </c>
      <c r="G660" t="str">
        <f t="shared" si="20"/>
        <v>Sep</v>
      </c>
      <c r="H660" t="str">
        <f t="shared" si="21"/>
        <v>2023</v>
      </c>
    </row>
    <row r="661" spans="1:8" hidden="1" x14ac:dyDescent="0.35">
      <c r="A661" t="s">
        <v>242</v>
      </c>
      <c r="B661" s="63">
        <f>Balance[[#This Row],[Cost USD]]*147</f>
        <v>1323</v>
      </c>
      <c r="C661" s="63">
        <v>9</v>
      </c>
      <c r="D661" s="1" t="s">
        <v>259</v>
      </c>
      <c r="E661" s="27" t="s">
        <v>265</v>
      </c>
      <c r="F661" s="2">
        <v>45184</v>
      </c>
      <c r="G661" t="str">
        <f t="shared" si="20"/>
        <v>Sep</v>
      </c>
      <c r="H661" t="str">
        <f t="shared" si="21"/>
        <v>2023</v>
      </c>
    </row>
    <row r="662" spans="1:8" x14ac:dyDescent="0.35">
      <c r="A662" t="s">
        <v>377</v>
      </c>
      <c r="B662" s="63">
        <f>Balance[[#This Row],[Cost USD]]*147</f>
        <v>4851</v>
      </c>
      <c r="C662" s="63">
        <v>33</v>
      </c>
      <c r="D662" s="1" t="s">
        <v>689</v>
      </c>
      <c r="E662" s="27" t="s">
        <v>275</v>
      </c>
      <c r="F662" s="2">
        <v>45184</v>
      </c>
      <c r="G662" t="str">
        <f t="shared" si="20"/>
        <v>Sep</v>
      </c>
      <c r="H662" t="str">
        <f t="shared" si="21"/>
        <v>2023</v>
      </c>
    </row>
    <row r="663" spans="1:8" x14ac:dyDescent="0.35">
      <c r="A663" t="s">
        <v>379</v>
      </c>
      <c r="B663" s="63">
        <f>Balance[[#This Row],[Cost USD]]*147</f>
        <v>654.15</v>
      </c>
      <c r="C663" s="63">
        <v>4.45</v>
      </c>
      <c r="D663" s="1" t="s">
        <v>689</v>
      </c>
      <c r="E663" s="27" t="s">
        <v>275</v>
      </c>
      <c r="F663" s="2">
        <v>45184</v>
      </c>
      <c r="G663" t="str">
        <f t="shared" si="20"/>
        <v>Sep</v>
      </c>
      <c r="H663" t="str">
        <f t="shared" si="21"/>
        <v>2023</v>
      </c>
    </row>
    <row r="664" spans="1:8" hidden="1" x14ac:dyDescent="0.35">
      <c r="A664" t="s">
        <v>343</v>
      </c>
      <c r="B664" s="63">
        <f>Balance[[#This Row],[Cost USD]]*147</f>
        <v>1470</v>
      </c>
      <c r="C664" s="63">
        <v>10</v>
      </c>
      <c r="D664" s="1" t="s">
        <v>259</v>
      </c>
      <c r="E664" s="27" t="s">
        <v>265</v>
      </c>
      <c r="F664" s="2">
        <v>45184</v>
      </c>
      <c r="G664" t="str">
        <f t="shared" si="20"/>
        <v>Sep</v>
      </c>
      <c r="H664" t="str">
        <f t="shared" si="21"/>
        <v>2023</v>
      </c>
    </row>
    <row r="665" spans="1:8" hidden="1" x14ac:dyDescent="0.35">
      <c r="A665" t="s">
        <v>374</v>
      </c>
      <c r="B665" s="63">
        <f>Balance[[#This Row],[Cost USD]]*147</f>
        <v>1634.6399999999999</v>
      </c>
      <c r="C665" s="63">
        <v>11.12</v>
      </c>
      <c r="D665" s="1" t="s">
        <v>259</v>
      </c>
      <c r="E665" s="27" t="s">
        <v>265</v>
      </c>
      <c r="F665" s="2">
        <v>45187</v>
      </c>
      <c r="G665" t="str">
        <f t="shared" si="20"/>
        <v>Sep</v>
      </c>
      <c r="H665" t="str">
        <f t="shared" si="21"/>
        <v>2023</v>
      </c>
    </row>
    <row r="666" spans="1:8" hidden="1" x14ac:dyDescent="0.35">
      <c r="A666" t="s">
        <v>242</v>
      </c>
      <c r="B666" s="63">
        <f>Balance[[#This Row],[Cost USD]]*147</f>
        <v>1323</v>
      </c>
      <c r="C666" s="63">
        <v>9</v>
      </c>
      <c r="D666" s="1" t="s">
        <v>259</v>
      </c>
      <c r="E666" s="27" t="s">
        <v>265</v>
      </c>
      <c r="F666" s="2">
        <v>45187</v>
      </c>
      <c r="G666" t="str">
        <f t="shared" si="20"/>
        <v>Sep</v>
      </c>
      <c r="H666" t="str">
        <f t="shared" si="21"/>
        <v>2023</v>
      </c>
    </row>
    <row r="667" spans="1:8" hidden="1" x14ac:dyDescent="0.35">
      <c r="A667" t="s">
        <v>229</v>
      </c>
      <c r="B667" s="63">
        <f>Balance[[#This Row],[Cost USD]]*147</f>
        <v>880.53000000000009</v>
      </c>
      <c r="C667" s="63">
        <v>5.99</v>
      </c>
      <c r="D667" s="1" t="s">
        <v>259</v>
      </c>
      <c r="E667" s="27" t="s">
        <v>267</v>
      </c>
      <c r="F667" s="2">
        <v>45187</v>
      </c>
      <c r="G667" t="str">
        <f t="shared" si="20"/>
        <v>Sep</v>
      </c>
      <c r="H667" t="str">
        <f t="shared" si="21"/>
        <v>2023</v>
      </c>
    </row>
    <row r="668" spans="1:8" hidden="1" x14ac:dyDescent="0.35">
      <c r="A668" t="s">
        <v>283</v>
      </c>
      <c r="B668" s="63">
        <v>57040</v>
      </c>
      <c r="C668" s="63">
        <f>Balance[[#This Row],[COST]]/147</f>
        <v>388.02721088435374</v>
      </c>
      <c r="D668" s="63" t="s">
        <v>15</v>
      </c>
      <c r="E668" s="27" t="s">
        <v>269</v>
      </c>
      <c r="F668" s="2">
        <v>45194</v>
      </c>
      <c r="G668" t="str">
        <f t="shared" si="20"/>
        <v>Sep</v>
      </c>
      <c r="H668" t="str">
        <f t="shared" si="21"/>
        <v>2023</v>
      </c>
    </row>
    <row r="669" spans="1:8" hidden="1" x14ac:dyDescent="0.35">
      <c r="A669" t="s">
        <v>196</v>
      </c>
      <c r="B669" s="63">
        <f>Balance[[#This Row],[Cost USD]]*147</f>
        <v>4704</v>
      </c>
      <c r="C669" s="63">
        <v>32</v>
      </c>
      <c r="D669" s="1" t="s">
        <v>259</v>
      </c>
      <c r="E669" s="27" t="s">
        <v>268</v>
      </c>
      <c r="F669" s="2">
        <v>45194</v>
      </c>
      <c r="G669" t="str">
        <f t="shared" si="20"/>
        <v>Sep</v>
      </c>
      <c r="H669" t="str">
        <f t="shared" si="21"/>
        <v>2023</v>
      </c>
    </row>
    <row r="670" spans="1:8" hidden="1" x14ac:dyDescent="0.35">
      <c r="A670" t="s">
        <v>42</v>
      </c>
      <c r="B670" s="63">
        <v>7884</v>
      </c>
      <c r="C670" s="63">
        <f>Balance[[#This Row],[COST]]/147</f>
        <v>53.632653061224488</v>
      </c>
      <c r="D670" s="63" t="s">
        <v>42</v>
      </c>
      <c r="E670" s="27" t="s">
        <v>270</v>
      </c>
      <c r="F670" s="2">
        <v>45197</v>
      </c>
      <c r="G670" t="str">
        <f t="shared" si="20"/>
        <v>Sep</v>
      </c>
      <c r="H670" t="str">
        <f t="shared" si="21"/>
        <v>2023</v>
      </c>
    </row>
    <row r="671" spans="1:8" hidden="1" x14ac:dyDescent="0.35">
      <c r="A671" t="s">
        <v>374</v>
      </c>
      <c r="B671" s="63">
        <f>Balance[[#This Row],[Cost USD]]*147</f>
        <v>6615</v>
      </c>
      <c r="C671" s="63">
        <v>45</v>
      </c>
      <c r="D671" s="1" t="s">
        <v>259</v>
      </c>
      <c r="E671" s="27" t="s">
        <v>265</v>
      </c>
      <c r="F671" s="2">
        <v>45205</v>
      </c>
      <c r="G671" t="str">
        <f t="shared" ref="G671:G734" si="22">TEXT(F671,"mmm")</f>
        <v>Oct</v>
      </c>
      <c r="H671" t="str">
        <f t="shared" ref="H671:H734" si="23">TEXT(F671,"yyy")</f>
        <v>2023</v>
      </c>
    </row>
    <row r="672" spans="1:8" hidden="1" x14ac:dyDescent="0.35">
      <c r="A672" t="s">
        <v>380</v>
      </c>
      <c r="B672" s="63">
        <f>Balance[[#This Row],[Cost USD]]*147</f>
        <v>1176</v>
      </c>
      <c r="C672" s="63">
        <v>8</v>
      </c>
      <c r="D672" s="1" t="s">
        <v>259</v>
      </c>
      <c r="E672" s="27" t="s">
        <v>268</v>
      </c>
      <c r="F672" s="2">
        <v>45208</v>
      </c>
      <c r="G672" t="str">
        <f t="shared" si="22"/>
        <v>Oct</v>
      </c>
      <c r="H672" t="str">
        <f t="shared" si="23"/>
        <v>2023</v>
      </c>
    </row>
    <row r="673" spans="1:11" hidden="1" x14ac:dyDescent="0.35">
      <c r="A673" t="s">
        <v>327</v>
      </c>
      <c r="B673" s="63">
        <f>Balance[[#This Row],[Cost USD]]*147</f>
        <v>2646</v>
      </c>
      <c r="C673" s="63">
        <v>18</v>
      </c>
      <c r="D673" s="1" t="s">
        <v>259</v>
      </c>
      <c r="E673" s="27" t="s">
        <v>265</v>
      </c>
      <c r="F673" s="2">
        <v>45209</v>
      </c>
      <c r="G673" t="str">
        <f t="shared" si="22"/>
        <v>Oct</v>
      </c>
      <c r="H673" t="str">
        <f t="shared" si="23"/>
        <v>2023</v>
      </c>
    </row>
    <row r="674" spans="1:11" hidden="1" x14ac:dyDescent="0.35">
      <c r="A674" t="s">
        <v>229</v>
      </c>
      <c r="B674" s="63">
        <f>Balance[[#This Row],[Cost USD]]*147</f>
        <v>880.53000000000009</v>
      </c>
      <c r="C674" s="63">
        <v>5.99</v>
      </c>
      <c r="D674" s="63" t="s">
        <v>259</v>
      </c>
      <c r="E674" s="27" t="s">
        <v>267</v>
      </c>
      <c r="F674" s="2">
        <v>45214</v>
      </c>
      <c r="G674" t="str">
        <f t="shared" si="22"/>
        <v>Oct</v>
      </c>
      <c r="H674" t="str">
        <f t="shared" si="23"/>
        <v>2023</v>
      </c>
    </row>
    <row r="675" spans="1:11" hidden="1" x14ac:dyDescent="0.35">
      <c r="A675" t="s">
        <v>114</v>
      </c>
      <c r="B675" s="63">
        <f>Balance[[#This Row],[Cost USD]]*147</f>
        <v>1911</v>
      </c>
      <c r="C675" s="63">
        <v>13</v>
      </c>
      <c r="D675" s="1" t="s">
        <v>259</v>
      </c>
      <c r="E675" s="27" t="s">
        <v>265</v>
      </c>
      <c r="F675" s="2">
        <v>45215</v>
      </c>
      <c r="G675" t="str">
        <f t="shared" si="22"/>
        <v>Oct</v>
      </c>
      <c r="H675" t="str">
        <f t="shared" si="23"/>
        <v>2023</v>
      </c>
    </row>
    <row r="676" spans="1:11" hidden="1" x14ac:dyDescent="0.35">
      <c r="A676" t="s">
        <v>374</v>
      </c>
      <c r="B676" s="63">
        <f>Balance[[#This Row],[Cost USD]]*147</f>
        <v>15582</v>
      </c>
      <c r="C676" s="63">
        <v>106</v>
      </c>
      <c r="D676" s="1" t="s">
        <v>259</v>
      </c>
      <c r="E676" s="27" t="s">
        <v>265</v>
      </c>
      <c r="F676" s="2">
        <v>45220</v>
      </c>
      <c r="G676" t="str">
        <f t="shared" si="22"/>
        <v>Oct</v>
      </c>
      <c r="H676" t="str">
        <f t="shared" si="23"/>
        <v>2023</v>
      </c>
    </row>
    <row r="677" spans="1:11" hidden="1" x14ac:dyDescent="0.35">
      <c r="A677" t="s">
        <v>450</v>
      </c>
      <c r="B677" s="63">
        <f>Balance[[#This Row],[Cost USD]]*147</f>
        <v>11613</v>
      </c>
      <c r="C677" s="63">
        <v>79</v>
      </c>
      <c r="D677" s="1" t="s">
        <v>259</v>
      </c>
      <c r="E677" s="27" t="s">
        <v>268</v>
      </c>
      <c r="F677" s="2">
        <v>45222</v>
      </c>
      <c r="G677" t="str">
        <f t="shared" si="22"/>
        <v>Oct</v>
      </c>
      <c r="H677" t="str">
        <f t="shared" si="23"/>
        <v>2023</v>
      </c>
    </row>
    <row r="678" spans="1:11" hidden="1" x14ac:dyDescent="0.35">
      <c r="A678" t="s">
        <v>381</v>
      </c>
      <c r="B678" s="63">
        <f>Balance[[#This Row],[Cost USD]]*147</f>
        <v>1468.53</v>
      </c>
      <c r="C678" s="63">
        <v>9.99</v>
      </c>
      <c r="D678" s="1" t="s">
        <v>259</v>
      </c>
      <c r="E678" s="27" t="s">
        <v>268</v>
      </c>
      <c r="F678" s="2">
        <v>45222</v>
      </c>
      <c r="G678" t="str">
        <f t="shared" si="22"/>
        <v>Oct</v>
      </c>
      <c r="H678" t="str">
        <f t="shared" si="23"/>
        <v>2023</v>
      </c>
    </row>
    <row r="679" spans="1:11" hidden="1" x14ac:dyDescent="0.35">
      <c r="A679" t="s">
        <v>382</v>
      </c>
      <c r="B679" s="63">
        <f>Balance[[#This Row],[Cost USD]]*147</f>
        <v>439.53000000000003</v>
      </c>
      <c r="C679" s="63">
        <v>2.99</v>
      </c>
      <c r="D679" s="1" t="s">
        <v>259</v>
      </c>
      <c r="E679" s="27" t="s">
        <v>268</v>
      </c>
      <c r="F679" s="2">
        <v>45222</v>
      </c>
      <c r="G679" t="str">
        <f t="shared" si="22"/>
        <v>Oct</v>
      </c>
      <c r="H679" t="str">
        <f t="shared" si="23"/>
        <v>2023</v>
      </c>
    </row>
    <row r="680" spans="1:11" hidden="1" x14ac:dyDescent="0.35">
      <c r="A680" t="s">
        <v>383</v>
      </c>
      <c r="B680" s="63">
        <f>Balance[[#This Row],[Cost USD]]*147</f>
        <v>366.03000000000003</v>
      </c>
      <c r="C680" s="63">
        <v>2.4900000000000002</v>
      </c>
      <c r="D680" s="1" t="s">
        <v>259</v>
      </c>
      <c r="E680" s="27" t="s">
        <v>268</v>
      </c>
      <c r="F680" s="2">
        <v>45222</v>
      </c>
      <c r="G680" t="str">
        <f t="shared" si="22"/>
        <v>Oct</v>
      </c>
      <c r="H680" t="str">
        <f t="shared" si="23"/>
        <v>2023</v>
      </c>
    </row>
    <row r="681" spans="1:11" hidden="1" x14ac:dyDescent="0.35">
      <c r="A681" t="s">
        <v>283</v>
      </c>
      <c r="B681" s="73">
        <v>57040</v>
      </c>
      <c r="C681" s="73">
        <f>Balance[[#This Row],[COST]]/147</f>
        <v>388.02721088435374</v>
      </c>
      <c r="D681" s="73" t="s">
        <v>15</v>
      </c>
      <c r="E681" s="27" t="s">
        <v>269</v>
      </c>
      <c r="F681" s="2">
        <v>45224</v>
      </c>
      <c r="G681" t="str">
        <f t="shared" si="22"/>
        <v>Oct</v>
      </c>
      <c r="H681" t="str">
        <f t="shared" si="23"/>
        <v>2023</v>
      </c>
      <c r="J681">
        <v>85</v>
      </c>
    </row>
    <row r="682" spans="1:11" hidden="1" x14ac:dyDescent="0.35">
      <c r="A682" t="s">
        <v>388</v>
      </c>
      <c r="B682" s="63">
        <f>Balance[[#This Row],[Cost USD]]*147</f>
        <v>441</v>
      </c>
      <c r="C682" s="63">
        <v>3</v>
      </c>
      <c r="D682" s="1" t="s">
        <v>259</v>
      </c>
      <c r="E682" s="27" t="s">
        <v>268</v>
      </c>
      <c r="F682" s="2">
        <v>45225</v>
      </c>
      <c r="G682" t="str">
        <f t="shared" si="22"/>
        <v>Oct</v>
      </c>
      <c r="H682" t="str">
        <f t="shared" si="23"/>
        <v>2023</v>
      </c>
      <c r="J682">
        <v>27</v>
      </c>
      <c r="K682">
        <v>5.39</v>
      </c>
    </row>
    <row r="683" spans="1:11" hidden="1" x14ac:dyDescent="0.35">
      <c r="A683" t="s">
        <v>42</v>
      </c>
      <c r="B683" s="73">
        <v>7884</v>
      </c>
      <c r="C683" s="73">
        <f>Balance[[#This Row],[COST]]/147</f>
        <v>53.632653061224488</v>
      </c>
      <c r="D683" s="73" t="s">
        <v>42</v>
      </c>
      <c r="E683" s="27" t="s">
        <v>270</v>
      </c>
      <c r="F683" s="2">
        <v>45227</v>
      </c>
      <c r="G683" t="str">
        <f t="shared" si="22"/>
        <v>Oct</v>
      </c>
      <c r="H683" t="str">
        <f t="shared" si="23"/>
        <v>2023</v>
      </c>
      <c r="K683">
        <v>10</v>
      </c>
    </row>
    <row r="684" spans="1:11" hidden="1" x14ac:dyDescent="0.35">
      <c r="A684" t="s">
        <v>384</v>
      </c>
      <c r="B684" s="63">
        <f>Balance[[#This Row],[Cost USD]]*147</f>
        <v>395.43</v>
      </c>
      <c r="C684" s="63">
        <v>2.69</v>
      </c>
      <c r="D684" s="1" t="s">
        <v>259</v>
      </c>
      <c r="E684" s="27" t="s">
        <v>265</v>
      </c>
      <c r="F684" s="2">
        <v>45229</v>
      </c>
      <c r="G684" t="str">
        <f t="shared" si="22"/>
        <v>Oct</v>
      </c>
      <c r="H684" t="str">
        <f t="shared" si="23"/>
        <v>2023</v>
      </c>
      <c r="J684">
        <f>J681-J682</f>
        <v>58</v>
      </c>
    </row>
    <row r="685" spans="1:11" hidden="1" x14ac:dyDescent="0.35">
      <c r="A685" t="s">
        <v>299</v>
      </c>
      <c r="B685" s="63">
        <f>Balance[[#This Row],[Cost USD]]*147</f>
        <v>410.13</v>
      </c>
      <c r="C685" s="63">
        <v>2.79</v>
      </c>
      <c r="D685" s="1" t="s">
        <v>259</v>
      </c>
      <c r="E685" s="27" t="s">
        <v>265</v>
      </c>
      <c r="F685" s="2">
        <v>45229</v>
      </c>
      <c r="G685" t="str">
        <f t="shared" si="22"/>
        <v>Oct</v>
      </c>
      <c r="H685" t="str">
        <f t="shared" si="23"/>
        <v>2023</v>
      </c>
    </row>
    <row r="686" spans="1:11" hidden="1" x14ac:dyDescent="0.35">
      <c r="A686" t="s">
        <v>385</v>
      </c>
      <c r="B686" s="63">
        <f>Balance[[#This Row],[Cost USD]]*147</f>
        <v>514.5</v>
      </c>
      <c r="C686" s="63">
        <v>3.5</v>
      </c>
      <c r="D686" s="1" t="s">
        <v>259</v>
      </c>
      <c r="E686" s="27" t="s">
        <v>265</v>
      </c>
      <c r="F686" s="2">
        <v>45229</v>
      </c>
      <c r="G686" t="str">
        <f t="shared" si="22"/>
        <v>Oct</v>
      </c>
      <c r="H686" t="str">
        <f t="shared" si="23"/>
        <v>2023</v>
      </c>
      <c r="J686">
        <f>J684-15</f>
        <v>43</v>
      </c>
    </row>
    <row r="687" spans="1:11" hidden="1" x14ac:dyDescent="0.35">
      <c r="A687" t="s">
        <v>385</v>
      </c>
      <c r="B687" s="63">
        <f>Balance[[#This Row],[Cost USD]]*147</f>
        <v>514.5</v>
      </c>
      <c r="C687" s="63">
        <v>3.5</v>
      </c>
      <c r="D687" s="1" t="s">
        <v>259</v>
      </c>
      <c r="E687" s="27" t="s">
        <v>265</v>
      </c>
      <c r="F687" s="2">
        <v>45229</v>
      </c>
      <c r="G687" t="str">
        <f t="shared" si="22"/>
        <v>Oct</v>
      </c>
      <c r="H687" t="str">
        <f t="shared" si="23"/>
        <v>2023</v>
      </c>
    </row>
    <row r="688" spans="1:11" hidden="1" x14ac:dyDescent="0.35">
      <c r="A688" t="s">
        <v>387</v>
      </c>
      <c r="B688" s="63">
        <f>Balance[[#This Row],[Cost USD]]*147</f>
        <v>1248.03</v>
      </c>
      <c r="C688" s="63">
        <v>8.49</v>
      </c>
      <c r="D688" s="1" t="s">
        <v>259</v>
      </c>
      <c r="E688" s="27" t="s">
        <v>265</v>
      </c>
      <c r="F688" s="2">
        <v>45229</v>
      </c>
      <c r="G688" t="str">
        <f t="shared" si="22"/>
        <v>Oct</v>
      </c>
      <c r="H688" t="str">
        <f t="shared" si="23"/>
        <v>2023</v>
      </c>
    </row>
    <row r="689" spans="1:8" hidden="1" x14ac:dyDescent="0.35">
      <c r="A689" t="s">
        <v>386</v>
      </c>
      <c r="B689" s="63">
        <f>Balance[[#This Row],[Cost USD]]*147</f>
        <v>1027.53</v>
      </c>
      <c r="C689" s="63">
        <v>6.99</v>
      </c>
      <c r="D689" s="1" t="s">
        <v>259</v>
      </c>
      <c r="E689" s="27" t="s">
        <v>265</v>
      </c>
      <c r="F689" s="2">
        <v>45229</v>
      </c>
      <c r="G689" t="str">
        <f t="shared" si="22"/>
        <v>Oct</v>
      </c>
      <c r="H689" t="str">
        <f t="shared" si="23"/>
        <v>2023</v>
      </c>
    </row>
    <row r="690" spans="1:8" x14ac:dyDescent="0.35">
      <c r="A690" t="s">
        <v>391</v>
      </c>
      <c r="B690" s="63">
        <f>Balance[[#This Row],[Cost USD]]*147</f>
        <v>507.15000000000003</v>
      </c>
      <c r="C690" s="63">
        <v>3.45</v>
      </c>
      <c r="D690" s="1" t="s">
        <v>689</v>
      </c>
      <c r="E690" s="27" t="s">
        <v>275</v>
      </c>
      <c r="F690" s="2">
        <v>45232</v>
      </c>
      <c r="G690" t="str">
        <f t="shared" si="22"/>
        <v>Nov</v>
      </c>
      <c r="H690" t="str">
        <f t="shared" si="23"/>
        <v>2023</v>
      </c>
    </row>
    <row r="691" spans="1:8" x14ac:dyDescent="0.35">
      <c r="A691" t="s">
        <v>392</v>
      </c>
      <c r="B691" s="63">
        <f>Balance[[#This Row],[Cost USD]]*147</f>
        <v>727.65</v>
      </c>
      <c r="C691" s="63">
        <v>4.95</v>
      </c>
      <c r="D691" s="1" t="s">
        <v>689</v>
      </c>
      <c r="E691" s="27" t="s">
        <v>275</v>
      </c>
      <c r="F691" s="2">
        <v>45232</v>
      </c>
      <c r="G691" t="str">
        <f t="shared" si="22"/>
        <v>Nov</v>
      </c>
      <c r="H691" t="str">
        <f t="shared" si="23"/>
        <v>2023</v>
      </c>
    </row>
    <row r="692" spans="1:8" x14ac:dyDescent="0.35">
      <c r="A692" t="s">
        <v>389</v>
      </c>
      <c r="B692" s="63">
        <f>Balance[[#This Row],[Cost USD]]*147</f>
        <v>527.73</v>
      </c>
      <c r="C692" s="63">
        <v>3.59</v>
      </c>
      <c r="D692" s="1" t="s">
        <v>689</v>
      </c>
      <c r="E692" s="27" t="s">
        <v>275</v>
      </c>
      <c r="F692" s="2">
        <v>45233</v>
      </c>
      <c r="G692" t="str">
        <f t="shared" si="22"/>
        <v>Nov</v>
      </c>
      <c r="H692" t="str">
        <f t="shared" si="23"/>
        <v>2023</v>
      </c>
    </row>
    <row r="693" spans="1:8" x14ac:dyDescent="0.35">
      <c r="A693" t="s">
        <v>390</v>
      </c>
      <c r="B693" s="63">
        <f>Balance[[#This Row],[Cost USD]]*147</f>
        <v>219.03</v>
      </c>
      <c r="C693" s="63">
        <v>1.49</v>
      </c>
      <c r="D693" s="1" t="s">
        <v>689</v>
      </c>
      <c r="E693" s="27" t="s">
        <v>275</v>
      </c>
      <c r="F693" s="2">
        <v>45233</v>
      </c>
      <c r="G693" t="str">
        <f t="shared" si="22"/>
        <v>Nov</v>
      </c>
      <c r="H693" t="str">
        <f t="shared" si="23"/>
        <v>2023</v>
      </c>
    </row>
    <row r="694" spans="1:8" hidden="1" x14ac:dyDescent="0.35">
      <c r="A694" t="s">
        <v>229</v>
      </c>
      <c r="B694" s="73">
        <f>Balance[[#This Row],[Cost USD]]*147</f>
        <v>880.53000000000009</v>
      </c>
      <c r="C694" s="73">
        <v>5.99</v>
      </c>
      <c r="D694" s="73" t="s">
        <v>259</v>
      </c>
      <c r="E694" s="27" t="s">
        <v>267</v>
      </c>
      <c r="F694" s="2">
        <v>45245</v>
      </c>
      <c r="G694" t="str">
        <f t="shared" si="22"/>
        <v>Nov</v>
      </c>
      <c r="H694" t="str">
        <f t="shared" si="23"/>
        <v>2023</v>
      </c>
    </row>
    <row r="695" spans="1:8" hidden="1" x14ac:dyDescent="0.35">
      <c r="A695" t="s">
        <v>395</v>
      </c>
      <c r="B695" s="63">
        <f>Balance[[#This Row],[Cost USD]]*147</f>
        <v>367.5</v>
      </c>
      <c r="C695" s="1">
        <v>2.5</v>
      </c>
      <c r="D695" s="1" t="s">
        <v>259</v>
      </c>
      <c r="E695" s="27" t="s">
        <v>265</v>
      </c>
      <c r="F695" s="2">
        <v>45247</v>
      </c>
      <c r="G695" t="str">
        <f t="shared" si="22"/>
        <v>Nov</v>
      </c>
      <c r="H695" t="str">
        <f t="shared" si="23"/>
        <v>2023</v>
      </c>
    </row>
    <row r="696" spans="1:8" hidden="1" x14ac:dyDescent="0.35">
      <c r="A696" t="s">
        <v>395</v>
      </c>
      <c r="B696" s="63">
        <f>Balance[[#This Row],[Cost USD]]*147</f>
        <v>367.5</v>
      </c>
      <c r="C696" s="73">
        <v>2.5</v>
      </c>
      <c r="D696" s="1" t="s">
        <v>259</v>
      </c>
      <c r="E696" s="27" t="s">
        <v>265</v>
      </c>
      <c r="F696" s="2">
        <v>45247</v>
      </c>
      <c r="G696" t="str">
        <f t="shared" si="22"/>
        <v>Nov</v>
      </c>
      <c r="H696" t="str">
        <f t="shared" si="23"/>
        <v>2023</v>
      </c>
    </row>
    <row r="697" spans="1:8" hidden="1" x14ac:dyDescent="0.35">
      <c r="A697" t="s">
        <v>395</v>
      </c>
      <c r="B697" s="63">
        <f>Balance[[#This Row],[Cost USD]]*147</f>
        <v>367.5</v>
      </c>
      <c r="C697" s="73">
        <v>2.5</v>
      </c>
      <c r="D697" s="1" t="s">
        <v>259</v>
      </c>
      <c r="E697" s="27" t="s">
        <v>265</v>
      </c>
      <c r="F697" s="2">
        <v>45247</v>
      </c>
      <c r="G697" t="str">
        <f t="shared" si="22"/>
        <v>Nov</v>
      </c>
      <c r="H697" t="str">
        <f t="shared" si="23"/>
        <v>2023</v>
      </c>
    </row>
    <row r="698" spans="1:8" hidden="1" x14ac:dyDescent="0.35">
      <c r="A698" t="s">
        <v>395</v>
      </c>
      <c r="B698" s="63">
        <f>Balance[[#This Row],[Cost USD]]*147</f>
        <v>367.5</v>
      </c>
      <c r="C698" s="73">
        <v>2.5</v>
      </c>
      <c r="D698" s="1" t="s">
        <v>259</v>
      </c>
      <c r="E698" s="27" t="s">
        <v>265</v>
      </c>
      <c r="F698" s="2">
        <v>45247</v>
      </c>
      <c r="G698" t="str">
        <f t="shared" si="22"/>
        <v>Nov</v>
      </c>
      <c r="H698" t="str">
        <f t="shared" si="23"/>
        <v>2023</v>
      </c>
    </row>
    <row r="699" spans="1:8" hidden="1" x14ac:dyDescent="0.35">
      <c r="A699" t="s">
        <v>396</v>
      </c>
      <c r="B699" s="63">
        <f>Balance[[#This Row],[Cost USD]]*147</f>
        <v>948.15</v>
      </c>
      <c r="C699" s="1">
        <f>1.29*5</f>
        <v>6.45</v>
      </c>
      <c r="D699" s="1" t="s">
        <v>259</v>
      </c>
      <c r="E699" s="27" t="s">
        <v>265</v>
      </c>
      <c r="F699" s="2">
        <v>45247</v>
      </c>
      <c r="G699" t="str">
        <f t="shared" si="22"/>
        <v>Nov</v>
      </c>
      <c r="H699" t="str">
        <f t="shared" si="23"/>
        <v>2023</v>
      </c>
    </row>
    <row r="700" spans="1:8" hidden="1" x14ac:dyDescent="0.35">
      <c r="A700" t="s">
        <v>397</v>
      </c>
      <c r="B700" s="63">
        <f>Balance[[#This Row],[Cost USD]]*147</f>
        <v>1174.53</v>
      </c>
      <c r="C700" s="1">
        <v>7.99</v>
      </c>
      <c r="D700" s="1" t="s">
        <v>259</v>
      </c>
      <c r="E700" s="27" t="s">
        <v>265</v>
      </c>
      <c r="F700" s="2">
        <v>45247</v>
      </c>
      <c r="G700" t="str">
        <f t="shared" si="22"/>
        <v>Nov</v>
      </c>
      <c r="H700" t="str">
        <f t="shared" si="23"/>
        <v>2023</v>
      </c>
    </row>
    <row r="701" spans="1:8" hidden="1" x14ac:dyDescent="0.35">
      <c r="A701" t="s">
        <v>398</v>
      </c>
      <c r="B701" s="63">
        <f>Balance[[#This Row],[Cost USD]]*147</f>
        <v>1581.72</v>
      </c>
      <c r="C701" s="1">
        <f>2.69*4</f>
        <v>10.76</v>
      </c>
      <c r="D701" s="1" t="s">
        <v>259</v>
      </c>
      <c r="E701" s="27" t="s">
        <v>265</v>
      </c>
      <c r="F701" s="2">
        <v>45247</v>
      </c>
      <c r="G701" t="str">
        <f t="shared" si="22"/>
        <v>Nov</v>
      </c>
      <c r="H701" t="str">
        <f t="shared" si="23"/>
        <v>2023</v>
      </c>
    </row>
    <row r="702" spans="1:8" hidden="1" x14ac:dyDescent="0.35">
      <c r="A702" t="s">
        <v>393</v>
      </c>
      <c r="B702" s="63">
        <f>Balance[[#This Row],[Cost USD]]*147</f>
        <v>4851</v>
      </c>
      <c r="C702" s="1">
        <v>33</v>
      </c>
      <c r="D702" s="1" t="s">
        <v>259</v>
      </c>
      <c r="E702" s="27" t="s">
        <v>265</v>
      </c>
      <c r="F702" s="2">
        <v>45248</v>
      </c>
      <c r="G702" t="str">
        <f t="shared" si="22"/>
        <v>Nov</v>
      </c>
      <c r="H702" t="str">
        <f t="shared" si="23"/>
        <v>2023</v>
      </c>
    </row>
    <row r="703" spans="1:8" x14ac:dyDescent="0.35">
      <c r="A703" t="s">
        <v>394</v>
      </c>
      <c r="B703" s="63">
        <f>Balance[[#This Row],[Cost USD]]*147</f>
        <v>529.20000000000005</v>
      </c>
      <c r="C703" s="1">
        <v>3.6</v>
      </c>
      <c r="D703" s="1" t="s">
        <v>689</v>
      </c>
      <c r="E703" s="27" t="s">
        <v>275</v>
      </c>
      <c r="F703" s="2">
        <v>45251</v>
      </c>
      <c r="G703" t="str">
        <f t="shared" si="22"/>
        <v>Nov</v>
      </c>
      <c r="H703" t="str">
        <f t="shared" si="23"/>
        <v>2023</v>
      </c>
    </row>
    <row r="704" spans="1:8" hidden="1" x14ac:dyDescent="0.35">
      <c r="A704" t="s">
        <v>283</v>
      </c>
      <c r="B704" s="73">
        <v>57040</v>
      </c>
      <c r="C704" s="73">
        <f>Balance[[#This Row],[COST]]/147</f>
        <v>388.02721088435374</v>
      </c>
      <c r="D704" s="73" t="s">
        <v>15</v>
      </c>
      <c r="E704" s="27" t="s">
        <v>269</v>
      </c>
      <c r="F704" s="2">
        <v>45255</v>
      </c>
      <c r="G704" t="str">
        <f t="shared" si="22"/>
        <v>Nov</v>
      </c>
      <c r="H704" t="str">
        <f t="shared" si="23"/>
        <v>2023</v>
      </c>
    </row>
    <row r="705" spans="1:8" hidden="1" x14ac:dyDescent="0.35">
      <c r="A705" t="s">
        <v>42</v>
      </c>
      <c r="B705" s="73">
        <v>7884</v>
      </c>
      <c r="C705" s="73">
        <f>Balance[[#This Row],[COST]]/147</f>
        <v>53.632653061224488</v>
      </c>
      <c r="D705" s="73" t="s">
        <v>42</v>
      </c>
      <c r="E705" s="27" t="s">
        <v>270</v>
      </c>
      <c r="F705" s="2">
        <v>45258</v>
      </c>
      <c r="G705" t="str">
        <f t="shared" si="22"/>
        <v>Nov</v>
      </c>
      <c r="H705" t="str">
        <f t="shared" si="23"/>
        <v>2023</v>
      </c>
    </row>
    <row r="706" spans="1:8" hidden="1" x14ac:dyDescent="0.35">
      <c r="A706" t="s">
        <v>399</v>
      </c>
      <c r="B706" s="63">
        <f>Balance[[#This Row],[Cost USD]]*147</f>
        <v>2263.8000000000002</v>
      </c>
      <c r="C706" s="1">
        <f>7.7*2</f>
        <v>15.4</v>
      </c>
      <c r="D706" s="1" t="s">
        <v>259</v>
      </c>
      <c r="E706" s="27" t="s">
        <v>265</v>
      </c>
      <c r="F706" s="2">
        <v>45259</v>
      </c>
      <c r="G706" t="str">
        <f t="shared" si="22"/>
        <v>Nov</v>
      </c>
      <c r="H706" t="str">
        <f t="shared" si="23"/>
        <v>2023</v>
      </c>
    </row>
    <row r="707" spans="1:8" hidden="1" x14ac:dyDescent="0.35">
      <c r="A707" t="s">
        <v>400</v>
      </c>
      <c r="B707" s="63">
        <f>Balance[[#This Row],[Cost USD]]*147</f>
        <v>147</v>
      </c>
      <c r="C707" s="73">
        <v>1</v>
      </c>
      <c r="D707" s="1" t="s">
        <v>259</v>
      </c>
      <c r="E707" s="27" t="s">
        <v>265</v>
      </c>
      <c r="F707" s="2">
        <v>45259</v>
      </c>
      <c r="G707" t="str">
        <f t="shared" si="22"/>
        <v>Nov</v>
      </c>
      <c r="H707" t="str">
        <f t="shared" si="23"/>
        <v>2023</v>
      </c>
    </row>
    <row r="708" spans="1:8" hidden="1" x14ac:dyDescent="0.35">
      <c r="A708" t="s">
        <v>256</v>
      </c>
      <c r="B708" s="73">
        <v>12000</v>
      </c>
      <c r="C708" s="73">
        <v>102.04081632653062</v>
      </c>
      <c r="D708" s="73" t="s">
        <v>263</v>
      </c>
      <c r="E708" s="27" t="s">
        <v>274</v>
      </c>
      <c r="F708" s="2">
        <v>45260</v>
      </c>
      <c r="G708" t="str">
        <f t="shared" si="22"/>
        <v>Nov</v>
      </c>
      <c r="H708" t="str">
        <f t="shared" si="23"/>
        <v>2023</v>
      </c>
    </row>
    <row r="709" spans="1:8" hidden="1" x14ac:dyDescent="0.35">
      <c r="A709" t="s">
        <v>403</v>
      </c>
      <c r="B709" s="63">
        <f>Balance[[#This Row],[Cost USD]]*147</f>
        <v>5292</v>
      </c>
      <c r="C709" s="73">
        <v>36</v>
      </c>
      <c r="D709" s="1" t="s">
        <v>261</v>
      </c>
      <c r="E709" s="27" t="s">
        <v>267</v>
      </c>
      <c r="F709" s="2">
        <v>45265</v>
      </c>
      <c r="G709" t="str">
        <f t="shared" si="22"/>
        <v>Dec</v>
      </c>
      <c r="H709" t="str">
        <f t="shared" si="23"/>
        <v>2023</v>
      </c>
    </row>
    <row r="710" spans="1:8" hidden="1" x14ac:dyDescent="0.35">
      <c r="A710" t="s">
        <v>249</v>
      </c>
      <c r="B710" s="63">
        <f>Balance[[#This Row],[Cost USD]]*147</f>
        <v>4004.2799999999997</v>
      </c>
      <c r="C710" s="73">
        <v>27.24</v>
      </c>
      <c r="D710" s="1" t="s">
        <v>261</v>
      </c>
      <c r="E710" s="27" t="s">
        <v>514</v>
      </c>
      <c r="F710" s="2">
        <v>45265</v>
      </c>
      <c r="G710" t="str">
        <f t="shared" si="22"/>
        <v>Dec</v>
      </c>
      <c r="H710" t="str">
        <f t="shared" si="23"/>
        <v>2023</v>
      </c>
    </row>
    <row r="711" spans="1:8" hidden="1" x14ac:dyDescent="0.35">
      <c r="A711" t="s">
        <v>401</v>
      </c>
      <c r="B711" s="63">
        <f>Balance[[#This Row],[Cost USD]]*147</f>
        <v>1323</v>
      </c>
      <c r="C711" s="73">
        <v>9</v>
      </c>
      <c r="D711" s="1" t="s">
        <v>259</v>
      </c>
      <c r="E711" s="27" t="s">
        <v>265</v>
      </c>
      <c r="F711" s="2">
        <v>45266</v>
      </c>
      <c r="G711" t="str">
        <f t="shared" si="22"/>
        <v>Dec</v>
      </c>
      <c r="H711" t="str">
        <f t="shared" si="23"/>
        <v>2023</v>
      </c>
    </row>
    <row r="712" spans="1:8" hidden="1" x14ac:dyDescent="0.35">
      <c r="A712" t="s">
        <v>402</v>
      </c>
      <c r="B712" s="63">
        <f>Balance[[#This Row],[Cost USD]]*147</f>
        <v>1248.03</v>
      </c>
      <c r="C712" s="73">
        <v>8.49</v>
      </c>
      <c r="D712" s="1" t="s">
        <v>259</v>
      </c>
      <c r="E712" s="27" t="s">
        <v>265</v>
      </c>
      <c r="F712" s="2">
        <v>45266</v>
      </c>
      <c r="G712" t="str">
        <f t="shared" si="22"/>
        <v>Dec</v>
      </c>
      <c r="H712" t="str">
        <f t="shared" si="23"/>
        <v>2023</v>
      </c>
    </row>
    <row r="713" spans="1:8" hidden="1" x14ac:dyDescent="0.35">
      <c r="A713" t="s">
        <v>413</v>
      </c>
      <c r="B713" s="63">
        <f>Balance[[#This Row],[Cost USD]]*147</f>
        <v>586.53000000000009</v>
      </c>
      <c r="C713" s="73">
        <f>3.99</f>
        <v>3.99</v>
      </c>
      <c r="D713" s="1" t="s">
        <v>259</v>
      </c>
      <c r="E713" s="27" t="s">
        <v>265</v>
      </c>
      <c r="F713" s="2">
        <v>45266</v>
      </c>
      <c r="G713" t="str">
        <f t="shared" si="22"/>
        <v>Dec</v>
      </c>
      <c r="H713" t="str">
        <f t="shared" si="23"/>
        <v>2023</v>
      </c>
    </row>
    <row r="714" spans="1:8" hidden="1" x14ac:dyDescent="0.35">
      <c r="A714" t="s">
        <v>413</v>
      </c>
      <c r="B714" s="63">
        <f>Balance[[#This Row],[Cost USD]]*147</f>
        <v>586.53000000000009</v>
      </c>
      <c r="C714" s="73">
        <f>3.99</f>
        <v>3.99</v>
      </c>
      <c r="D714" s="1" t="s">
        <v>259</v>
      </c>
      <c r="E714" s="27" t="s">
        <v>265</v>
      </c>
      <c r="F714" s="2">
        <v>45266</v>
      </c>
      <c r="G714" t="str">
        <f t="shared" si="22"/>
        <v>Dec</v>
      </c>
      <c r="H714" t="str">
        <f t="shared" si="23"/>
        <v>2023</v>
      </c>
    </row>
    <row r="715" spans="1:8" hidden="1" x14ac:dyDescent="0.35">
      <c r="A715" t="s">
        <v>413</v>
      </c>
      <c r="B715" s="63">
        <f>Balance[[#This Row],[Cost USD]]*147</f>
        <v>586.53000000000009</v>
      </c>
      <c r="C715" s="73">
        <f>3.99</f>
        <v>3.99</v>
      </c>
      <c r="D715" s="1" t="s">
        <v>259</v>
      </c>
      <c r="E715" s="27" t="s">
        <v>265</v>
      </c>
      <c r="F715" s="2">
        <v>45266</v>
      </c>
      <c r="G715" t="str">
        <f t="shared" si="22"/>
        <v>Dec</v>
      </c>
      <c r="H715" t="str">
        <f t="shared" si="23"/>
        <v>2023</v>
      </c>
    </row>
    <row r="716" spans="1:8" hidden="1" x14ac:dyDescent="0.35">
      <c r="A716" t="s">
        <v>413</v>
      </c>
      <c r="B716" s="63">
        <f>Balance[[#This Row],[Cost USD]]*147</f>
        <v>586.53000000000009</v>
      </c>
      <c r="C716" s="73">
        <f>3.99</f>
        <v>3.99</v>
      </c>
      <c r="D716" s="1" t="s">
        <v>259</v>
      </c>
      <c r="E716" s="27" t="s">
        <v>265</v>
      </c>
      <c r="F716" s="2">
        <v>45266</v>
      </c>
      <c r="G716" t="str">
        <f t="shared" si="22"/>
        <v>Dec</v>
      </c>
      <c r="H716" t="str">
        <f t="shared" si="23"/>
        <v>2023</v>
      </c>
    </row>
    <row r="717" spans="1:8" hidden="1" x14ac:dyDescent="0.35">
      <c r="A717" t="s">
        <v>395</v>
      </c>
      <c r="B717" s="63">
        <f>Balance[[#This Row],[Cost USD]]*147</f>
        <v>367.5</v>
      </c>
      <c r="C717" s="73">
        <v>2.5</v>
      </c>
      <c r="D717" s="1" t="s">
        <v>259</v>
      </c>
      <c r="E717" s="27" t="s">
        <v>265</v>
      </c>
      <c r="F717" s="2">
        <v>45266</v>
      </c>
      <c r="G717" t="str">
        <f t="shared" si="22"/>
        <v>Dec</v>
      </c>
      <c r="H717" t="str">
        <f t="shared" si="23"/>
        <v>2023</v>
      </c>
    </row>
    <row r="718" spans="1:8" hidden="1" x14ac:dyDescent="0.35">
      <c r="A718" t="s">
        <v>395</v>
      </c>
      <c r="B718" s="63">
        <f>Balance[[#This Row],[Cost USD]]*147</f>
        <v>367.5</v>
      </c>
      <c r="C718" s="73">
        <v>2.5</v>
      </c>
      <c r="D718" s="1" t="s">
        <v>259</v>
      </c>
      <c r="E718" s="27" t="s">
        <v>265</v>
      </c>
      <c r="F718" s="2">
        <v>45266</v>
      </c>
      <c r="G718" t="str">
        <f t="shared" si="22"/>
        <v>Dec</v>
      </c>
      <c r="H718" t="str">
        <f t="shared" si="23"/>
        <v>2023</v>
      </c>
    </row>
    <row r="719" spans="1:8" hidden="1" x14ac:dyDescent="0.35">
      <c r="A719" t="s">
        <v>395</v>
      </c>
      <c r="B719" s="63">
        <f>Balance[[#This Row],[Cost USD]]*147</f>
        <v>367.5</v>
      </c>
      <c r="C719" s="73">
        <v>2.5</v>
      </c>
      <c r="D719" s="1" t="s">
        <v>259</v>
      </c>
      <c r="E719" s="27" t="s">
        <v>265</v>
      </c>
      <c r="F719" s="2">
        <v>45266</v>
      </c>
      <c r="G719" t="str">
        <f t="shared" si="22"/>
        <v>Dec</v>
      </c>
      <c r="H719" t="str">
        <f t="shared" si="23"/>
        <v>2023</v>
      </c>
    </row>
    <row r="720" spans="1:8" hidden="1" x14ac:dyDescent="0.35">
      <c r="A720" t="s">
        <v>395</v>
      </c>
      <c r="B720" s="63">
        <f>Balance[[#This Row],[Cost USD]]*147</f>
        <v>367.5</v>
      </c>
      <c r="C720" s="73">
        <v>2.5</v>
      </c>
      <c r="D720" s="1" t="s">
        <v>259</v>
      </c>
      <c r="E720" s="27" t="s">
        <v>265</v>
      </c>
      <c r="F720" s="2">
        <v>45266</v>
      </c>
      <c r="G720" t="str">
        <f t="shared" si="22"/>
        <v>Dec</v>
      </c>
      <c r="H720" t="str">
        <f t="shared" si="23"/>
        <v>2023</v>
      </c>
    </row>
    <row r="721" spans="1:8" hidden="1" x14ac:dyDescent="0.35">
      <c r="A721" t="s">
        <v>398</v>
      </c>
      <c r="B721" s="63">
        <f>Balance[[#This Row],[Cost USD]]*147</f>
        <v>790.86</v>
      </c>
      <c r="C721" s="73">
        <f>2.69*2</f>
        <v>5.38</v>
      </c>
      <c r="D721" s="1" t="s">
        <v>259</v>
      </c>
      <c r="E721" s="27" t="s">
        <v>265</v>
      </c>
      <c r="F721" s="2">
        <v>45266</v>
      </c>
      <c r="G721" t="str">
        <f t="shared" si="22"/>
        <v>Dec</v>
      </c>
      <c r="H721" t="str">
        <f t="shared" si="23"/>
        <v>2023</v>
      </c>
    </row>
    <row r="722" spans="1:8" hidden="1" x14ac:dyDescent="0.35">
      <c r="A722" t="s">
        <v>404</v>
      </c>
      <c r="B722" s="73">
        <f>Balance[[#This Row],[Cost USD]]*147</f>
        <v>352.8</v>
      </c>
      <c r="C722" s="73">
        <v>2.4</v>
      </c>
      <c r="D722" s="1" t="s">
        <v>259</v>
      </c>
      <c r="E722" s="27" t="s">
        <v>265</v>
      </c>
      <c r="F722" s="2">
        <v>45267</v>
      </c>
      <c r="G722" t="str">
        <f t="shared" si="22"/>
        <v>Dec</v>
      </c>
      <c r="H722" t="str">
        <f t="shared" si="23"/>
        <v>2023</v>
      </c>
    </row>
    <row r="723" spans="1:8" hidden="1" x14ac:dyDescent="0.35">
      <c r="A723" t="s">
        <v>405</v>
      </c>
      <c r="B723" s="73">
        <f>Balance[[#This Row],[Cost USD]]*147</f>
        <v>485.09999999999997</v>
      </c>
      <c r="C723" s="73">
        <v>3.3</v>
      </c>
      <c r="D723" s="1" t="s">
        <v>259</v>
      </c>
      <c r="E723" s="27" t="s">
        <v>265</v>
      </c>
      <c r="F723" s="2">
        <v>45267</v>
      </c>
      <c r="G723" t="str">
        <f t="shared" si="22"/>
        <v>Dec</v>
      </c>
      <c r="H723" t="str">
        <f t="shared" si="23"/>
        <v>2023</v>
      </c>
    </row>
    <row r="724" spans="1:8" hidden="1" x14ac:dyDescent="0.35">
      <c r="A724" t="s">
        <v>406</v>
      </c>
      <c r="B724" s="73">
        <f>Balance[[#This Row],[Cost USD]]*147</f>
        <v>757.05000000000007</v>
      </c>
      <c r="C724" s="73">
        <v>5.15</v>
      </c>
      <c r="D724" s="1" t="s">
        <v>259</v>
      </c>
      <c r="E724" s="27" t="s">
        <v>265</v>
      </c>
      <c r="F724" s="2">
        <v>45267</v>
      </c>
      <c r="G724" t="str">
        <f t="shared" si="22"/>
        <v>Dec</v>
      </c>
      <c r="H724" t="str">
        <f t="shared" si="23"/>
        <v>2023</v>
      </c>
    </row>
    <row r="725" spans="1:8" hidden="1" x14ac:dyDescent="0.35">
      <c r="A725" t="s">
        <v>406</v>
      </c>
      <c r="B725" s="73">
        <f>Balance[[#This Row],[Cost USD]]*147</f>
        <v>757.05000000000007</v>
      </c>
      <c r="C725" s="73">
        <v>5.15</v>
      </c>
      <c r="D725" s="1" t="s">
        <v>259</v>
      </c>
      <c r="E725" s="27" t="s">
        <v>265</v>
      </c>
      <c r="F725" s="2">
        <v>45267</v>
      </c>
      <c r="G725" t="str">
        <f t="shared" si="22"/>
        <v>Dec</v>
      </c>
      <c r="H725" t="str">
        <f t="shared" si="23"/>
        <v>2023</v>
      </c>
    </row>
    <row r="726" spans="1:8" hidden="1" x14ac:dyDescent="0.35">
      <c r="A726" t="s">
        <v>407</v>
      </c>
      <c r="B726" s="73">
        <f>Balance[[#This Row],[Cost USD]]*147</f>
        <v>441</v>
      </c>
      <c r="C726" s="73">
        <v>3</v>
      </c>
      <c r="D726" s="1" t="s">
        <v>259</v>
      </c>
      <c r="E726" s="27" t="s">
        <v>265</v>
      </c>
      <c r="F726" s="2">
        <v>45267</v>
      </c>
      <c r="G726" t="str">
        <f t="shared" si="22"/>
        <v>Dec</v>
      </c>
      <c r="H726" t="str">
        <f t="shared" si="23"/>
        <v>2023</v>
      </c>
    </row>
    <row r="727" spans="1:8" hidden="1" x14ac:dyDescent="0.35">
      <c r="A727" t="s">
        <v>408</v>
      </c>
      <c r="B727" s="73">
        <f>Balance[[#This Row],[Cost USD]]*147</f>
        <v>455.7</v>
      </c>
      <c r="C727" s="73">
        <v>3.1</v>
      </c>
      <c r="D727" s="1" t="s">
        <v>259</v>
      </c>
      <c r="E727" s="27" t="s">
        <v>265</v>
      </c>
      <c r="F727" s="2">
        <v>45267</v>
      </c>
      <c r="G727" t="str">
        <f t="shared" si="22"/>
        <v>Dec</v>
      </c>
      <c r="H727" t="str">
        <f t="shared" si="23"/>
        <v>2023</v>
      </c>
    </row>
    <row r="728" spans="1:8" hidden="1" x14ac:dyDescent="0.35">
      <c r="A728" t="s">
        <v>409</v>
      </c>
      <c r="B728" s="73">
        <f>Balance[[#This Row],[Cost USD]]*147</f>
        <v>727.65</v>
      </c>
      <c r="C728" s="73">
        <v>4.95</v>
      </c>
      <c r="D728" s="1" t="s">
        <v>259</v>
      </c>
      <c r="E728" s="27" t="s">
        <v>265</v>
      </c>
      <c r="F728" s="2">
        <v>45267</v>
      </c>
      <c r="G728" t="str">
        <f t="shared" si="22"/>
        <v>Dec</v>
      </c>
      <c r="H728" t="str">
        <f t="shared" si="23"/>
        <v>2023</v>
      </c>
    </row>
    <row r="729" spans="1:8" hidden="1" x14ac:dyDescent="0.35">
      <c r="A729" t="s">
        <v>410</v>
      </c>
      <c r="B729" s="73">
        <f>Balance[[#This Row],[Cost USD]]*147</f>
        <v>220.5</v>
      </c>
      <c r="C729" s="73">
        <v>1.5</v>
      </c>
      <c r="D729" s="1" t="s">
        <v>259</v>
      </c>
      <c r="E729" s="27" t="s">
        <v>265</v>
      </c>
      <c r="F729" s="2">
        <v>45267</v>
      </c>
      <c r="G729" t="str">
        <f t="shared" si="22"/>
        <v>Dec</v>
      </c>
      <c r="H729" t="str">
        <f t="shared" si="23"/>
        <v>2023</v>
      </c>
    </row>
    <row r="730" spans="1:8" hidden="1" x14ac:dyDescent="0.35">
      <c r="A730" t="s">
        <v>411</v>
      </c>
      <c r="B730" s="73">
        <f>Balance[[#This Row],[Cost USD]]*147</f>
        <v>764.4</v>
      </c>
      <c r="C730" s="73">
        <v>5.2</v>
      </c>
      <c r="D730" s="1" t="s">
        <v>259</v>
      </c>
      <c r="E730" s="27" t="s">
        <v>265</v>
      </c>
      <c r="F730" s="2">
        <v>45267</v>
      </c>
      <c r="G730" t="str">
        <f t="shared" si="22"/>
        <v>Dec</v>
      </c>
      <c r="H730" t="str">
        <f t="shared" si="23"/>
        <v>2023</v>
      </c>
    </row>
    <row r="731" spans="1:8" hidden="1" x14ac:dyDescent="0.35">
      <c r="A731" t="s">
        <v>375</v>
      </c>
      <c r="B731" s="73">
        <f>Balance[[#This Row],[Cost USD]]*147</f>
        <v>808.5</v>
      </c>
      <c r="C731" s="73">
        <v>5.5</v>
      </c>
      <c r="D731" s="1" t="s">
        <v>259</v>
      </c>
      <c r="E731" s="27" t="s">
        <v>265</v>
      </c>
      <c r="F731" s="2">
        <v>45267</v>
      </c>
      <c r="G731" t="str">
        <f t="shared" si="22"/>
        <v>Dec</v>
      </c>
      <c r="H731" t="str">
        <f t="shared" si="23"/>
        <v>2023</v>
      </c>
    </row>
    <row r="732" spans="1:8" x14ac:dyDescent="0.35">
      <c r="A732" t="s">
        <v>391</v>
      </c>
      <c r="B732" s="73">
        <f>Balance[[#This Row],[Cost USD]]*147</f>
        <v>507.15000000000003</v>
      </c>
      <c r="C732" s="73">
        <v>3.45</v>
      </c>
      <c r="D732" s="1" t="s">
        <v>689</v>
      </c>
      <c r="E732" s="27" t="s">
        <v>275</v>
      </c>
      <c r="F732" s="2">
        <v>45270</v>
      </c>
      <c r="G732" t="str">
        <f t="shared" si="22"/>
        <v>Dec</v>
      </c>
      <c r="H732" t="str">
        <f t="shared" si="23"/>
        <v>2023</v>
      </c>
    </row>
    <row r="733" spans="1:8" x14ac:dyDescent="0.35">
      <c r="A733" t="s">
        <v>244</v>
      </c>
      <c r="B733" s="73">
        <f>Balance[[#This Row],[Cost USD]]*147</f>
        <v>1014.3000000000001</v>
      </c>
      <c r="C733" s="73">
        <v>6.9</v>
      </c>
      <c r="D733" s="1" t="s">
        <v>689</v>
      </c>
      <c r="E733" s="27" t="s">
        <v>275</v>
      </c>
      <c r="F733" s="2">
        <v>45270</v>
      </c>
      <c r="G733" t="str">
        <f t="shared" si="22"/>
        <v>Dec</v>
      </c>
      <c r="H733" t="str">
        <f t="shared" si="23"/>
        <v>2023</v>
      </c>
    </row>
    <row r="734" spans="1:8" hidden="1" x14ac:dyDescent="0.35">
      <c r="A734" t="s">
        <v>412</v>
      </c>
      <c r="B734" s="73">
        <f>Balance[[#This Row],[Cost USD]]*147</f>
        <v>513.03000000000009</v>
      </c>
      <c r="C734" s="73">
        <v>3.49</v>
      </c>
      <c r="D734" s="73" t="s">
        <v>259</v>
      </c>
      <c r="E734" s="27" t="s">
        <v>265</v>
      </c>
      <c r="F734" s="2">
        <v>45273</v>
      </c>
      <c r="G734" t="str">
        <f t="shared" si="22"/>
        <v>Dec</v>
      </c>
      <c r="H734" t="str">
        <f t="shared" si="23"/>
        <v>2023</v>
      </c>
    </row>
    <row r="735" spans="1:8" hidden="1" x14ac:dyDescent="0.35">
      <c r="A735" t="s">
        <v>412</v>
      </c>
      <c r="B735" s="73">
        <f>Balance[[#This Row],[Cost USD]]*147</f>
        <v>513.03000000000009</v>
      </c>
      <c r="C735" s="73">
        <v>3.49</v>
      </c>
      <c r="D735" s="73" t="s">
        <v>259</v>
      </c>
      <c r="E735" s="27" t="s">
        <v>265</v>
      </c>
      <c r="F735" s="2">
        <v>45273</v>
      </c>
      <c r="G735" t="str">
        <f t="shared" ref="G735:G798" si="24">TEXT(F735,"mmm")</f>
        <v>Dec</v>
      </c>
      <c r="H735" t="str">
        <f t="shared" ref="H735:H798" si="25">TEXT(F735,"yyy")</f>
        <v>2023</v>
      </c>
    </row>
    <row r="736" spans="1:8" hidden="1" x14ac:dyDescent="0.35">
      <c r="A736" t="s">
        <v>395</v>
      </c>
      <c r="B736" s="73">
        <f>Balance[[#This Row],[Cost USD]]*147</f>
        <v>294</v>
      </c>
      <c r="C736" s="73">
        <v>2</v>
      </c>
      <c r="D736" s="73" t="s">
        <v>259</v>
      </c>
      <c r="E736" s="27" t="s">
        <v>265</v>
      </c>
      <c r="F736" s="2">
        <v>45273</v>
      </c>
      <c r="G736" t="str">
        <f t="shared" si="24"/>
        <v>Dec</v>
      </c>
      <c r="H736" t="str">
        <f t="shared" si="25"/>
        <v>2023</v>
      </c>
    </row>
    <row r="737" spans="1:8" hidden="1" x14ac:dyDescent="0.35">
      <c r="A737" t="s">
        <v>395</v>
      </c>
      <c r="B737" s="73">
        <f>Balance[[#This Row],[Cost USD]]*147</f>
        <v>294</v>
      </c>
      <c r="C737" s="73">
        <v>2</v>
      </c>
      <c r="D737" s="73" t="s">
        <v>259</v>
      </c>
      <c r="E737" s="27" t="s">
        <v>265</v>
      </c>
      <c r="F737" s="2">
        <v>45273</v>
      </c>
      <c r="G737" t="str">
        <f t="shared" si="24"/>
        <v>Dec</v>
      </c>
      <c r="H737" t="str">
        <f t="shared" si="25"/>
        <v>2023</v>
      </c>
    </row>
    <row r="738" spans="1:8" hidden="1" x14ac:dyDescent="0.35">
      <c r="A738" t="s">
        <v>395</v>
      </c>
      <c r="B738" s="73">
        <f>Balance[[#This Row],[Cost USD]]*147</f>
        <v>294</v>
      </c>
      <c r="C738" s="73">
        <v>2</v>
      </c>
      <c r="D738" s="73" t="s">
        <v>259</v>
      </c>
      <c r="E738" s="27" t="s">
        <v>265</v>
      </c>
      <c r="F738" s="2">
        <v>45273</v>
      </c>
      <c r="G738" t="str">
        <f t="shared" si="24"/>
        <v>Dec</v>
      </c>
      <c r="H738" t="str">
        <f t="shared" si="25"/>
        <v>2023</v>
      </c>
    </row>
    <row r="739" spans="1:8" hidden="1" x14ac:dyDescent="0.35">
      <c r="A739" t="s">
        <v>395</v>
      </c>
      <c r="B739" s="73">
        <f>Balance[[#This Row],[Cost USD]]*147</f>
        <v>294</v>
      </c>
      <c r="C739" s="73">
        <v>2</v>
      </c>
      <c r="D739" s="73" t="s">
        <v>259</v>
      </c>
      <c r="E739" s="27" t="s">
        <v>265</v>
      </c>
      <c r="F739" s="2">
        <v>45273</v>
      </c>
      <c r="G739" t="str">
        <f t="shared" si="24"/>
        <v>Dec</v>
      </c>
      <c r="H739" t="str">
        <f t="shared" si="25"/>
        <v>2023</v>
      </c>
    </row>
    <row r="740" spans="1:8" hidden="1" x14ac:dyDescent="0.35">
      <c r="A740" t="s">
        <v>413</v>
      </c>
      <c r="B740" s="73">
        <f>Balance[[#This Row],[Cost USD]]*147</f>
        <v>661.5</v>
      </c>
      <c r="C740" s="73">
        <v>4.5</v>
      </c>
      <c r="D740" s="73" t="s">
        <v>259</v>
      </c>
      <c r="E740" s="27" t="s">
        <v>265</v>
      </c>
      <c r="F740" s="2">
        <v>45273</v>
      </c>
      <c r="G740" t="str">
        <f t="shared" si="24"/>
        <v>Dec</v>
      </c>
      <c r="H740" t="str">
        <f t="shared" si="25"/>
        <v>2023</v>
      </c>
    </row>
    <row r="741" spans="1:8" hidden="1" x14ac:dyDescent="0.35">
      <c r="A741" t="s">
        <v>413</v>
      </c>
      <c r="B741" s="73">
        <f>Balance[[#This Row],[Cost USD]]*147</f>
        <v>661.5</v>
      </c>
      <c r="C741" s="73">
        <v>4.5</v>
      </c>
      <c r="D741" s="73" t="s">
        <v>259</v>
      </c>
      <c r="E741" s="27" t="s">
        <v>265</v>
      </c>
      <c r="F741" s="2">
        <v>45273</v>
      </c>
      <c r="G741" t="str">
        <f t="shared" si="24"/>
        <v>Dec</v>
      </c>
      <c r="H741" t="str">
        <f t="shared" si="25"/>
        <v>2023</v>
      </c>
    </row>
    <row r="742" spans="1:8" hidden="1" x14ac:dyDescent="0.35">
      <c r="A742" t="s">
        <v>229</v>
      </c>
      <c r="B742" s="73">
        <f>Balance[[#This Row],[Cost USD]]*147</f>
        <v>880.53000000000009</v>
      </c>
      <c r="C742" s="73">
        <v>5.99</v>
      </c>
      <c r="D742" s="73" t="s">
        <v>259</v>
      </c>
      <c r="E742" s="27" t="s">
        <v>267</v>
      </c>
      <c r="F742" s="2">
        <v>45275</v>
      </c>
      <c r="G742" t="str">
        <f t="shared" si="24"/>
        <v>Dec</v>
      </c>
      <c r="H742" t="str">
        <f t="shared" si="25"/>
        <v>2023</v>
      </c>
    </row>
    <row r="743" spans="1:8" hidden="1" x14ac:dyDescent="0.35">
      <c r="A743" t="s">
        <v>405</v>
      </c>
      <c r="B743" s="73">
        <f>Balance[[#This Row],[Cost USD]]*147</f>
        <v>485.09999999999997</v>
      </c>
      <c r="C743" s="73">
        <v>3.3</v>
      </c>
      <c r="D743" s="73" t="s">
        <v>259</v>
      </c>
      <c r="E743" s="27" t="s">
        <v>265</v>
      </c>
      <c r="F743" s="2">
        <v>45279</v>
      </c>
      <c r="G743" t="str">
        <f t="shared" si="24"/>
        <v>Dec</v>
      </c>
      <c r="H743" t="str">
        <f t="shared" si="25"/>
        <v>2023</v>
      </c>
    </row>
    <row r="744" spans="1:8" hidden="1" x14ac:dyDescent="0.35">
      <c r="A744" t="s">
        <v>405</v>
      </c>
      <c r="B744" s="73">
        <f>Balance[[#This Row],[Cost USD]]*147</f>
        <v>485.09999999999997</v>
      </c>
      <c r="C744" s="73">
        <v>3.3</v>
      </c>
      <c r="D744" s="73" t="s">
        <v>259</v>
      </c>
      <c r="E744" s="27" t="s">
        <v>265</v>
      </c>
      <c r="F744" s="2">
        <v>45279</v>
      </c>
      <c r="G744" t="str">
        <f t="shared" si="24"/>
        <v>Dec</v>
      </c>
      <c r="H744" t="str">
        <f t="shared" si="25"/>
        <v>2023</v>
      </c>
    </row>
    <row r="745" spans="1:8" hidden="1" x14ac:dyDescent="0.35">
      <c r="A745" t="s">
        <v>408</v>
      </c>
      <c r="B745" s="73">
        <f>Balance[[#This Row],[Cost USD]]*147</f>
        <v>227.85</v>
      </c>
      <c r="C745" s="73">
        <v>1.55</v>
      </c>
      <c r="D745" s="73" t="s">
        <v>259</v>
      </c>
      <c r="E745" s="27" t="s">
        <v>265</v>
      </c>
      <c r="F745" s="2">
        <v>45279</v>
      </c>
      <c r="G745" t="str">
        <f t="shared" si="24"/>
        <v>Dec</v>
      </c>
      <c r="H745" t="str">
        <f t="shared" si="25"/>
        <v>2023</v>
      </c>
    </row>
    <row r="746" spans="1:8" hidden="1" x14ac:dyDescent="0.35">
      <c r="A746" t="s">
        <v>422</v>
      </c>
      <c r="B746" s="73">
        <f>Balance[[#This Row],[Cost USD]]*147</f>
        <v>338.09999999999997</v>
      </c>
      <c r="C746" s="73">
        <v>2.2999999999999998</v>
      </c>
      <c r="D746" s="73" t="s">
        <v>259</v>
      </c>
      <c r="E746" s="27" t="s">
        <v>265</v>
      </c>
      <c r="F746" s="2">
        <v>45279</v>
      </c>
      <c r="G746" t="str">
        <f t="shared" si="24"/>
        <v>Dec</v>
      </c>
      <c r="H746" t="str">
        <f t="shared" si="25"/>
        <v>2023</v>
      </c>
    </row>
    <row r="747" spans="1:8" hidden="1" x14ac:dyDescent="0.35">
      <c r="A747" t="s">
        <v>283</v>
      </c>
      <c r="B747" s="73">
        <v>57040</v>
      </c>
      <c r="C747" s="73">
        <f>Balance[[#This Row],[COST]]/147</f>
        <v>388.02721088435374</v>
      </c>
      <c r="D747" s="73" t="s">
        <v>15</v>
      </c>
      <c r="E747" s="27" t="s">
        <v>269</v>
      </c>
      <c r="F747" s="2">
        <v>45285</v>
      </c>
      <c r="G747" t="str">
        <f t="shared" si="24"/>
        <v>Dec</v>
      </c>
      <c r="H747" t="str">
        <f t="shared" si="25"/>
        <v>2023</v>
      </c>
    </row>
    <row r="748" spans="1:8" hidden="1" x14ac:dyDescent="0.35">
      <c r="A748" t="s">
        <v>42</v>
      </c>
      <c r="B748" s="73">
        <v>7884</v>
      </c>
      <c r="C748" s="73">
        <f>Balance[[#This Row],[COST]]/147</f>
        <v>53.632653061224488</v>
      </c>
      <c r="D748" s="73" t="s">
        <v>42</v>
      </c>
      <c r="E748" s="27" t="s">
        <v>270</v>
      </c>
      <c r="F748" s="2">
        <v>45288</v>
      </c>
      <c r="G748" t="str">
        <f t="shared" si="24"/>
        <v>Dec</v>
      </c>
      <c r="H748" t="str">
        <f t="shared" si="25"/>
        <v>2023</v>
      </c>
    </row>
    <row r="749" spans="1:8" hidden="1" x14ac:dyDescent="0.35">
      <c r="A749" t="s">
        <v>423</v>
      </c>
      <c r="B749" s="73">
        <f>Balance[[#This Row],[Cost USD]]*147</f>
        <v>2056.5300000000002</v>
      </c>
      <c r="C749" s="73">
        <v>13.99</v>
      </c>
      <c r="D749" s="73" t="s">
        <v>259</v>
      </c>
      <c r="E749" s="27" t="s">
        <v>265</v>
      </c>
      <c r="F749" s="2">
        <v>45288</v>
      </c>
      <c r="G749" t="str">
        <f t="shared" si="24"/>
        <v>Dec</v>
      </c>
      <c r="H749" t="str">
        <f t="shared" si="25"/>
        <v>2023</v>
      </c>
    </row>
    <row r="750" spans="1:8" hidden="1" x14ac:dyDescent="0.35">
      <c r="A750" t="s">
        <v>424</v>
      </c>
      <c r="B750" s="73">
        <f>Balance[[#This Row],[Cost USD]]*147</f>
        <v>439.53000000000003</v>
      </c>
      <c r="C750" s="73">
        <v>2.99</v>
      </c>
      <c r="D750" s="73" t="s">
        <v>259</v>
      </c>
      <c r="E750" s="27" t="s">
        <v>265</v>
      </c>
      <c r="F750" s="2">
        <v>45288</v>
      </c>
      <c r="G750" t="str">
        <f t="shared" si="24"/>
        <v>Dec</v>
      </c>
      <c r="H750" t="str">
        <f t="shared" si="25"/>
        <v>2023</v>
      </c>
    </row>
    <row r="751" spans="1:8" hidden="1" x14ac:dyDescent="0.35">
      <c r="A751" t="s">
        <v>405</v>
      </c>
      <c r="B751" s="73">
        <f>Balance[[#This Row],[Cost USD]]*147</f>
        <v>513.03000000000009</v>
      </c>
      <c r="C751" s="73">
        <v>3.49</v>
      </c>
      <c r="D751" s="73" t="s">
        <v>259</v>
      </c>
      <c r="E751" s="27" t="s">
        <v>265</v>
      </c>
      <c r="F751" s="2">
        <v>45288</v>
      </c>
      <c r="G751" t="str">
        <f t="shared" si="24"/>
        <v>Dec</v>
      </c>
      <c r="H751" t="str">
        <f t="shared" si="25"/>
        <v>2023</v>
      </c>
    </row>
    <row r="752" spans="1:8" hidden="1" x14ac:dyDescent="0.35">
      <c r="A752" t="s">
        <v>425</v>
      </c>
      <c r="B752" s="73">
        <f>Balance[[#This Row],[Cost USD]]*147</f>
        <v>1248.03</v>
      </c>
      <c r="C752" s="73">
        <v>8.49</v>
      </c>
      <c r="D752" s="73" t="s">
        <v>259</v>
      </c>
      <c r="E752" s="27" t="s">
        <v>265</v>
      </c>
      <c r="F752" s="2">
        <v>45288</v>
      </c>
      <c r="G752" t="str">
        <f t="shared" si="24"/>
        <v>Dec</v>
      </c>
      <c r="H752" t="str">
        <f t="shared" si="25"/>
        <v>2023</v>
      </c>
    </row>
    <row r="753" spans="1:8" hidden="1" x14ac:dyDescent="0.35">
      <c r="A753" t="s">
        <v>395</v>
      </c>
      <c r="B753" s="73">
        <f>Balance[[#This Row],[Cost USD]]*147</f>
        <v>367.5</v>
      </c>
      <c r="C753" s="73">
        <v>2.5</v>
      </c>
      <c r="D753" s="73" t="s">
        <v>259</v>
      </c>
      <c r="E753" s="27" t="s">
        <v>265</v>
      </c>
      <c r="F753" s="2">
        <v>45288</v>
      </c>
      <c r="G753" t="str">
        <f t="shared" si="24"/>
        <v>Dec</v>
      </c>
      <c r="H753" t="str">
        <f t="shared" si="25"/>
        <v>2023</v>
      </c>
    </row>
    <row r="754" spans="1:8" hidden="1" x14ac:dyDescent="0.35">
      <c r="A754" t="s">
        <v>395</v>
      </c>
      <c r="B754" s="73">
        <f>Balance[[#This Row],[Cost USD]]*147</f>
        <v>367.5</v>
      </c>
      <c r="C754" s="73">
        <v>2.5</v>
      </c>
      <c r="D754" s="73" t="s">
        <v>259</v>
      </c>
      <c r="E754" s="27" t="s">
        <v>265</v>
      </c>
      <c r="F754" s="2">
        <v>45288</v>
      </c>
      <c r="G754" t="str">
        <f t="shared" si="24"/>
        <v>Dec</v>
      </c>
      <c r="H754" t="str">
        <f t="shared" si="25"/>
        <v>2023</v>
      </c>
    </row>
    <row r="755" spans="1:8" hidden="1" x14ac:dyDescent="0.35">
      <c r="A755" t="s">
        <v>395</v>
      </c>
      <c r="B755" s="73">
        <f>Balance[[#This Row],[Cost USD]]*147</f>
        <v>367.5</v>
      </c>
      <c r="C755" s="73">
        <v>2.5</v>
      </c>
      <c r="D755" s="73" t="s">
        <v>259</v>
      </c>
      <c r="E755" s="27" t="s">
        <v>265</v>
      </c>
      <c r="F755" s="2">
        <v>45288</v>
      </c>
      <c r="G755" t="str">
        <f t="shared" si="24"/>
        <v>Dec</v>
      </c>
      <c r="H755" t="str">
        <f t="shared" si="25"/>
        <v>2023</v>
      </c>
    </row>
    <row r="756" spans="1:8" hidden="1" x14ac:dyDescent="0.35">
      <c r="A756" t="s">
        <v>395</v>
      </c>
      <c r="B756" s="73">
        <f>Balance[[#This Row],[Cost USD]]*147</f>
        <v>367.5</v>
      </c>
      <c r="C756" s="73">
        <v>2.5</v>
      </c>
      <c r="D756" s="73" t="s">
        <v>259</v>
      </c>
      <c r="E756" s="27" t="s">
        <v>265</v>
      </c>
      <c r="F756" s="2">
        <v>45288</v>
      </c>
      <c r="G756" t="str">
        <f t="shared" si="24"/>
        <v>Dec</v>
      </c>
      <c r="H756" t="str">
        <f t="shared" si="25"/>
        <v>2023</v>
      </c>
    </row>
    <row r="757" spans="1:8" hidden="1" x14ac:dyDescent="0.35">
      <c r="A757" t="s">
        <v>416</v>
      </c>
      <c r="B757" s="73">
        <f>Balance[[#This Row],[Cost USD]]*147</f>
        <v>233.73000000000002</v>
      </c>
      <c r="C757" s="73">
        <v>1.59</v>
      </c>
      <c r="D757" s="73" t="s">
        <v>259</v>
      </c>
      <c r="E757" s="27" t="s">
        <v>265</v>
      </c>
      <c r="F757" s="2">
        <v>45288</v>
      </c>
      <c r="G757" t="str">
        <f t="shared" si="24"/>
        <v>Dec</v>
      </c>
      <c r="H757" t="str">
        <f t="shared" si="25"/>
        <v>2023</v>
      </c>
    </row>
    <row r="758" spans="1:8" hidden="1" x14ac:dyDescent="0.35">
      <c r="A758" t="s">
        <v>414</v>
      </c>
      <c r="B758" s="73">
        <f>Balance[[#This Row],[Cost USD]]*147</f>
        <v>160.23000000000002</v>
      </c>
      <c r="C758" s="73">
        <v>1.0900000000000001</v>
      </c>
      <c r="D758" s="1" t="s">
        <v>259</v>
      </c>
      <c r="E758" s="27" t="s">
        <v>268</v>
      </c>
      <c r="F758" s="2">
        <v>45291</v>
      </c>
      <c r="G758" t="str">
        <f t="shared" si="24"/>
        <v>Dec</v>
      </c>
      <c r="H758" t="str">
        <f t="shared" si="25"/>
        <v>2023</v>
      </c>
    </row>
    <row r="759" spans="1:8" hidden="1" x14ac:dyDescent="0.35">
      <c r="A759" t="s">
        <v>415</v>
      </c>
      <c r="B759" s="73">
        <f>Balance[[#This Row],[Cost USD]]*147</f>
        <v>998.13</v>
      </c>
      <c r="C759" s="73">
        <v>6.79</v>
      </c>
      <c r="D759" s="1" t="s">
        <v>259</v>
      </c>
      <c r="E759" s="27" t="s">
        <v>268</v>
      </c>
      <c r="F759" s="2">
        <v>45291</v>
      </c>
      <c r="G759" t="str">
        <f t="shared" si="24"/>
        <v>Dec</v>
      </c>
      <c r="H759" t="str">
        <f t="shared" si="25"/>
        <v>2023</v>
      </c>
    </row>
    <row r="760" spans="1:8" hidden="1" x14ac:dyDescent="0.35">
      <c r="A760" t="s">
        <v>416</v>
      </c>
      <c r="B760" s="73">
        <f>Balance[[#This Row],[Cost USD]]*147</f>
        <v>233.73000000000002</v>
      </c>
      <c r="C760" s="73">
        <v>1.59</v>
      </c>
      <c r="D760" s="73" t="s">
        <v>259</v>
      </c>
      <c r="E760" s="27" t="s">
        <v>265</v>
      </c>
      <c r="F760" s="2">
        <v>45291</v>
      </c>
      <c r="G760" t="str">
        <f t="shared" si="24"/>
        <v>Dec</v>
      </c>
      <c r="H760" t="str">
        <f t="shared" si="25"/>
        <v>2023</v>
      </c>
    </row>
    <row r="761" spans="1:8" hidden="1" x14ac:dyDescent="0.35">
      <c r="A761" t="s">
        <v>416</v>
      </c>
      <c r="B761" s="73">
        <f>Balance[[#This Row],[Cost USD]]*147</f>
        <v>233.73000000000002</v>
      </c>
      <c r="C761" s="73">
        <v>1.59</v>
      </c>
      <c r="D761" s="73" t="s">
        <v>259</v>
      </c>
      <c r="E761" s="27" t="s">
        <v>265</v>
      </c>
      <c r="F761" s="2">
        <v>45291</v>
      </c>
      <c r="G761" t="str">
        <f t="shared" si="24"/>
        <v>Dec</v>
      </c>
      <c r="H761" t="str">
        <f t="shared" si="25"/>
        <v>2023</v>
      </c>
    </row>
    <row r="762" spans="1:8" hidden="1" x14ac:dyDescent="0.35">
      <c r="A762" t="s">
        <v>417</v>
      </c>
      <c r="B762" s="73">
        <f>Balance[[#This Row],[Cost USD]]*147</f>
        <v>1027.53</v>
      </c>
      <c r="C762" s="73">
        <v>6.99</v>
      </c>
      <c r="D762" s="1" t="s">
        <v>259</v>
      </c>
      <c r="E762" s="27" t="s">
        <v>268</v>
      </c>
      <c r="F762" s="2">
        <v>45291</v>
      </c>
      <c r="G762" t="str">
        <f t="shared" si="24"/>
        <v>Dec</v>
      </c>
      <c r="H762" t="str">
        <f t="shared" si="25"/>
        <v>2023</v>
      </c>
    </row>
    <row r="763" spans="1:8" hidden="1" x14ac:dyDescent="0.35">
      <c r="A763" t="s">
        <v>418</v>
      </c>
      <c r="B763" s="73">
        <f>Balance[[#This Row],[Cost USD]]*147</f>
        <v>615.93000000000006</v>
      </c>
      <c r="C763" s="73">
        <v>4.1900000000000004</v>
      </c>
      <c r="D763" s="1" t="s">
        <v>259</v>
      </c>
      <c r="E763" s="27" t="s">
        <v>268</v>
      </c>
      <c r="F763" s="2">
        <v>45291</v>
      </c>
      <c r="G763" t="str">
        <f t="shared" si="24"/>
        <v>Dec</v>
      </c>
      <c r="H763" t="str">
        <f t="shared" si="25"/>
        <v>2023</v>
      </c>
    </row>
    <row r="764" spans="1:8" x14ac:dyDescent="0.35">
      <c r="A764" t="s">
        <v>419</v>
      </c>
      <c r="B764" s="73">
        <f>Balance[[#This Row],[Cost USD]]*147</f>
        <v>771.75</v>
      </c>
      <c r="C764" s="73">
        <v>5.25</v>
      </c>
      <c r="D764" s="1" t="s">
        <v>689</v>
      </c>
      <c r="E764" s="27" t="s">
        <v>275</v>
      </c>
      <c r="F764" s="2">
        <v>45292</v>
      </c>
      <c r="G764" t="str">
        <f t="shared" si="24"/>
        <v>Jan</v>
      </c>
      <c r="H764" t="str">
        <f t="shared" si="25"/>
        <v>2024</v>
      </c>
    </row>
    <row r="765" spans="1:8" x14ac:dyDescent="0.35">
      <c r="A765" t="s">
        <v>420</v>
      </c>
      <c r="B765" s="73">
        <f>Balance[[#This Row],[Cost USD]]*147</f>
        <v>352.8</v>
      </c>
      <c r="C765" s="73">
        <v>2.4</v>
      </c>
      <c r="D765" s="1" t="s">
        <v>689</v>
      </c>
      <c r="E765" s="27" t="s">
        <v>275</v>
      </c>
      <c r="F765" s="2">
        <v>45292</v>
      </c>
      <c r="G765" t="str">
        <f t="shared" si="24"/>
        <v>Jan</v>
      </c>
      <c r="H765" t="str">
        <f t="shared" si="25"/>
        <v>2024</v>
      </c>
    </row>
    <row r="766" spans="1:8" x14ac:dyDescent="0.35">
      <c r="A766" t="s">
        <v>421</v>
      </c>
      <c r="B766" s="73">
        <f>Balance[[#This Row],[Cost USD]]*147</f>
        <v>352.8</v>
      </c>
      <c r="C766" s="73">
        <v>2.4</v>
      </c>
      <c r="D766" s="1" t="s">
        <v>689</v>
      </c>
      <c r="E766" s="27" t="s">
        <v>275</v>
      </c>
      <c r="F766" s="2">
        <v>45292</v>
      </c>
      <c r="G766" t="str">
        <f t="shared" si="24"/>
        <v>Jan</v>
      </c>
      <c r="H766" t="str">
        <f t="shared" si="25"/>
        <v>2024</v>
      </c>
    </row>
    <row r="767" spans="1:8" hidden="1" x14ac:dyDescent="0.35">
      <c r="A767" t="s">
        <v>317</v>
      </c>
      <c r="B767" s="73">
        <f>Balance[[#This Row],[Cost USD]]*147</f>
        <v>5145</v>
      </c>
      <c r="C767" s="73">
        <v>35</v>
      </c>
      <c r="D767" s="1" t="s">
        <v>259</v>
      </c>
      <c r="E767" s="27" t="s">
        <v>4</v>
      </c>
      <c r="F767" s="2">
        <v>45295</v>
      </c>
      <c r="G767" t="str">
        <f t="shared" si="24"/>
        <v>Jan</v>
      </c>
      <c r="H767" t="str">
        <f t="shared" si="25"/>
        <v>2024</v>
      </c>
    </row>
    <row r="768" spans="1:8" hidden="1" x14ac:dyDescent="0.35">
      <c r="A768" t="s">
        <v>393</v>
      </c>
      <c r="B768" s="73">
        <f>Balance[[#This Row],[Cost USD]]*147</f>
        <v>2352</v>
      </c>
      <c r="C768" s="73">
        <v>16</v>
      </c>
      <c r="D768" s="73" t="s">
        <v>259</v>
      </c>
      <c r="E768" s="27" t="s">
        <v>265</v>
      </c>
      <c r="F768" s="2">
        <v>45296</v>
      </c>
      <c r="G768" t="str">
        <f t="shared" si="24"/>
        <v>Jan</v>
      </c>
      <c r="H768" t="str">
        <f t="shared" si="25"/>
        <v>2024</v>
      </c>
    </row>
    <row r="769" spans="1:8" hidden="1" x14ac:dyDescent="0.35">
      <c r="A769" t="s">
        <v>381</v>
      </c>
      <c r="B769" s="73">
        <f>Balance[[#This Row],[Cost USD]]*147</f>
        <v>2793</v>
      </c>
      <c r="C769" s="73">
        <v>19</v>
      </c>
      <c r="D769" s="1" t="s">
        <v>260</v>
      </c>
      <c r="E769" s="27" t="s">
        <v>273</v>
      </c>
      <c r="F769" s="2">
        <v>45296</v>
      </c>
      <c r="G769" t="str">
        <f t="shared" si="24"/>
        <v>Jan</v>
      </c>
      <c r="H769" t="str">
        <f t="shared" si="25"/>
        <v>2024</v>
      </c>
    </row>
    <row r="770" spans="1:8" x14ac:dyDescent="0.35">
      <c r="A770" t="s">
        <v>426</v>
      </c>
      <c r="B770" s="73">
        <f>Balance[[#This Row],[Cost USD]]*147</f>
        <v>2205</v>
      </c>
      <c r="C770" s="73">
        <v>15</v>
      </c>
      <c r="D770" s="1" t="s">
        <v>689</v>
      </c>
      <c r="E770" s="27" t="s">
        <v>275</v>
      </c>
      <c r="F770" s="2">
        <v>45296</v>
      </c>
      <c r="G770" t="str">
        <f t="shared" si="24"/>
        <v>Jan</v>
      </c>
      <c r="H770" t="str">
        <f t="shared" si="25"/>
        <v>2024</v>
      </c>
    </row>
    <row r="771" spans="1:8" hidden="1" x14ac:dyDescent="0.35">
      <c r="A771" t="s">
        <v>401</v>
      </c>
      <c r="B771" s="73">
        <f>Balance[[#This Row],[Cost USD]]*147</f>
        <v>588</v>
      </c>
      <c r="C771" s="73">
        <v>4</v>
      </c>
      <c r="D771" s="73" t="s">
        <v>259</v>
      </c>
      <c r="E771" s="27" t="s">
        <v>265</v>
      </c>
      <c r="F771" s="2">
        <v>45296</v>
      </c>
      <c r="G771" t="str">
        <f t="shared" si="24"/>
        <v>Jan</v>
      </c>
      <c r="H771" t="str">
        <f t="shared" si="25"/>
        <v>2024</v>
      </c>
    </row>
    <row r="772" spans="1:8" hidden="1" x14ac:dyDescent="0.35">
      <c r="A772" t="s">
        <v>114</v>
      </c>
      <c r="B772" s="73">
        <v>1040</v>
      </c>
      <c r="C772" s="73">
        <f>Balance[[#This Row],[COST]]/147</f>
        <v>7.074829931972789</v>
      </c>
      <c r="D772" s="73" t="s">
        <v>259</v>
      </c>
      <c r="E772" s="27" t="s">
        <v>265</v>
      </c>
      <c r="F772" s="2">
        <v>45297</v>
      </c>
      <c r="G772" t="str">
        <f t="shared" si="24"/>
        <v>Jan</v>
      </c>
      <c r="H772" t="str">
        <f t="shared" si="25"/>
        <v>2024</v>
      </c>
    </row>
    <row r="773" spans="1:8" hidden="1" x14ac:dyDescent="0.35">
      <c r="A773" t="s">
        <v>9</v>
      </c>
      <c r="B773" s="73">
        <v>363</v>
      </c>
      <c r="C773" s="73">
        <f>Balance[[#This Row],[COST]]/147</f>
        <v>2.4693877551020407</v>
      </c>
      <c r="D773" s="3" t="s">
        <v>259</v>
      </c>
      <c r="E773" s="61" t="s">
        <v>268</v>
      </c>
      <c r="F773" s="2">
        <v>45298</v>
      </c>
      <c r="G773" t="str">
        <f t="shared" si="24"/>
        <v>Jan</v>
      </c>
      <c r="H773" t="str">
        <f t="shared" si="25"/>
        <v>2024</v>
      </c>
    </row>
    <row r="774" spans="1:8" hidden="1" x14ac:dyDescent="0.35">
      <c r="A774" t="s">
        <v>9</v>
      </c>
      <c r="B774" s="73">
        <v>363</v>
      </c>
      <c r="C774" s="73">
        <f>Balance[[#This Row],[COST]]/147</f>
        <v>2.4693877551020407</v>
      </c>
      <c r="D774" s="3" t="s">
        <v>259</v>
      </c>
      <c r="E774" s="61" t="s">
        <v>268</v>
      </c>
      <c r="F774" s="2">
        <v>45298</v>
      </c>
      <c r="G774" t="str">
        <f t="shared" si="24"/>
        <v>Jan</v>
      </c>
      <c r="H774" t="str">
        <f t="shared" si="25"/>
        <v>2024</v>
      </c>
    </row>
    <row r="775" spans="1:8" hidden="1" x14ac:dyDescent="0.35">
      <c r="A775" t="s">
        <v>427</v>
      </c>
      <c r="B775" s="73">
        <v>835</v>
      </c>
      <c r="C775" s="73">
        <f>Balance[[#This Row],[COST]]/147</f>
        <v>5.6802721088435373</v>
      </c>
      <c r="D775" s="3" t="s">
        <v>259</v>
      </c>
      <c r="E775" s="61" t="s">
        <v>268</v>
      </c>
      <c r="F775" s="2">
        <v>45298</v>
      </c>
      <c r="G775" t="str">
        <f t="shared" si="24"/>
        <v>Jan</v>
      </c>
      <c r="H775" t="str">
        <f t="shared" si="25"/>
        <v>2024</v>
      </c>
    </row>
    <row r="776" spans="1:8" hidden="1" x14ac:dyDescent="0.35">
      <c r="A776" t="s">
        <v>427</v>
      </c>
      <c r="B776" s="73">
        <v>835</v>
      </c>
      <c r="C776" s="73">
        <f>Balance[[#This Row],[COST]]/147</f>
        <v>5.6802721088435373</v>
      </c>
      <c r="D776" s="3" t="s">
        <v>259</v>
      </c>
      <c r="E776" s="61" t="s">
        <v>268</v>
      </c>
      <c r="F776" s="2">
        <v>45298</v>
      </c>
      <c r="G776" t="str">
        <f t="shared" si="24"/>
        <v>Jan</v>
      </c>
      <c r="H776" t="str">
        <f t="shared" si="25"/>
        <v>2024</v>
      </c>
    </row>
    <row r="777" spans="1:8" hidden="1" x14ac:dyDescent="0.35">
      <c r="A777" t="s">
        <v>428</v>
      </c>
      <c r="B777" s="73">
        <v>1000</v>
      </c>
      <c r="C777" s="73">
        <f>Balance[[#This Row],[COST]]/147</f>
        <v>6.8027210884353737</v>
      </c>
      <c r="D777" s="1" t="s">
        <v>259</v>
      </c>
      <c r="E777" s="27" t="s">
        <v>267</v>
      </c>
      <c r="F777" s="2">
        <v>45300</v>
      </c>
      <c r="G777" t="str">
        <f t="shared" si="24"/>
        <v>Jan</v>
      </c>
      <c r="H777" t="str">
        <f t="shared" si="25"/>
        <v>2024</v>
      </c>
    </row>
    <row r="778" spans="1:8" hidden="1" x14ac:dyDescent="0.35">
      <c r="A778" t="s">
        <v>291</v>
      </c>
      <c r="B778" s="73">
        <v>38203</v>
      </c>
      <c r="C778" s="73">
        <f>Balance[[#This Row],[COST]]/147</f>
        <v>259.88435374149662</v>
      </c>
      <c r="D778" s="1" t="s">
        <v>259</v>
      </c>
      <c r="E778" t="s">
        <v>554</v>
      </c>
      <c r="F778" s="2">
        <v>45301</v>
      </c>
      <c r="G778" t="str">
        <f t="shared" si="24"/>
        <v>Jan</v>
      </c>
      <c r="H778" t="str">
        <f t="shared" si="25"/>
        <v>2024</v>
      </c>
    </row>
    <row r="779" spans="1:8" hidden="1" x14ac:dyDescent="0.35">
      <c r="A779" t="s">
        <v>183</v>
      </c>
      <c r="B779" s="73">
        <v>1000</v>
      </c>
      <c r="C779" s="73">
        <f>Balance[[#This Row],[COST]]/147</f>
        <v>6.8027210884353737</v>
      </c>
      <c r="D779" s="1" t="s">
        <v>259</v>
      </c>
      <c r="E779" s="27" t="s">
        <v>4</v>
      </c>
      <c r="F779" s="2">
        <v>45302</v>
      </c>
      <c r="G779" t="str">
        <f t="shared" si="24"/>
        <v>Jan</v>
      </c>
      <c r="H779" t="str">
        <f t="shared" si="25"/>
        <v>2024</v>
      </c>
    </row>
    <row r="780" spans="1:8" hidden="1" x14ac:dyDescent="0.35">
      <c r="A780" t="s">
        <v>431</v>
      </c>
      <c r="B780" s="73">
        <v>43000</v>
      </c>
      <c r="C780" s="73">
        <f>Balance[[#This Row],[COST]]/147</f>
        <v>292.51700680272108</v>
      </c>
      <c r="D780" s="1" t="s">
        <v>260</v>
      </c>
      <c r="E780" s="27" t="s">
        <v>273</v>
      </c>
      <c r="F780" s="2">
        <v>45302</v>
      </c>
      <c r="G780" t="str">
        <f t="shared" si="24"/>
        <v>Jan</v>
      </c>
      <c r="H780" t="str">
        <f t="shared" si="25"/>
        <v>2024</v>
      </c>
    </row>
    <row r="781" spans="1:8" hidden="1" x14ac:dyDescent="0.35">
      <c r="A781" t="s">
        <v>129</v>
      </c>
      <c r="B781" s="73">
        <v>1700</v>
      </c>
      <c r="C781" s="73">
        <f>Balance[[#This Row],[COST]]/147</f>
        <v>11.564625850340136</v>
      </c>
      <c r="D781" s="73" t="s">
        <v>259</v>
      </c>
      <c r="E781" s="27" t="s">
        <v>265</v>
      </c>
      <c r="F781" s="2">
        <v>45303</v>
      </c>
      <c r="G781" t="str">
        <f t="shared" si="24"/>
        <v>Jan</v>
      </c>
      <c r="H781" t="str">
        <f t="shared" si="25"/>
        <v>2024</v>
      </c>
    </row>
    <row r="782" spans="1:8" hidden="1" x14ac:dyDescent="0.35">
      <c r="A782" t="s">
        <v>429</v>
      </c>
      <c r="B782" s="73">
        <v>100</v>
      </c>
      <c r="C782" s="73">
        <f>Balance[[#This Row],[COST]]/147</f>
        <v>0.68027210884353739</v>
      </c>
      <c r="D782" s="1" t="s">
        <v>260</v>
      </c>
      <c r="E782" s="27" t="s">
        <v>273</v>
      </c>
      <c r="F782" s="2">
        <v>45304</v>
      </c>
      <c r="G782" t="str">
        <f t="shared" si="24"/>
        <v>Jan</v>
      </c>
      <c r="H782" t="str">
        <f t="shared" si="25"/>
        <v>2024</v>
      </c>
    </row>
    <row r="783" spans="1:8" hidden="1" x14ac:dyDescent="0.35">
      <c r="A783" t="s">
        <v>302</v>
      </c>
      <c r="B783" s="73">
        <v>950</v>
      </c>
      <c r="C783" s="73">
        <f>Balance[[#This Row],[COST]]/147</f>
        <v>6.4625850340136051</v>
      </c>
      <c r="D783" s="73" t="s">
        <v>259</v>
      </c>
      <c r="E783" s="27" t="s">
        <v>265</v>
      </c>
      <c r="F783" s="2">
        <v>45304</v>
      </c>
      <c r="G783" t="str">
        <f t="shared" si="24"/>
        <v>Jan</v>
      </c>
      <c r="H783" t="str">
        <f t="shared" si="25"/>
        <v>2024</v>
      </c>
    </row>
    <row r="784" spans="1:8" hidden="1" x14ac:dyDescent="0.35">
      <c r="A784" t="s">
        <v>430</v>
      </c>
      <c r="B784" s="73">
        <v>1300</v>
      </c>
      <c r="C784" s="73">
        <f>Balance[[#This Row],[COST]]/147</f>
        <v>8.8435374149659864</v>
      </c>
      <c r="D784" s="73" t="s">
        <v>259</v>
      </c>
      <c r="E784" s="27" t="s">
        <v>265</v>
      </c>
      <c r="F784" s="2">
        <v>45304</v>
      </c>
      <c r="G784" t="str">
        <f t="shared" si="24"/>
        <v>Jan</v>
      </c>
      <c r="H784" t="str">
        <f t="shared" si="25"/>
        <v>2024</v>
      </c>
    </row>
    <row r="785" spans="1:8" hidden="1" x14ac:dyDescent="0.35">
      <c r="A785" t="s">
        <v>432</v>
      </c>
      <c r="B785" s="73">
        <v>43</v>
      </c>
      <c r="C785" s="73">
        <f>Balance[[#This Row],[COST]]/147</f>
        <v>0.29251700680272108</v>
      </c>
      <c r="D785" s="73" t="s">
        <v>259</v>
      </c>
      <c r="E785" s="27" t="s">
        <v>265</v>
      </c>
      <c r="F785" s="2">
        <v>45306</v>
      </c>
      <c r="G785" t="str">
        <f t="shared" si="24"/>
        <v>Jan</v>
      </c>
      <c r="H785" t="str">
        <f t="shared" si="25"/>
        <v>2024</v>
      </c>
    </row>
    <row r="786" spans="1:8" hidden="1" x14ac:dyDescent="0.35">
      <c r="A786" t="s">
        <v>432</v>
      </c>
      <c r="B786" s="73">
        <v>43</v>
      </c>
      <c r="C786" s="73">
        <f>Balance[[#This Row],[COST]]/147</f>
        <v>0.29251700680272108</v>
      </c>
      <c r="D786" s="73" t="s">
        <v>259</v>
      </c>
      <c r="E786" s="27" t="s">
        <v>265</v>
      </c>
      <c r="F786" s="2">
        <v>45306</v>
      </c>
      <c r="G786" t="str">
        <f t="shared" si="24"/>
        <v>Jan</v>
      </c>
      <c r="H786" t="str">
        <f t="shared" si="25"/>
        <v>2024</v>
      </c>
    </row>
    <row r="787" spans="1:8" x14ac:dyDescent="0.35">
      <c r="A787" t="s">
        <v>433</v>
      </c>
      <c r="B787" s="73">
        <v>460</v>
      </c>
      <c r="C787" s="73">
        <f>Balance[[#This Row],[COST]]/147</f>
        <v>3.129251700680272</v>
      </c>
      <c r="D787" s="1" t="s">
        <v>689</v>
      </c>
      <c r="E787" s="27" t="s">
        <v>275</v>
      </c>
      <c r="F787" s="2">
        <v>45306</v>
      </c>
      <c r="G787" t="str">
        <f t="shared" si="24"/>
        <v>Jan</v>
      </c>
      <c r="H787" t="str">
        <f t="shared" si="25"/>
        <v>2024</v>
      </c>
    </row>
    <row r="788" spans="1:8" hidden="1" x14ac:dyDescent="0.35">
      <c r="A788" t="s">
        <v>434</v>
      </c>
      <c r="B788" s="73">
        <v>130</v>
      </c>
      <c r="C788" s="73">
        <f>Balance[[#This Row],[COST]]/147</f>
        <v>0.88435374149659862</v>
      </c>
      <c r="D788" s="73" t="s">
        <v>259</v>
      </c>
      <c r="E788" s="27" t="s">
        <v>265</v>
      </c>
      <c r="F788" s="2">
        <v>45306</v>
      </c>
      <c r="G788" t="str">
        <f t="shared" si="24"/>
        <v>Jan</v>
      </c>
      <c r="H788" t="str">
        <f t="shared" si="25"/>
        <v>2024</v>
      </c>
    </row>
    <row r="789" spans="1:8" x14ac:dyDescent="0.35">
      <c r="A789" t="s">
        <v>435</v>
      </c>
      <c r="B789" s="73">
        <v>670</v>
      </c>
      <c r="C789" s="73">
        <f>Balance[[#This Row],[COST]]/147</f>
        <v>4.5578231292517009</v>
      </c>
      <c r="D789" s="1" t="s">
        <v>689</v>
      </c>
      <c r="E789" s="27" t="s">
        <v>275</v>
      </c>
      <c r="F789" s="2">
        <v>45306</v>
      </c>
      <c r="G789" t="str">
        <f t="shared" si="24"/>
        <v>Jan</v>
      </c>
      <c r="H789" t="str">
        <f t="shared" si="25"/>
        <v>2024</v>
      </c>
    </row>
    <row r="790" spans="1:8" x14ac:dyDescent="0.35">
      <c r="A790" t="s">
        <v>436</v>
      </c>
      <c r="B790" s="73">
        <v>970</v>
      </c>
      <c r="C790" s="73">
        <f>Balance[[#This Row],[COST]]/147</f>
        <v>6.5986394557823127</v>
      </c>
      <c r="D790" s="1" t="s">
        <v>689</v>
      </c>
      <c r="E790" s="27" t="s">
        <v>275</v>
      </c>
      <c r="F790" s="2">
        <v>45306</v>
      </c>
      <c r="G790" t="str">
        <f t="shared" si="24"/>
        <v>Jan</v>
      </c>
      <c r="H790" t="str">
        <f t="shared" si="25"/>
        <v>2024</v>
      </c>
    </row>
    <row r="791" spans="1:8" x14ac:dyDescent="0.35">
      <c r="A791" t="s">
        <v>437</v>
      </c>
      <c r="B791" s="73">
        <v>330</v>
      </c>
      <c r="C791" s="73">
        <f>Balance[[#This Row],[COST]]/147</f>
        <v>2.2448979591836733</v>
      </c>
      <c r="D791" s="1" t="s">
        <v>689</v>
      </c>
      <c r="E791" s="27" t="s">
        <v>275</v>
      </c>
      <c r="F791" s="2">
        <v>45306</v>
      </c>
      <c r="G791" t="str">
        <f t="shared" si="24"/>
        <v>Jan</v>
      </c>
      <c r="H791" t="str">
        <f t="shared" si="25"/>
        <v>2024</v>
      </c>
    </row>
    <row r="792" spans="1:8" hidden="1" x14ac:dyDescent="0.35">
      <c r="A792" t="s">
        <v>438</v>
      </c>
      <c r="B792" s="73">
        <v>330</v>
      </c>
      <c r="C792" s="73">
        <f>Balance[[#This Row],[COST]]/147</f>
        <v>2.2448979591836733</v>
      </c>
      <c r="D792" s="73" t="s">
        <v>259</v>
      </c>
      <c r="E792" s="27" t="s">
        <v>265</v>
      </c>
      <c r="F792" s="2">
        <v>45306</v>
      </c>
      <c r="G792" t="str">
        <f t="shared" si="24"/>
        <v>Jan</v>
      </c>
      <c r="H792" t="str">
        <f t="shared" si="25"/>
        <v>2024</v>
      </c>
    </row>
    <row r="793" spans="1:8" hidden="1" x14ac:dyDescent="0.35">
      <c r="A793" t="s">
        <v>229</v>
      </c>
      <c r="B793" s="73">
        <f>Balance[[#This Row],[Cost USD]]*147</f>
        <v>880.53000000000009</v>
      </c>
      <c r="C793" s="73">
        <v>5.99</v>
      </c>
      <c r="D793" s="73" t="s">
        <v>259</v>
      </c>
      <c r="E793" s="27" t="s">
        <v>267</v>
      </c>
      <c r="F793" s="2">
        <v>45306</v>
      </c>
      <c r="G793" t="str">
        <f t="shared" si="24"/>
        <v>Jan</v>
      </c>
      <c r="H793" t="str">
        <f t="shared" si="25"/>
        <v>2024</v>
      </c>
    </row>
    <row r="794" spans="1:8" hidden="1" x14ac:dyDescent="0.35">
      <c r="A794" t="s">
        <v>242</v>
      </c>
      <c r="B794" s="73">
        <v>1700</v>
      </c>
      <c r="C794" s="73">
        <f>Balance[[#This Row],[COST]]/147</f>
        <v>11.564625850340136</v>
      </c>
      <c r="D794" s="73" t="s">
        <v>259</v>
      </c>
      <c r="E794" s="27" t="s">
        <v>265</v>
      </c>
      <c r="F794" s="2">
        <v>45308</v>
      </c>
      <c r="G794" t="str">
        <f t="shared" si="24"/>
        <v>Jan</v>
      </c>
      <c r="H794" t="str">
        <f t="shared" si="25"/>
        <v>2024</v>
      </c>
    </row>
    <row r="795" spans="1:8" hidden="1" x14ac:dyDescent="0.35">
      <c r="A795" t="s">
        <v>448</v>
      </c>
      <c r="B795" s="73">
        <v>500</v>
      </c>
      <c r="C795" s="73">
        <f>Balance[[#This Row],[COST]]/147</f>
        <v>3.4013605442176869</v>
      </c>
      <c r="D795" s="1" t="s">
        <v>259</v>
      </c>
      <c r="E795" s="27" t="s">
        <v>265</v>
      </c>
      <c r="F795" s="2">
        <v>45308</v>
      </c>
      <c r="G795" t="str">
        <f t="shared" si="24"/>
        <v>Jan</v>
      </c>
      <c r="H795" t="str">
        <f t="shared" si="25"/>
        <v>2024</v>
      </c>
    </row>
    <row r="796" spans="1:8" hidden="1" x14ac:dyDescent="0.35">
      <c r="A796" t="s">
        <v>242</v>
      </c>
      <c r="B796" s="73">
        <v>1700</v>
      </c>
      <c r="C796" s="73">
        <f>Balance[[#This Row],[COST]]/147</f>
        <v>11.564625850340136</v>
      </c>
      <c r="D796" s="73" t="s">
        <v>259</v>
      </c>
      <c r="E796" s="27" t="s">
        <v>265</v>
      </c>
      <c r="F796" s="2">
        <v>45310</v>
      </c>
      <c r="G796" t="str">
        <f t="shared" si="24"/>
        <v>Jan</v>
      </c>
      <c r="H796" t="str">
        <f t="shared" si="25"/>
        <v>2024</v>
      </c>
    </row>
    <row r="797" spans="1:8" x14ac:dyDescent="0.35">
      <c r="A797" t="s">
        <v>457</v>
      </c>
      <c r="B797" s="73">
        <v>3200</v>
      </c>
      <c r="C797" s="73">
        <f>Balance[[#This Row],[COST]]/147</f>
        <v>21.768707482993197</v>
      </c>
      <c r="D797" s="1" t="s">
        <v>689</v>
      </c>
      <c r="E797" s="27" t="s">
        <v>275</v>
      </c>
      <c r="F797" s="2">
        <v>45310</v>
      </c>
      <c r="G797" t="str">
        <f t="shared" si="24"/>
        <v>Jan</v>
      </c>
      <c r="H797" t="str">
        <f t="shared" si="25"/>
        <v>2024</v>
      </c>
    </row>
    <row r="798" spans="1:8" hidden="1" x14ac:dyDescent="0.35">
      <c r="A798" t="s">
        <v>183</v>
      </c>
      <c r="B798" s="73">
        <v>3000</v>
      </c>
      <c r="C798" s="73">
        <f>Balance[[#This Row],[COST]]/147</f>
        <v>20.408163265306122</v>
      </c>
      <c r="D798" s="73" t="s">
        <v>259</v>
      </c>
      <c r="E798" s="27" t="s">
        <v>4</v>
      </c>
      <c r="F798" s="2">
        <v>45311</v>
      </c>
      <c r="G798" t="str">
        <f t="shared" si="24"/>
        <v>Jan</v>
      </c>
      <c r="H798" t="str">
        <f t="shared" si="25"/>
        <v>2024</v>
      </c>
    </row>
    <row r="799" spans="1:8" hidden="1" x14ac:dyDescent="0.35">
      <c r="A799" t="s">
        <v>439</v>
      </c>
      <c r="B799" s="73">
        <v>5000</v>
      </c>
      <c r="C799" s="73">
        <f>Balance[[#This Row],[COST]]/147</f>
        <v>34.013605442176868</v>
      </c>
      <c r="D799" s="1" t="s">
        <v>259</v>
      </c>
      <c r="E799" s="27" t="s">
        <v>268</v>
      </c>
      <c r="F799" s="2">
        <v>45311</v>
      </c>
      <c r="G799" t="str">
        <f t="shared" ref="G799:G862" si="26">TEXT(F799,"mmm")</f>
        <v>Jan</v>
      </c>
      <c r="H799" t="str">
        <f t="shared" ref="H799:H862" si="27">TEXT(F799,"yyy")</f>
        <v>2024</v>
      </c>
    </row>
    <row r="800" spans="1:8" hidden="1" x14ac:dyDescent="0.35">
      <c r="A800" t="s">
        <v>440</v>
      </c>
      <c r="B800" s="73">
        <v>12000</v>
      </c>
      <c r="C800" s="73">
        <f>Balance[[#This Row],[COST]]/147</f>
        <v>81.632653061224488</v>
      </c>
      <c r="D800" s="1" t="s">
        <v>259</v>
      </c>
      <c r="E800" s="27" t="s">
        <v>268</v>
      </c>
      <c r="F800" s="2">
        <v>45311</v>
      </c>
      <c r="G800" t="str">
        <f t="shared" si="26"/>
        <v>Jan</v>
      </c>
      <c r="H800" t="str">
        <f t="shared" si="27"/>
        <v>2024</v>
      </c>
    </row>
    <row r="801" spans="1:8" hidden="1" x14ac:dyDescent="0.35">
      <c r="A801" t="s">
        <v>441</v>
      </c>
      <c r="B801" s="73">
        <v>16300</v>
      </c>
      <c r="C801" s="73">
        <f>Balance[[#This Row],[COST]]/147</f>
        <v>110.8843537414966</v>
      </c>
      <c r="D801" s="1" t="s">
        <v>259</v>
      </c>
      <c r="E801" s="27" t="s">
        <v>4</v>
      </c>
      <c r="F801" s="2">
        <v>45311</v>
      </c>
      <c r="G801" t="str">
        <f t="shared" si="26"/>
        <v>Jan</v>
      </c>
      <c r="H801" t="str">
        <f t="shared" si="27"/>
        <v>2024</v>
      </c>
    </row>
    <row r="802" spans="1:8" hidden="1" x14ac:dyDescent="0.35">
      <c r="A802" t="s">
        <v>442</v>
      </c>
      <c r="B802" s="73">
        <v>600</v>
      </c>
      <c r="C802" s="73">
        <f>Balance[[#This Row],[COST]]/147</f>
        <v>4.0816326530612246</v>
      </c>
      <c r="D802" s="1" t="s">
        <v>259</v>
      </c>
      <c r="E802" s="27" t="s">
        <v>268</v>
      </c>
      <c r="F802" s="2">
        <v>45311</v>
      </c>
      <c r="G802" t="str">
        <f t="shared" si="26"/>
        <v>Jan</v>
      </c>
      <c r="H802" t="str">
        <f t="shared" si="27"/>
        <v>2024</v>
      </c>
    </row>
    <row r="803" spans="1:8" hidden="1" x14ac:dyDescent="0.35">
      <c r="A803" t="s">
        <v>443</v>
      </c>
      <c r="B803" s="73">
        <v>800</v>
      </c>
      <c r="C803" s="73">
        <f>Balance[[#This Row],[COST]]/147</f>
        <v>5.4421768707482991</v>
      </c>
      <c r="D803" s="1" t="s">
        <v>259</v>
      </c>
      <c r="E803" s="27" t="s">
        <v>268</v>
      </c>
      <c r="F803" s="2">
        <v>45311</v>
      </c>
      <c r="G803" t="str">
        <f t="shared" si="26"/>
        <v>Jan</v>
      </c>
      <c r="H803" t="str">
        <f t="shared" si="27"/>
        <v>2024</v>
      </c>
    </row>
    <row r="804" spans="1:8" hidden="1" x14ac:dyDescent="0.35">
      <c r="A804" t="s">
        <v>444</v>
      </c>
      <c r="B804" s="73">
        <v>1300</v>
      </c>
      <c r="C804" s="73">
        <f>Balance[[#This Row],[COST]]/147</f>
        <v>8.8435374149659864</v>
      </c>
      <c r="D804" s="1" t="s">
        <v>259</v>
      </c>
      <c r="E804" s="27" t="s">
        <v>265</v>
      </c>
      <c r="F804" s="2">
        <v>45311</v>
      </c>
      <c r="G804" t="str">
        <f t="shared" si="26"/>
        <v>Jan</v>
      </c>
      <c r="H804" t="str">
        <f t="shared" si="27"/>
        <v>2024</v>
      </c>
    </row>
    <row r="805" spans="1:8" hidden="1" x14ac:dyDescent="0.35">
      <c r="A805" t="s">
        <v>427</v>
      </c>
      <c r="B805" s="73">
        <v>800</v>
      </c>
      <c r="C805" s="73">
        <f>Balance[[#This Row],[COST]]/147</f>
        <v>5.4421768707482991</v>
      </c>
      <c r="D805" s="1" t="s">
        <v>259</v>
      </c>
      <c r="E805" s="27" t="s">
        <v>268</v>
      </c>
      <c r="F805" s="2">
        <v>45311</v>
      </c>
      <c r="G805" t="str">
        <f t="shared" si="26"/>
        <v>Jan</v>
      </c>
      <c r="H805" t="str">
        <f t="shared" si="27"/>
        <v>2024</v>
      </c>
    </row>
    <row r="806" spans="1:8" hidden="1" x14ac:dyDescent="0.35">
      <c r="A806" t="s">
        <v>445</v>
      </c>
      <c r="B806" s="73">
        <v>800</v>
      </c>
      <c r="C806" s="73">
        <f>Balance[[#This Row],[COST]]/147</f>
        <v>5.4421768707482991</v>
      </c>
      <c r="D806" s="1" t="s">
        <v>259</v>
      </c>
      <c r="E806" s="27" t="s">
        <v>268</v>
      </c>
      <c r="F806" s="2">
        <v>45311</v>
      </c>
      <c r="G806" t="str">
        <f t="shared" si="26"/>
        <v>Jan</v>
      </c>
      <c r="H806" t="str">
        <f t="shared" si="27"/>
        <v>2024</v>
      </c>
    </row>
    <row r="807" spans="1:8" hidden="1" x14ac:dyDescent="0.35">
      <c r="A807" t="s">
        <v>445</v>
      </c>
      <c r="B807" s="73">
        <v>800</v>
      </c>
      <c r="C807" s="73">
        <f>Balance[[#This Row],[COST]]/147</f>
        <v>5.4421768707482991</v>
      </c>
      <c r="D807" s="1" t="s">
        <v>259</v>
      </c>
      <c r="E807" s="27" t="s">
        <v>268</v>
      </c>
      <c r="F807" s="2">
        <v>45311</v>
      </c>
      <c r="G807" t="str">
        <f t="shared" si="26"/>
        <v>Jan</v>
      </c>
      <c r="H807" t="str">
        <f t="shared" si="27"/>
        <v>2024</v>
      </c>
    </row>
    <row r="808" spans="1:8" x14ac:dyDescent="0.35">
      <c r="A808" t="s">
        <v>425</v>
      </c>
      <c r="B808" s="73">
        <v>1000</v>
      </c>
      <c r="C808" s="73">
        <f>Balance[[#This Row],[COST]]/147</f>
        <v>6.8027210884353737</v>
      </c>
      <c r="D808" s="1" t="s">
        <v>689</v>
      </c>
      <c r="E808" s="27" t="s">
        <v>275</v>
      </c>
      <c r="F808" s="2">
        <v>45311</v>
      </c>
      <c r="G808" t="str">
        <f t="shared" si="26"/>
        <v>Jan</v>
      </c>
      <c r="H808" t="str">
        <f t="shared" si="27"/>
        <v>2024</v>
      </c>
    </row>
    <row r="809" spans="1:8" x14ac:dyDescent="0.35">
      <c r="A809" t="s">
        <v>446</v>
      </c>
      <c r="B809" s="73">
        <v>400</v>
      </c>
      <c r="C809" s="73">
        <f>Balance[[#This Row],[COST]]/147</f>
        <v>2.7210884353741496</v>
      </c>
      <c r="D809" s="1" t="s">
        <v>689</v>
      </c>
      <c r="E809" s="27" t="s">
        <v>275</v>
      </c>
      <c r="F809" s="2">
        <v>45311</v>
      </c>
      <c r="G809" t="str">
        <f t="shared" si="26"/>
        <v>Jan</v>
      </c>
      <c r="H809" t="str">
        <f t="shared" si="27"/>
        <v>2024</v>
      </c>
    </row>
    <row r="810" spans="1:8" x14ac:dyDescent="0.35">
      <c r="A810" t="s">
        <v>447</v>
      </c>
      <c r="B810" s="73">
        <v>3000</v>
      </c>
      <c r="C810" s="73">
        <f>Balance[[#This Row],[COST]]/147</f>
        <v>20.408163265306122</v>
      </c>
      <c r="D810" s="1" t="s">
        <v>689</v>
      </c>
      <c r="E810" s="27" t="s">
        <v>275</v>
      </c>
      <c r="F810" s="2">
        <v>45311</v>
      </c>
      <c r="G810" t="str">
        <f t="shared" si="26"/>
        <v>Jan</v>
      </c>
      <c r="H810" t="str">
        <f t="shared" si="27"/>
        <v>2024</v>
      </c>
    </row>
    <row r="811" spans="1:8" hidden="1" x14ac:dyDescent="0.35">
      <c r="A811" t="s">
        <v>449</v>
      </c>
      <c r="B811" s="73">
        <v>33348.85</v>
      </c>
      <c r="C811" s="73">
        <f>Balance[[#This Row],[COST]]/147</f>
        <v>226.86292517006802</v>
      </c>
      <c r="D811" s="1" t="s">
        <v>259</v>
      </c>
      <c r="E811" s="27" t="s">
        <v>268</v>
      </c>
      <c r="F811" s="2">
        <v>45311</v>
      </c>
      <c r="G811" t="str">
        <f t="shared" si="26"/>
        <v>Jan</v>
      </c>
      <c r="H811" t="str">
        <f t="shared" si="27"/>
        <v>2024</v>
      </c>
    </row>
    <row r="812" spans="1:8" hidden="1" x14ac:dyDescent="0.35">
      <c r="A812" t="s">
        <v>451</v>
      </c>
      <c r="B812" s="73">
        <v>27598.85</v>
      </c>
      <c r="C812" s="73">
        <f>Balance[[#This Row],[COST]]/147</f>
        <v>187.74727891156462</v>
      </c>
      <c r="D812" s="1" t="s">
        <v>259</v>
      </c>
      <c r="E812" s="27" t="s">
        <v>268</v>
      </c>
      <c r="F812" s="2">
        <v>45311</v>
      </c>
      <c r="G812" t="str">
        <f t="shared" si="26"/>
        <v>Jan</v>
      </c>
      <c r="H812" t="str">
        <f t="shared" si="27"/>
        <v>2024</v>
      </c>
    </row>
    <row r="813" spans="1:8" hidden="1" x14ac:dyDescent="0.35">
      <c r="A813" t="s">
        <v>452</v>
      </c>
      <c r="B813" s="73">
        <v>39673</v>
      </c>
      <c r="C813" s="73">
        <f>Balance[[#This Row],[COST]]/147</f>
        <v>269.88435374149662</v>
      </c>
      <c r="D813" s="1" t="s">
        <v>259</v>
      </c>
      <c r="E813" s="27" t="s">
        <v>268</v>
      </c>
      <c r="F813" s="2">
        <v>45311</v>
      </c>
      <c r="G813" t="str">
        <f t="shared" si="26"/>
        <v>Jan</v>
      </c>
      <c r="H813" t="str">
        <f t="shared" si="27"/>
        <v>2024</v>
      </c>
    </row>
    <row r="814" spans="1:8" x14ac:dyDescent="0.35">
      <c r="A814" t="s">
        <v>460</v>
      </c>
      <c r="B814" s="73">
        <f>200*12</f>
        <v>2400</v>
      </c>
      <c r="C814" s="73">
        <f>Balance[[#This Row],[COST]]/147</f>
        <v>16.326530612244898</v>
      </c>
      <c r="D814" s="1" t="s">
        <v>689</v>
      </c>
      <c r="E814" s="27" t="s">
        <v>275</v>
      </c>
      <c r="F814" s="2">
        <v>45312</v>
      </c>
      <c r="G814" t="str">
        <f t="shared" si="26"/>
        <v>Jan</v>
      </c>
      <c r="H814" t="str">
        <f t="shared" si="27"/>
        <v>2024</v>
      </c>
    </row>
    <row r="815" spans="1:8" x14ac:dyDescent="0.35">
      <c r="A815" t="s">
        <v>461</v>
      </c>
      <c r="B815" s="73">
        <v>600</v>
      </c>
      <c r="C815" s="73">
        <f>Balance[[#This Row],[COST]]/147</f>
        <v>4.0816326530612246</v>
      </c>
      <c r="D815" s="1" t="s">
        <v>689</v>
      </c>
      <c r="E815" s="27" t="s">
        <v>275</v>
      </c>
      <c r="F815" s="2">
        <v>45312</v>
      </c>
      <c r="G815" t="str">
        <f t="shared" si="26"/>
        <v>Jan</v>
      </c>
      <c r="H815" t="str">
        <f t="shared" si="27"/>
        <v>2024</v>
      </c>
    </row>
    <row r="816" spans="1:8" x14ac:dyDescent="0.35">
      <c r="A816" t="s">
        <v>462</v>
      </c>
      <c r="B816" s="73">
        <v>500</v>
      </c>
      <c r="C816" s="73">
        <f>Balance[[#This Row],[COST]]/147</f>
        <v>3.4013605442176869</v>
      </c>
      <c r="D816" s="1" t="s">
        <v>689</v>
      </c>
      <c r="E816" s="27" t="s">
        <v>275</v>
      </c>
      <c r="F816" s="2">
        <v>45312</v>
      </c>
      <c r="G816" t="str">
        <f t="shared" si="26"/>
        <v>Jan</v>
      </c>
      <c r="H816" t="str">
        <f t="shared" si="27"/>
        <v>2024</v>
      </c>
    </row>
    <row r="817" spans="1:8" x14ac:dyDescent="0.35">
      <c r="A817" t="s">
        <v>463</v>
      </c>
      <c r="B817" s="73">
        <v>600</v>
      </c>
      <c r="C817" s="73">
        <f>Balance[[#This Row],[COST]]/147</f>
        <v>4.0816326530612246</v>
      </c>
      <c r="D817" s="1" t="s">
        <v>689</v>
      </c>
      <c r="E817" s="27" t="s">
        <v>275</v>
      </c>
      <c r="F817" s="2">
        <v>45312</v>
      </c>
      <c r="G817" t="str">
        <f t="shared" si="26"/>
        <v>Jan</v>
      </c>
      <c r="H817" t="str">
        <f t="shared" si="27"/>
        <v>2024</v>
      </c>
    </row>
    <row r="818" spans="1:8" x14ac:dyDescent="0.35">
      <c r="A818" t="s">
        <v>464</v>
      </c>
      <c r="B818" s="73">
        <v>600</v>
      </c>
      <c r="C818" s="73">
        <f>Balance[[#This Row],[COST]]/147</f>
        <v>4.0816326530612246</v>
      </c>
      <c r="D818" s="1" t="s">
        <v>689</v>
      </c>
      <c r="E818" s="27" t="s">
        <v>275</v>
      </c>
      <c r="F818" s="2">
        <v>45312</v>
      </c>
      <c r="G818" t="str">
        <f t="shared" si="26"/>
        <v>Jan</v>
      </c>
      <c r="H818" t="str">
        <f t="shared" si="27"/>
        <v>2024</v>
      </c>
    </row>
    <row r="819" spans="1:8" x14ac:dyDescent="0.35">
      <c r="A819" t="s">
        <v>465</v>
      </c>
      <c r="B819" s="73">
        <v>700</v>
      </c>
      <c r="C819" s="73">
        <f>Balance[[#This Row],[COST]]/147</f>
        <v>4.7619047619047619</v>
      </c>
      <c r="D819" s="1" t="s">
        <v>689</v>
      </c>
      <c r="E819" s="27" t="s">
        <v>275</v>
      </c>
      <c r="F819" s="2">
        <v>45312</v>
      </c>
      <c r="G819" t="str">
        <f t="shared" si="26"/>
        <v>Jan</v>
      </c>
      <c r="H819" t="str">
        <f t="shared" si="27"/>
        <v>2024</v>
      </c>
    </row>
    <row r="820" spans="1:8" x14ac:dyDescent="0.35">
      <c r="A820" t="s">
        <v>466</v>
      </c>
      <c r="B820" s="73">
        <v>2500</v>
      </c>
      <c r="C820" s="73">
        <f>Balance[[#This Row],[COST]]/147</f>
        <v>17.006802721088434</v>
      </c>
      <c r="D820" s="1" t="s">
        <v>689</v>
      </c>
      <c r="E820" s="27" t="s">
        <v>275</v>
      </c>
      <c r="F820" s="2">
        <v>45312</v>
      </c>
      <c r="G820" t="str">
        <f t="shared" si="26"/>
        <v>Jan</v>
      </c>
      <c r="H820" t="str">
        <f t="shared" si="27"/>
        <v>2024</v>
      </c>
    </row>
    <row r="821" spans="1:8" x14ac:dyDescent="0.35">
      <c r="A821" t="s">
        <v>467</v>
      </c>
      <c r="B821" s="73">
        <v>100</v>
      </c>
      <c r="C821" s="73">
        <f>Balance[[#This Row],[COST]]/147</f>
        <v>0.68027210884353739</v>
      </c>
      <c r="D821" s="1" t="s">
        <v>689</v>
      </c>
      <c r="E821" s="27" t="s">
        <v>275</v>
      </c>
      <c r="F821" s="2">
        <v>45312</v>
      </c>
      <c r="G821" t="str">
        <f t="shared" si="26"/>
        <v>Jan</v>
      </c>
      <c r="H821" t="str">
        <f t="shared" si="27"/>
        <v>2024</v>
      </c>
    </row>
    <row r="822" spans="1:8" x14ac:dyDescent="0.35">
      <c r="A822" t="s">
        <v>468</v>
      </c>
      <c r="B822" s="73">
        <v>800</v>
      </c>
      <c r="C822" s="73">
        <f>Balance[[#This Row],[COST]]/147</f>
        <v>5.4421768707482991</v>
      </c>
      <c r="D822" s="1" t="s">
        <v>689</v>
      </c>
      <c r="E822" s="27" t="s">
        <v>275</v>
      </c>
      <c r="F822" s="2">
        <v>45312</v>
      </c>
      <c r="G822" t="str">
        <f t="shared" si="26"/>
        <v>Jan</v>
      </c>
      <c r="H822" t="str">
        <f t="shared" si="27"/>
        <v>2024</v>
      </c>
    </row>
    <row r="823" spans="1:8" x14ac:dyDescent="0.35">
      <c r="A823" t="s">
        <v>469</v>
      </c>
      <c r="B823" s="73">
        <v>300</v>
      </c>
      <c r="C823" s="73">
        <f>Balance[[#This Row],[COST]]/147</f>
        <v>2.0408163265306123</v>
      </c>
      <c r="D823" s="1" t="s">
        <v>689</v>
      </c>
      <c r="E823" s="27" t="s">
        <v>275</v>
      </c>
      <c r="F823" s="2">
        <v>45312</v>
      </c>
      <c r="G823" t="str">
        <f t="shared" si="26"/>
        <v>Jan</v>
      </c>
      <c r="H823" t="str">
        <f t="shared" si="27"/>
        <v>2024</v>
      </c>
    </row>
    <row r="824" spans="1:8" x14ac:dyDescent="0.35">
      <c r="A824" t="s">
        <v>470</v>
      </c>
      <c r="B824" s="73">
        <v>400</v>
      </c>
      <c r="C824" s="73">
        <f>Balance[[#This Row],[COST]]/147</f>
        <v>2.7210884353741496</v>
      </c>
      <c r="D824" s="1" t="s">
        <v>689</v>
      </c>
      <c r="E824" s="27" t="s">
        <v>275</v>
      </c>
      <c r="F824" s="2">
        <v>45312</v>
      </c>
      <c r="G824" t="str">
        <f t="shared" si="26"/>
        <v>Jan</v>
      </c>
      <c r="H824" t="str">
        <f t="shared" si="27"/>
        <v>2024</v>
      </c>
    </row>
    <row r="825" spans="1:8" x14ac:dyDescent="0.35">
      <c r="A825" t="s">
        <v>471</v>
      </c>
      <c r="B825" s="73">
        <v>800</v>
      </c>
      <c r="C825" s="73">
        <f>Balance[[#This Row],[COST]]/147</f>
        <v>5.4421768707482991</v>
      </c>
      <c r="D825" s="1" t="s">
        <v>689</v>
      </c>
      <c r="E825" s="27" t="s">
        <v>275</v>
      </c>
      <c r="F825" s="2">
        <v>45312</v>
      </c>
      <c r="G825" t="str">
        <f t="shared" si="26"/>
        <v>Jan</v>
      </c>
      <c r="H825" t="str">
        <f t="shared" si="27"/>
        <v>2024</v>
      </c>
    </row>
    <row r="826" spans="1:8" x14ac:dyDescent="0.35">
      <c r="A826" t="s">
        <v>472</v>
      </c>
      <c r="B826" s="73">
        <v>600</v>
      </c>
      <c r="C826" s="73">
        <f>Balance[[#This Row],[COST]]/147</f>
        <v>4.0816326530612246</v>
      </c>
      <c r="D826" s="1" t="s">
        <v>689</v>
      </c>
      <c r="E826" s="27" t="s">
        <v>275</v>
      </c>
      <c r="F826" s="2">
        <v>45312</v>
      </c>
      <c r="G826" t="str">
        <f t="shared" si="26"/>
        <v>Jan</v>
      </c>
      <c r="H826" t="str">
        <f t="shared" si="27"/>
        <v>2024</v>
      </c>
    </row>
    <row r="827" spans="1:8" x14ac:dyDescent="0.35">
      <c r="A827" t="s">
        <v>473</v>
      </c>
      <c r="B827" s="73">
        <v>1000</v>
      </c>
      <c r="C827" s="73">
        <f>Balance[[#This Row],[COST]]/147</f>
        <v>6.8027210884353737</v>
      </c>
      <c r="D827" s="1" t="s">
        <v>689</v>
      </c>
      <c r="E827" s="27" t="s">
        <v>275</v>
      </c>
      <c r="F827" s="2">
        <v>45312</v>
      </c>
      <c r="G827" t="str">
        <f t="shared" si="26"/>
        <v>Jan</v>
      </c>
      <c r="H827" t="str">
        <f t="shared" si="27"/>
        <v>2024</v>
      </c>
    </row>
    <row r="828" spans="1:8" x14ac:dyDescent="0.35">
      <c r="A828" t="s">
        <v>474</v>
      </c>
      <c r="B828" s="73">
        <v>270</v>
      </c>
      <c r="C828" s="73">
        <f>Balance[[#This Row],[COST]]/147</f>
        <v>1.8367346938775511</v>
      </c>
      <c r="D828" s="1" t="s">
        <v>689</v>
      </c>
      <c r="E828" s="27" t="s">
        <v>275</v>
      </c>
      <c r="F828" s="2">
        <v>45312</v>
      </c>
      <c r="G828" t="str">
        <f t="shared" si="26"/>
        <v>Jan</v>
      </c>
      <c r="H828" t="str">
        <f t="shared" si="27"/>
        <v>2024</v>
      </c>
    </row>
    <row r="829" spans="1:8" x14ac:dyDescent="0.35">
      <c r="A829" t="s">
        <v>475</v>
      </c>
      <c r="B829" s="73">
        <v>1000</v>
      </c>
      <c r="C829" s="73">
        <f>Balance[[#This Row],[COST]]/147</f>
        <v>6.8027210884353737</v>
      </c>
      <c r="D829" s="1" t="s">
        <v>689</v>
      </c>
      <c r="E829" s="27" t="s">
        <v>275</v>
      </c>
      <c r="F829" s="2">
        <v>45312</v>
      </c>
      <c r="G829" t="str">
        <f t="shared" si="26"/>
        <v>Jan</v>
      </c>
      <c r="H829" t="str">
        <f t="shared" si="27"/>
        <v>2024</v>
      </c>
    </row>
    <row r="830" spans="1:8" x14ac:dyDescent="0.35">
      <c r="A830" t="s">
        <v>453</v>
      </c>
      <c r="B830" s="73">
        <v>2037</v>
      </c>
      <c r="C830" s="73">
        <f>Balance[[#This Row],[COST]]/147</f>
        <v>13.857142857142858</v>
      </c>
      <c r="D830" s="1" t="s">
        <v>689</v>
      </c>
      <c r="E830" s="27" t="s">
        <v>275</v>
      </c>
      <c r="F830" s="2">
        <v>45313</v>
      </c>
      <c r="G830" t="str">
        <f t="shared" si="26"/>
        <v>Jan</v>
      </c>
      <c r="H830" t="str">
        <f t="shared" si="27"/>
        <v>2024</v>
      </c>
    </row>
    <row r="831" spans="1:8" x14ac:dyDescent="0.35">
      <c r="A831" t="s">
        <v>454</v>
      </c>
      <c r="B831" s="73">
        <v>2731</v>
      </c>
      <c r="C831" s="73">
        <f>Balance[[#This Row],[COST]]/147</f>
        <v>18.578231292517007</v>
      </c>
      <c r="D831" s="1" t="s">
        <v>689</v>
      </c>
      <c r="E831" s="27" t="s">
        <v>275</v>
      </c>
      <c r="F831" s="2">
        <v>45313</v>
      </c>
      <c r="G831" t="str">
        <f t="shared" si="26"/>
        <v>Jan</v>
      </c>
      <c r="H831" t="str">
        <f t="shared" si="27"/>
        <v>2024</v>
      </c>
    </row>
    <row r="832" spans="1:8" x14ac:dyDescent="0.35">
      <c r="A832" t="s">
        <v>391</v>
      </c>
      <c r="B832" s="73">
        <v>891</v>
      </c>
      <c r="C832" s="73">
        <f>Balance[[#This Row],[COST]]/147</f>
        <v>6.0612244897959187</v>
      </c>
      <c r="D832" s="1" t="s">
        <v>689</v>
      </c>
      <c r="E832" s="27" t="s">
        <v>275</v>
      </c>
      <c r="F832" s="2">
        <v>45313</v>
      </c>
      <c r="G832" t="str">
        <f t="shared" si="26"/>
        <v>Jan</v>
      </c>
      <c r="H832" t="str">
        <f t="shared" si="27"/>
        <v>2024</v>
      </c>
    </row>
    <row r="833" spans="1:8" x14ac:dyDescent="0.35">
      <c r="A833" t="s">
        <v>391</v>
      </c>
      <c r="B833" s="73">
        <v>891</v>
      </c>
      <c r="C833" s="73">
        <f>Balance[[#This Row],[COST]]/147</f>
        <v>6.0612244897959187</v>
      </c>
      <c r="D833" s="1" t="s">
        <v>689</v>
      </c>
      <c r="E833" s="27" t="s">
        <v>275</v>
      </c>
      <c r="F833" s="2">
        <v>45313</v>
      </c>
      <c r="G833" t="str">
        <f t="shared" si="26"/>
        <v>Jan</v>
      </c>
      <c r="H833" t="str">
        <f t="shared" si="27"/>
        <v>2024</v>
      </c>
    </row>
    <row r="834" spans="1:8" hidden="1" x14ac:dyDescent="0.35">
      <c r="A834" t="s">
        <v>455</v>
      </c>
      <c r="B834" s="73">
        <v>300</v>
      </c>
      <c r="C834" s="73">
        <f>Balance[[#This Row],[COST]]/147</f>
        <v>2.0408163265306123</v>
      </c>
      <c r="D834" s="1" t="s">
        <v>259</v>
      </c>
      <c r="E834" s="27" t="s">
        <v>267</v>
      </c>
      <c r="F834" s="2">
        <v>45315</v>
      </c>
      <c r="G834" t="str">
        <f t="shared" si="26"/>
        <v>Jan</v>
      </c>
      <c r="H834" t="str">
        <f t="shared" si="27"/>
        <v>2024</v>
      </c>
    </row>
    <row r="835" spans="1:8" hidden="1" x14ac:dyDescent="0.35">
      <c r="A835" t="s">
        <v>456</v>
      </c>
      <c r="B835" s="73">
        <v>550</v>
      </c>
      <c r="C835" s="73">
        <f>Balance[[#This Row],[COST]]/147</f>
        <v>3.7414965986394559</v>
      </c>
      <c r="D835" s="1" t="s">
        <v>259</v>
      </c>
      <c r="E835" s="27" t="s">
        <v>267</v>
      </c>
      <c r="F835" s="2">
        <v>45315</v>
      </c>
      <c r="G835" t="str">
        <f t="shared" si="26"/>
        <v>Jan</v>
      </c>
      <c r="H835" t="str">
        <f t="shared" si="27"/>
        <v>2024</v>
      </c>
    </row>
    <row r="836" spans="1:8" hidden="1" x14ac:dyDescent="0.35">
      <c r="A836" t="s">
        <v>67</v>
      </c>
      <c r="B836" s="73">
        <v>1200</v>
      </c>
      <c r="C836" s="73">
        <f>Balance[[#This Row],[COST]]/147</f>
        <v>8.1632653061224492</v>
      </c>
      <c r="D836" s="1" t="s">
        <v>259</v>
      </c>
      <c r="E836" s="27" t="s">
        <v>265</v>
      </c>
      <c r="F836" s="2">
        <v>45315</v>
      </c>
      <c r="G836" t="str">
        <f t="shared" si="26"/>
        <v>Jan</v>
      </c>
      <c r="H836" t="str">
        <f t="shared" si="27"/>
        <v>2024</v>
      </c>
    </row>
    <row r="837" spans="1:8" hidden="1" x14ac:dyDescent="0.35">
      <c r="A837" t="s">
        <v>183</v>
      </c>
      <c r="B837" s="73">
        <v>3000</v>
      </c>
      <c r="C837" s="73">
        <f>Balance[[#This Row],[COST]]/147</f>
        <v>20.408163265306122</v>
      </c>
      <c r="D837" s="73" t="s">
        <v>259</v>
      </c>
      <c r="E837" s="27" t="s">
        <v>4</v>
      </c>
      <c r="F837" s="2">
        <v>45315</v>
      </c>
      <c r="G837" t="str">
        <f t="shared" si="26"/>
        <v>Jan</v>
      </c>
      <c r="H837" t="str">
        <f t="shared" si="27"/>
        <v>2024</v>
      </c>
    </row>
    <row r="838" spans="1:8" hidden="1" x14ac:dyDescent="0.35">
      <c r="A838" t="s">
        <v>302</v>
      </c>
      <c r="B838" s="73">
        <v>850</v>
      </c>
      <c r="C838" s="73">
        <f>Balance[[#This Row],[COST]]/147</f>
        <v>5.7823129251700678</v>
      </c>
      <c r="D838" s="1" t="s">
        <v>259</v>
      </c>
      <c r="E838" s="27" t="s">
        <v>265</v>
      </c>
      <c r="F838" s="2">
        <v>45316</v>
      </c>
      <c r="G838" t="str">
        <f t="shared" si="26"/>
        <v>Jan</v>
      </c>
      <c r="H838" t="str">
        <f t="shared" si="27"/>
        <v>2024</v>
      </c>
    </row>
    <row r="839" spans="1:8" hidden="1" x14ac:dyDescent="0.35">
      <c r="A839" t="s">
        <v>246</v>
      </c>
      <c r="B839" s="73">
        <v>850</v>
      </c>
      <c r="C839" s="73">
        <f>Balance[[#This Row],[COST]]/147</f>
        <v>5.7823129251700678</v>
      </c>
      <c r="D839" s="1" t="s">
        <v>259</v>
      </c>
      <c r="E839" s="27" t="s">
        <v>265</v>
      </c>
      <c r="F839" s="2">
        <v>45317</v>
      </c>
      <c r="G839" t="str">
        <f t="shared" si="26"/>
        <v>Jan</v>
      </c>
      <c r="H839" t="str">
        <f t="shared" si="27"/>
        <v>2024</v>
      </c>
    </row>
    <row r="840" spans="1:8" hidden="1" x14ac:dyDescent="0.35">
      <c r="A840" t="s">
        <v>183</v>
      </c>
      <c r="B840" s="73">
        <v>1700</v>
      </c>
      <c r="C840" s="73">
        <f>Balance[[#This Row],[COST]]/147</f>
        <v>11.564625850340136</v>
      </c>
      <c r="D840" s="73" t="s">
        <v>259</v>
      </c>
      <c r="E840" s="27" t="s">
        <v>4</v>
      </c>
      <c r="F840" s="2">
        <v>45318</v>
      </c>
      <c r="G840" t="str">
        <f t="shared" si="26"/>
        <v>Jan</v>
      </c>
      <c r="H840" t="str">
        <f t="shared" si="27"/>
        <v>2024</v>
      </c>
    </row>
    <row r="841" spans="1:8" x14ac:dyDescent="0.35">
      <c r="A841" t="s">
        <v>458</v>
      </c>
      <c r="B841" s="73">
        <v>1200</v>
      </c>
      <c r="C841" s="73">
        <f>Balance[[#This Row],[COST]]/147</f>
        <v>8.1632653061224492</v>
      </c>
      <c r="D841" s="1" t="s">
        <v>689</v>
      </c>
      <c r="E841" s="27" t="s">
        <v>275</v>
      </c>
      <c r="F841" s="2">
        <v>45318</v>
      </c>
      <c r="G841" t="str">
        <f t="shared" si="26"/>
        <v>Jan</v>
      </c>
      <c r="H841" t="str">
        <f t="shared" si="27"/>
        <v>2024</v>
      </c>
    </row>
    <row r="842" spans="1:8" hidden="1" x14ac:dyDescent="0.35">
      <c r="A842" t="s">
        <v>459</v>
      </c>
      <c r="B842" s="73">
        <v>2200</v>
      </c>
      <c r="C842" s="73">
        <f>Balance[[#This Row],[COST]]/147</f>
        <v>14.965986394557824</v>
      </c>
      <c r="D842" s="1" t="s">
        <v>259</v>
      </c>
      <c r="E842" s="27" t="s">
        <v>268</v>
      </c>
      <c r="F842" s="2">
        <v>45318</v>
      </c>
      <c r="G842" t="str">
        <f t="shared" si="26"/>
        <v>Jan</v>
      </c>
      <c r="H842" t="str">
        <f t="shared" si="27"/>
        <v>2024</v>
      </c>
    </row>
    <row r="843" spans="1:8" hidden="1" x14ac:dyDescent="0.35">
      <c r="A843" t="s">
        <v>477</v>
      </c>
      <c r="B843" s="73">
        <v>300</v>
      </c>
      <c r="C843" s="73">
        <f>Balance[[#This Row],[COST]]/147</f>
        <v>2.0408163265306123</v>
      </c>
      <c r="D843" s="1" t="s">
        <v>259</v>
      </c>
      <c r="E843" s="27" t="s">
        <v>265</v>
      </c>
      <c r="F843" s="2">
        <v>45318</v>
      </c>
      <c r="G843" t="str">
        <f t="shared" si="26"/>
        <v>Jan</v>
      </c>
      <c r="H843" t="str">
        <f t="shared" si="27"/>
        <v>2024</v>
      </c>
    </row>
    <row r="844" spans="1:8" hidden="1" x14ac:dyDescent="0.35">
      <c r="A844" t="s">
        <v>478</v>
      </c>
      <c r="B844" s="73">
        <v>200</v>
      </c>
      <c r="C844" s="73">
        <f>Balance[[#This Row],[COST]]/147</f>
        <v>1.3605442176870748</v>
      </c>
      <c r="D844" s="1" t="s">
        <v>259</v>
      </c>
      <c r="E844" s="27" t="s">
        <v>4</v>
      </c>
      <c r="F844" s="2">
        <v>45318</v>
      </c>
      <c r="G844" t="str">
        <f t="shared" si="26"/>
        <v>Jan</v>
      </c>
      <c r="H844" t="str">
        <f t="shared" si="27"/>
        <v>2024</v>
      </c>
    </row>
    <row r="845" spans="1:8" hidden="1" x14ac:dyDescent="0.35">
      <c r="A845" t="s">
        <v>395</v>
      </c>
      <c r="B845" s="73">
        <v>120</v>
      </c>
      <c r="C845" s="73">
        <f>Balance[[#This Row],[COST]]/147</f>
        <v>0.81632653061224492</v>
      </c>
      <c r="D845" s="1" t="s">
        <v>259</v>
      </c>
      <c r="E845" s="27" t="s">
        <v>265</v>
      </c>
      <c r="F845" s="2">
        <v>45318</v>
      </c>
      <c r="G845" t="str">
        <f t="shared" si="26"/>
        <v>Jan</v>
      </c>
      <c r="H845" t="str">
        <f t="shared" si="27"/>
        <v>2024</v>
      </c>
    </row>
    <row r="846" spans="1:8" hidden="1" x14ac:dyDescent="0.35">
      <c r="A846" t="s">
        <v>481</v>
      </c>
      <c r="B846" s="73">
        <v>160</v>
      </c>
      <c r="C846" s="73">
        <f>Balance[[#This Row],[COST]]/147</f>
        <v>1.08843537414966</v>
      </c>
      <c r="D846" s="1" t="s">
        <v>259</v>
      </c>
      <c r="E846" s="27" t="s">
        <v>265</v>
      </c>
      <c r="F846" s="2">
        <v>45318</v>
      </c>
      <c r="G846" t="str">
        <f t="shared" si="26"/>
        <v>Jan</v>
      </c>
      <c r="H846" t="str">
        <f t="shared" si="27"/>
        <v>2024</v>
      </c>
    </row>
    <row r="847" spans="1:8" hidden="1" x14ac:dyDescent="0.35">
      <c r="A847" t="s">
        <v>482</v>
      </c>
      <c r="B847" s="73">
        <v>1014</v>
      </c>
      <c r="C847" s="73">
        <f>Balance[[#This Row],[COST]]/147</f>
        <v>6.8979591836734695</v>
      </c>
      <c r="D847" s="1" t="s">
        <v>259</v>
      </c>
      <c r="E847" s="27" t="s">
        <v>268</v>
      </c>
      <c r="F847" s="2">
        <v>45318</v>
      </c>
      <c r="G847" t="str">
        <f t="shared" si="26"/>
        <v>Jan</v>
      </c>
      <c r="H847" t="str">
        <f t="shared" si="27"/>
        <v>2024</v>
      </c>
    </row>
    <row r="848" spans="1:8" hidden="1" x14ac:dyDescent="0.35">
      <c r="A848" t="s">
        <v>49</v>
      </c>
      <c r="B848" s="73">
        <v>25000</v>
      </c>
      <c r="C848" s="73">
        <f>Balance[[#This Row],[COST]]/147</f>
        <v>170.06802721088437</v>
      </c>
      <c r="D848" s="1" t="s">
        <v>263</v>
      </c>
      <c r="E848" s="27" t="s">
        <v>274</v>
      </c>
      <c r="F848" s="2">
        <v>45318</v>
      </c>
      <c r="G848" t="str">
        <f t="shared" si="26"/>
        <v>Jan</v>
      </c>
      <c r="H848" t="str">
        <f t="shared" si="27"/>
        <v>2024</v>
      </c>
    </row>
    <row r="849" spans="1:8" hidden="1" x14ac:dyDescent="0.35">
      <c r="A849" t="s">
        <v>191</v>
      </c>
      <c r="B849" s="73">
        <v>2050</v>
      </c>
      <c r="C849" s="73">
        <f>Balance[[#This Row],[COST]]/147</f>
        <v>13.945578231292517</v>
      </c>
      <c r="D849" s="73" t="s">
        <v>259</v>
      </c>
      <c r="E849" s="27" t="s">
        <v>4</v>
      </c>
      <c r="F849" s="2">
        <v>45319</v>
      </c>
      <c r="G849" t="str">
        <f t="shared" si="26"/>
        <v>Jan</v>
      </c>
      <c r="H849" t="str">
        <f t="shared" si="27"/>
        <v>2024</v>
      </c>
    </row>
    <row r="850" spans="1:8" hidden="1" x14ac:dyDescent="0.35">
      <c r="A850" t="s">
        <v>42</v>
      </c>
      <c r="B850" s="73">
        <v>7884</v>
      </c>
      <c r="C850" s="73">
        <f>Balance[[#This Row],[COST]]/147</f>
        <v>53.632653061224488</v>
      </c>
      <c r="D850" s="73" t="s">
        <v>42</v>
      </c>
      <c r="E850" s="27" t="s">
        <v>270</v>
      </c>
      <c r="F850" s="2">
        <v>45319</v>
      </c>
      <c r="G850" t="str">
        <f t="shared" si="26"/>
        <v>Jan</v>
      </c>
      <c r="H850" t="str">
        <f t="shared" si="27"/>
        <v>2024</v>
      </c>
    </row>
    <row r="851" spans="1:8" hidden="1" x14ac:dyDescent="0.35">
      <c r="A851" t="s">
        <v>196</v>
      </c>
      <c r="B851" s="73">
        <v>800</v>
      </c>
      <c r="C851" s="73">
        <f>Balance[[#This Row],[COST]]/147</f>
        <v>5.4421768707482991</v>
      </c>
      <c r="D851" s="1" t="s">
        <v>259</v>
      </c>
      <c r="E851" s="27" t="s">
        <v>268</v>
      </c>
      <c r="F851" s="2">
        <v>45320</v>
      </c>
      <c r="G851" t="str">
        <f t="shared" si="26"/>
        <v>Jan</v>
      </c>
      <c r="H851" t="str">
        <f t="shared" si="27"/>
        <v>2024</v>
      </c>
    </row>
    <row r="852" spans="1:8" hidden="1" x14ac:dyDescent="0.35">
      <c r="A852" t="s">
        <v>476</v>
      </c>
      <c r="B852" s="73">
        <v>2934</v>
      </c>
      <c r="C852" s="73">
        <f>Balance[[#This Row],[COST]]/147</f>
        <v>19.959183673469386</v>
      </c>
      <c r="D852" s="1" t="s">
        <v>259</v>
      </c>
      <c r="E852" s="27" t="s">
        <v>268</v>
      </c>
      <c r="F852" s="2">
        <v>45320</v>
      </c>
      <c r="G852" t="str">
        <f t="shared" si="26"/>
        <v>Jan</v>
      </c>
      <c r="H852" t="str">
        <f t="shared" si="27"/>
        <v>2024</v>
      </c>
    </row>
    <row r="853" spans="1:8" hidden="1" x14ac:dyDescent="0.35">
      <c r="A853" t="s">
        <v>476</v>
      </c>
      <c r="B853" s="73">
        <v>2934</v>
      </c>
      <c r="C853" s="73">
        <f>Balance[[#This Row],[COST]]/147</f>
        <v>19.959183673469386</v>
      </c>
      <c r="D853" s="1" t="s">
        <v>259</v>
      </c>
      <c r="E853" s="27" t="s">
        <v>268</v>
      </c>
      <c r="F853" s="2">
        <v>45320</v>
      </c>
      <c r="G853" t="str">
        <f t="shared" si="26"/>
        <v>Jan</v>
      </c>
      <c r="H853" t="str">
        <f t="shared" si="27"/>
        <v>2024</v>
      </c>
    </row>
    <row r="854" spans="1:8" hidden="1" x14ac:dyDescent="0.35">
      <c r="A854" t="s">
        <v>129</v>
      </c>
      <c r="B854" s="73">
        <v>1600</v>
      </c>
      <c r="C854" s="73">
        <f>Balance[[#This Row],[COST]]/147</f>
        <v>10.884353741496598</v>
      </c>
      <c r="D854" s="1" t="s">
        <v>259</v>
      </c>
      <c r="E854" s="27" t="s">
        <v>265</v>
      </c>
      <c r="F854" s="2">
        <v>45321</v>
      </c>
      <c r="G854" t="str">
        <f t="shared" si="26"/>
        <v>Jan</v>
      </c>
      <c r="H854" t="str">
        <f t="shared" si="27"/>
        <v>2024</v>
      </c>
    </row>
    <row r="855" spans="1:8" x14ac:dyDescent="0.35">
      <c r="A855" t="s">
        <v>480</v>
      </c>
      <c r="B855" s="73">
        <v>100</v>
      </c>
      <c r="C855" s="73">
        <f>Balance[[#This Row],[COST]]/147</f>
        <v>0.68027210884353739</v>
      </c>
      <c r="D855" s="1" t="s">
        <v>689</v>
      </c>
      <c r="E855" s="27" t="s">
        <v>275</v>
      </c>
      <c r="F855" s="2">
        <v>45321</v>
      </c>
      <c r="G855" t="str">
        <f t="shared" si="26"/>
        <v>Jan</v>
      </c>
      <c r="H855" t="str">
        <f t="shared" si="27"/>
        <v>2024</v>
      </c>
    </row>
    <row r="856" spans="1:8" x14ac:dyDescent="0.35">
      <c r="A856" t="s">
        <v>433</v>
      </c>
      <c r="B856" s="73">
        <v>200</v>
      </c>
      <c r="C856" s="73">
        <f>Balance[[#This Row],[COST]]/147</f>
        <v>1.3605442176870748</v>
      </c>
      <c r="D856" s="1" t="s">
        <v>689</v>
      </c>
      <c r="E856" s="27" t="s">
        <v>275</v>
      </c>
      <c r="F856" s="2">
        <v>45321</v>
      </c>
      <c r="G856" t="str">
        <f t="shared" si="26"/>
        <v>Jan</v>
      </c>
      <c r="H856" t="str">
        <f t="shared" si="27"/>
        <v>2024</v>
      </c>
    </row>
    <row r="857" spans="1:8" hidden="1" x14ac:dyDescent="0.35">
      <c r="A857" t="s">
        <v>479</v>
      </c>
      <c r="B857" s="73">
        <v>1000</v>
      </c>
      <c r="C857" s="73">
        <f>Balance[[#This Row],[COST]]/147</f>
        <v>6.8027210884353737</v>
      </c>
      <c r="D857" s="1" t="s">
        <v>259</v>
      </c>
      <c r="E857" s="27" t="s">
        <v>267</v>
      </c>
      <c r="F857" s="2">
        <v>45322</v>
      </c>
      <c r="G857" t="str">
        <f t="shared" si="26"/>
        <v>Jan</v>
      </c>
      <c r="H857" t="str">
        <f t="shared" si="27"/>
        <v>2024</v>
      </c>
    </row>
    <row r="858" spans="1:8" hidden="1" x14ac:dyDescent="0.35">
      <c r="A858" t="s">
        <v>183</v>
      </c>
      <c r="B858" s="73">
        <v>3000</v>
      </c>
      <c r="C858" s="73">
        <f>Balance[[#This Row],[COST]]/147</f>
        <v>20.408163265306122</v>
      </c>
      <c r="D858" s="1" t="s">
        <v>259</v>
      </c>
      <c r="E858" s="27" t="s">
        <v>4</v>
      </c>
      <c r="F858" s="2">
        <v>45322</v>
      </c>
      <c r="G858" t="str">
        <f t="shared" si="26"/>
        <v>Jan</v>
      </c>
      <c r="H858" t="str">
        <f t="shared" si="27"/>
        <v>2024</v>
      </c>
    </row>
    <row r="859" spans="1:8" hidden="1" x14ac:dyDescent="0.35">
      <c r="A859" t="s">
        <v>202</v>
      </c>
      <c r="B859" s="73">
        <v>560</v>
      </c>
      <c r="C859" s="73">
        <f>Balance[[#This Row],[COST]]/147</f>
        <v>3.8095238095238093</v>
      </c>
      <c r="D859" s="1" t="s">
        <v>259</v>
      </c>
      <c r="E859" s="27" t="s">
        <v>265</v>
      </c>
      <c r="F859" s="2">
        <v>45323</v>
      </c>
      <c r="G859" t="str">
        <f t="shared" si="26"/>
        <v>Feb</v>
      </c>
      <c r="H859" t="str">
        <f t="shared" si="27"/>
        <v>2024</v>
      </c>
    </row>
    <row r="860" spans="1:8" hidden="1" x14ac:dyDescent="0.35">
      <c r="A860" t="s">
        <v>129</v>
      </c>
      <c r="B860" s="73">
        <v>1340</v>
      </c>
      <c r="C860" s="73">
        <f>Balance[[#This Row],[COST]]/147</f>
        <v>9.1156462585034017</v>
      </c>
      <c r="D860" s="1" t="s">
        <v>259</v>
      </c>
      <c r="E860" s="27" t="s">
        <v>265</v>
      </c>
      <c r="F860" s="2">
        <v>45323</v>
      </c>
      <c r="G860" t="str">
        <f t="shared" si="26"/>
        <v>Feb</v>
      </c>
      <c r="H860" t="str">
        <f t="shared" si="27"/>
        <v>2024</v>
      </c>
    </row>
    <row r="861" spans="1:8" x14ac:dyDescent="0.35">
      <c r="A861" t="s">
        <v>433</v>
      </c>
      <c r="B861" s="73">
        <v>200</v>
      </c>
      <c r="C861" s="73">
        <f>Balance[[#This Row],[COST]]/147</f>
        <v>1.3605442176870748</v>
      </c>
      <c r="D861" s="1" t="s">
        <v>689</v>
      </c>
      <c r="E861" s="27" t="s">
        <v>275</v>
      </c>
      <c r="F861" s="2">
        <v>45323</v>
      </c>
      <c r="G861" t="str">
        <f t="shared" si="26"/>
        <v>Feb</v>
      </c>
      <c r="H861" t="str">
        <f t="shared" si="27"/>
        <v>2024</v>
      </c>
    </row>
    <row r="862" spans="1:8" hidden="1" x14ac:dyDescent="0.35">
      <c r="A862" t="s">
        <v>185</v>
      </c>
      <c r="B862" s="73">
        <v>4000</v>
      </c>
      <c r="C862" s="73">
        <f>Balance[[#This Row],[COST]]/147</f>
        <v>27.210884353741495</v>
      </c>
      <c r="D862" s="1" t="s">
        <v>259</v>
      </c>
      <c r="E862" s="27" t="s">
        <v>267</v>
      </c>
      <c r="F862" s="2">
        <v>45323</v>
      </c>
      <c r="G862" t="str">
        <f t="shared" si="26"/>
        <v>Feb</v>
      </c>
      <c r="H862" t="str">
        <f t="shared" si="27"/>
        <v>2024</v>
      </c>
    </row>
    <row r="863" spans="1:8" hidden="1" x14ac:dyDescent="0.35">
      <c r="A863" t="s">
        <v>129</v>
      </c>
      <c r="B863" s="73">
        <v>1700</v>
      </c>
      <c r="C863" s="73">
        <f>Balance[[#This Row],[COST]]/147</f>
        <v>11.564625850340136</v>
      </c>
      <c r="D863" s="1" t="s">
        <v>259</v>
      </c>
      <c r="E863" s="27" t="s">
        <v>265</v>
      </c>
      <c r="F863" s="2">
        <v>45324</v>
      </c>
      <c r="G863" t="str">
        <f t="shared" ref="G863:G926" si="28">TEXT(F863,"mmm")</f>
        <v>Feb</v>
      </c>
      <c r="H863" t="str">
        <f t="shared" ref="H863:H926" si="29">TEXT(F863,"yyy")</f>
        <v>2024</v>
      </c>
    </row>
    <row r="864" spans="1:8" x14ac:dyDescent="0.35">
      <c r="A864" t="s">
        <v>433</v>
      </c>
      <c r="B864" s="73">
        <v>200</v>
      </c>
      <c r="C864" s="73">
        <f>Balance[[#This Row],[COST]]/147</f>
        <v>1.3605442176870748</v>
      </c>
      <c r="D864" s="1" t="s">
        <v>689</v>
      </c>
      <c r="E864" s="27" t="s">
        <v>275</v>
      </c>
      <c r="F864" s="2">
        <v>45324</v>
      </c>
      <c r="G864" t="str">
        <f t="shared" si="28"/>
        <v>Feb</v>
      </c>
      <c r="H864" t="str">
        <f t="shared" si="29"/>
        <v>2024</v>
      </c>
    </row>
    <row r="865" spans="1:8" x14ac:dyDescent="0.35">
      <c r="A865" t="s">
        <v>480</v>
      </c>
      <c r="B865" s="73">
        <v>300</v>
      </c>
      <c r="C865" s="73">
        <f>Balance[[#This Row],[COST]]/147</f>
        <v>2.0408163265306123</v>
      </c>
      <c r="D865" s="1" t="s">
        <v>689</v>
      </c>
      <c r="E865" s="27" t="s">
        <v>275</v>
      </c>
      <c r="F865" s="2">
        <v>45324</v>
      </c>
      <c r="G865" t="str">
        <f t="shared" si="28"/>
        <v>Feb</v>
      </c>
      <c r="H865" t="str">
        <f t="shared" si="29"/>
        <v>2024</v>
      </c>
    </row>
    <row r="866" spans="1:8" hidden="1" x14ac:dyDescent="0.35">
      <c r="A866" t="s">
        <v>235</v>
      </c>
      <c r="B866" s="73">
        <v>1500</v>
      </c>
      <c r="C866" s="73">
        <f>Balance[[#This Row],[COST]]/147</f>
        <v>10.204081632653061</v>
      </c>
      <c r="D866" s="1" t="s">
        <v>259</v>
      </c>
      <c r="E866" s="27" t="s">
        <v>4</v>
      </c>
      <c r="F866" s="2">
        <v>45327</v>
      </c>
      <c r="G866" t="str">
        <f t="shared" si="28"/>
        <v>Feb</v>
      </c>
      <c r="H866" t="str">
        <f t="shared" si="29"/>
        <v>2024</v>
      </c>
    </row>
    <row r="867" spans="1:8" hidden="1" x14ac:dyDescent="0.35">
      <c r="A867" t="s">
        <v>483</v>
      </c>
      <c r="B867" s="73">
        <v>1000</v>
      </c>
      <c r="C867" s="73">
        <f>Balance[[#This Row],[COST]]/147</f>
        <v>6.8027210884353737</v>
      </c>
      <c r="D867" s="1" t="s">
        <v>259</v>
      </c>
      <c r="E867" s="27" t="s">
        <v>4</v>
      </c>
      <c r="F867" s="2">
        <v>45327</v>
      </c>
      <c r="G867" t="str">
        <f t="shared" si="28"/>
        <v>Feb</v>
      </c>
      <c r="H867" t="str">
        <f t="shared" si="29"/>
        <v>2024</v>
      </c>
    </row>
    <row r="868" spans="1:8" hidden="1" x14ac:dyDescent="0.35">
      <c r="A868" t="s">
        <v>484</v>
      </c>
      <c r="B868" s="73">
        <v>500</v>
      </c>
      <c r="C868" s="73">
        <f>Balance[[#This Row],[COST]]/147</f>
        <v>3.4013605442176869</v>
      </c>
      <c r="D868" s="1" t="s">
        <v>259</v>
      </c>
      <c r="E868" s="27" t="s">
        <v>4</v>
      </c>
      <c r="F868" s="2">
        <v>45327</v>
      </c>
      <c r="G868" t="str">
        <f t="shared" si="28"/>
        <v>Feb</v>
      </c>
      <c r="H868" t="str">
        <f t="shared" si="29"/>
        <v>2024</v>
      </c>
    </row>
    <row r="869" spans="1:8" hidden="1" x14ac:dyDescent="0.35">
      <c r="A869" t="s">
        <v>434</v>
      </c>
      <c r="B869" s="73">
        <v>780</v>
      </c>
      <c r="C869" s="73">
        <f>Balance[[#This Row],[COST]]/147</f>
        <v>5.3061224489795915</v>
      </c>
      <c r="D869" s="1" t="s">
        <v>259</v>
      </c>
      <c r="E869" s="27" t="s">
        <v>265</v>
      </c>
      <c r="F869" s="2">
        <v>45327</v>
      </c>
      <c r="G869" t="str">
        <f t="shared" si="28"/>
        <v>Feb</v>
      </c>
      <c r="H869" t="str">
        <f t="shared" si="29"/>
        <v>2024</v>
      </c>
    </row>
    <row r="870" spans="1:8" hidden="1" x14ac:dyDescent="0.35">
      <c r="A870" t="s">
        <v>485</v>
      </c>
      <c r="B870" s="73">
        <v>116</v>
      </c>
      <c r="C870" s="73">
        <f>Balance[[#This Row],[COST]]/147</f>
        <v>0.78911564625850339</v>
      </c>
      <c r="D870" s="1" t="s">
        <v>259</v>
      </c>
      <c r="E870" s="27" t="s">
        <v>265</v>
      </c>
      <c r="F870" s="2">
        <v>45327</v>
      </c>
      <c r="G870" t="str">
        <f t="shared" si="28"/>
        <v>Feb</v>
      </c>
      <c r="H870" t="str">
        <f t="shared" si="29"/>
        <v>2024</v>
      </c>
    </row>
    <row r="871" spans="1:8" hidden="1" x14ac:dyDescent="0.35">
      <c r="A871" t="s">
        <v>486</v>
      </c>
      <c r="B871" s="73">
        <v>5000</v>
      </c>
      <c r="C871" s="73">
        <f>Balance[[#This Row],[COST]]/147</f>
        <v>34.013605442176868</v>
      </c>
      <c r="D871" s="1" t="s">
        <v>259</v>
      </c>
      <c r="E871" s="27" t="s">
        <v>268</v>
      </c>
      <c r="F871" s="2">
        <v>45328</v>
      </c>
      <c r="G871" t="str">
        <f t="shared" si="28"/>
        <v>Feb</v>
      </c>
      <c r="H871" t="str">
        <f t="shared" si="29"/>
        <v>2024</v>
      </c>
    </row>
    <row r="872" spans="1:8" hidden="1" x14ac:dyDescent="0.35">
      <c r="A872" t="s">
        <v>487</v>
      </c>
      <c r="B872" s="73">
        <v>6000</v>
      </c>
      <c r="C872" s="73">
        <f>Balance[[#This Row],[COST]]/147</f>
        <v>40.816326530612244</v>
      </c>
      <c r="D872" s="1" t="s">
        <v>259</v>
      </c>
      <c r="E872" s="27" t="s">
        <v>268</v>
      </c>
      <c r="F872" s="2">
        <v>45328</v>
      </c>
      <c r="G872" t="str">
        <f t="shared" si="28"/>
        <v>Feb</v>
      </c>
      <c r="H872" t="str">
        <f t="shared" si="29"/>
        <v>2024</v>
      </c>
    </row>
    <row r="873" spans="1:8" hidden="1" x14ac:dyDescent="0.35">
      <c r="A873" t="s">
        <v>488</v>
      </c>
      <c r="B873" s="73">
        <v>1500</v>
      </c>
      <c r="C873" s="73">
        <f>Balance[[#This Row],[COST]]/147</f>
        <v>10.204081632653061</v>
      </c>
      <c r="D873" s="1" t="s">
        <v>259</v>
      </c>
      <c r="E873" s="27" t="s">
        <v>265</v>
      </c>
      <c r="F873" s="2">
        <v>45328</v>
      </c>
      <c r="G873" t="str">
        <f t="shared" si="28"/>
        <v>Feb</v>
      </c>
      <c r="H873" t="str">
        <f t="shared" si="29"/>
        <v>2024</v>
      </c>
    </row>
    <row r="874" spans="1:8" hidden="1" x14ac:dyDescent="0.35">
      <c r="A874" t="s">
        <v>489</v>
      </c>
      <c r="B874" s="73">
        <v>1500</v>
      </c>
      <c r="C874" s="73">
        <f>Balance[[#This Row],[COST]]/147</f>
        <v>10.204081632653061</v>
      </c>
      <c r="D874" s="1" t="s">
        <v>259</v>
      </c>
      <c r="E874" s="27" t="s">
        <v>265</v>
      </c>
      <c r="F874" s="2">
        <v>45328</v>
      </c>
      <c r="G874" t="str">
        <f t="shared" si="28"/>
        <v>Feb</v>
      </c>
      <c r="H874" t="str">
        <f t="shared" si="29"/>
        <v>2024</v>
      </c>
    </row>
    <row r="875" spans="1:8" hidden="1" x14ac:dyDescent="0.35">
      <c r="A875" t="s">
        <v>242</v>
      </c>
      <c r="B875" s="73">
        <v>900</v>
      </c>
      <c r="C875" s="73">
        <f>Balance[[#This Row],[COST]]/147</f>
        <v>6.1224489795918364</v>
      </c>
      <c r="D875" s="1" t="s">
        <v>259</v>
      </c>
      <c r="E875" s="27" t="s">
        <v>265</v>
      </c>
      <c r="F875" s="2">
        <v>45328</v>
      </c>
      <c r="G875" t="str">
        <f t="shared" si="28"/>
        <v>Feb</v>
      </c>
      <c r="H875" t="str">
        <f t="shared" si="29"/>
        <v>2024</v>
      </c>
    </row>
    <row r="876" spans="1:8" hidden="1" x14ac:dyDescent="0.35">
      <c r="A876" t="s">
        <v>67</v>
      </c>
      <c r="B876" s="73">
        <v>1000</v>
      </c>
      <c r="C876" s="73">
        <f>Balance[[#This Row],[COST]]/147</f>
        <v>6.8027210884353737</v>
      </c>
      <c r="D876" s="1" t="s">
        <v>259</v>
      </c>
      <c r="E876" s="27" t="s">
        <v>265</v>
      </c>
      <c r="F876" s="2">
        <v>45329</v>
      </c>
      <c r="G876" t="str">
        <f t="shared" si="28"/>
        <v>Feb</v>
      </c>
      <c r="H876" t="str">
        <f t="shared" si="29"/>
        <v>2024</v>
      </c>
    </row>
    <row r="877" spans="1:8" hidden="1" x14ac:dyDescent="0.35">
      <c r="A877" t="s">
        <v>129</v>
      </c>
      <c r="B877" s="73">
        <v>1000</v>
      </c>
      <c r="C877" s="73">
        <f>Balance[[#This Row],[COST]]/147</f>
        <v>6.8027210884353737</v>
      </c>
      <c r="D877" s="1" t="s">
        <v>259</v>
      </c>
      <c r="E877" s="27" t="s">
        <v>265</v>
      </c>
      <c r="F877" s="2">
        <v>45329</v>
      </c>
      <c r="G877" t="str">
        <f t="shared" si="28"/>
        <v>Feb</v>
      </c>
      <c r="H877" t="str">
        <f t="shared" si="29"/>
        <v>2024</v>
      </c>
    </row>
    <row r="878" spans="1:8" hidden="1" x14ac:dyDescent="0.35">
      <c r="A878" t="s">
        <v>246</v>
      </c>
      <c r="B878" s="73">
        <v>850</v>
      </c>
      <c r="C878" s="73">
        <f>Balance[[#This Row],[COST]]/147</f>
        <v>5.7823129251700678</v>
      </c>
      <c r="D878" s="1" t="s">
        <v>259</v>
      </c>
      <c r="E878" s="27" t="s">
        <v>265</v>
      </c>
      <c r="F878" s="2">
        <v>45331</v>
      </c>
      <c r="G878" t="str">
        <f t="shared" si="28"/>
        <v>Feb</v>
      </c>
      <c r="H878" t="str">
        <f t="shared" si="29"/>
        <v>2024</v>
      </c>
    </row>
    <row r="879" spans="1:8" hidden="1" x14ac:dyDescent="0.35">
      <c r="A879" t="s">
        <v>490</v>
      </c>
      <c r="B879" s="73">
        <v>1700</v>
      </c>
      <c r="C879" s="73">
        <f>Balance[[#This Row],[COST]]/147</f>
        <v>11.564625850340136</v>
      </c>
      <c r="D879" s="1" t="s">
        <v>259</v>
      </c>
      <c r="E879" s="27" t="s">
        <v>265</v>
      </c>
      <c r="F879" s="2">
        <v>45331</v>
      </c>
      <c r="G879" t="str">
        <f t="shared" si="28"/>
        <v>Feb</v>
      </c>
      <c r="H879" t="str">
        <f t="shared" si="29"/>
        <v>2024</v>
      </c>
    </row>
    <row r="880" spans="1:8" hidden="1" x14ac:dyDescent="0.35">
      <c r="A880" t="s">
        <v>183</v>
      </c>
      <c r="B880" s="73">
        <v>3000</v>
      </c>
      <c r="C880" s="73">
        <f>Balance[[#This Row],[COST]]/147</f>
        <v>20.408163265306122</v>
      </c>
      <c r="D880" s="1" t="s">
        <v>259</v>
      </c>
      <c r="E880" s="27" t="s">
        <v>4</v>
      </c>
      <c r="F880" s="2">
        <v>45331</v>
      </c>
      <c r="G880" t="str">
        <f t="shared" si="28"/>
        <v>Feb</v>
      </c>
      <c r="H880" t="str">
        <f t="shared" si="29"/>
        <v>2024</v>
      </c>
    </row>
    <row r="881" spans="1:8" x14ac:dyDescent="0.35">
      <c r="A881" t="s">
        <v>491</v>
      </c>
      <c r="B881" s="73">
        <v>300</v>
      </c>
      <c r="C881" s="73">
        <f>Balance[[#This Row],[COST]]/147</f>
        <v>2.0408163265306123</v>
      </c>
      <c r="D881" s="1" t="s">
        <v>689</v>
      </c>
      <c r="E881" s="27" t="s">
        <v>275</v>
      </c>
      <c r="F881" s="2">
        <v>45332</v>
      </c>
      <c r="G881" t="str">
        <f t="shared" si="28"/>
        <v>Feb</v>
      </c>
      <c r="H881" t="str">
        <f t="shared" si="29"/>
        <v>2024</v>
      </c>
    </row>
    <row r="882" spans="1:8" x14ac:dyDescent="0.35">
      <c r="A882" t="s">
        <v>461</v>
      </c>
      <c r="B882" s="73">
        <v>600</v>
      </c>
      <c r="C882" s="73">
        <f>Balance[[#This Row],[COST]]/147</f>
        <v>4.0816326530612246</v>
      </c>
      <c r="D882" s="1" t="s">
        <v>689</v>
      </c>
      <c r="E882" s="27" t="s">
        <v>275</v>
      </c>
      <c r="F882" s="2">
        <v>45332</v>
      </c>
      <c r="G882" t="str">
        <f t="shared" si="28"/>
        <v>Feb</v>
      </c>
      <c r="H882" t="str">
        <f t="shared" si="29"/>
        <v>2024</v>
      </c>
    </row>
    <row r="883" spans="1:8" x14ac:dyDescent="0.35">
      <c r="A883" t="s">
        <v>462</v>
      </c>
      <c r="B883" s="73">
        <v>300</v>
      </c>
      <c r="C883" s="73">
        <f>Balance[[#This Row],[COST]]/147</f>
        <v>2.0408163265306123</v>
      </c>
      <c r="D883" s="1" t="s">
        <v>689</v>
      </c>
      <c r="E883" s="27" t="s">
        <v>275</v>
      </c>
      <c r="F883" s="2">
        <v>45332</v>
      </c>
      <c r="G883" t="str">
        <f t="shared" si="28"/>
        <v>Feb</v>
      </c>
      <c r="H883" t="str">
        <f t="shared" si="29"/>
        <v>2024</v>
      </c>
    </row>
    <row r="884" spans="1:8" x14ac:dyDescent="0.35">
      <c r="A884" t="s">
        <v>463</v>
      </c>
      <c r="B884" s="73">
        <v>900</v>
      </c>
      <c r="C884" s="73">
        <f>Balance[[#This Row],[COST]]/147</f>
        <v>6.1224489795918364</v>
      </c>
      <c r="D884" s="1" t="s">
        <v>689</v>
      </c>
      <c r="E884" s="27" t="s">
        <v>275</v>
      </c>
      <c r="F884" s="2">
        <v>45332</v>
      </c>
      <c r="G884" t="str">
        <f t="shared" si="28"/>
        <v>Feb</v>
      </c>
      <c r="H884" t="str">
        <f t="shared" si="29"/>
        <v>2024</v>
      </c>
    </row>
    <row r="885" spans="1:8" x14ac:dyDescent="0.35">
      <c r="A885" t="s">
        <v>464</v>
      </c>
      <c r="B885" s="73">
        <v>300</v>
      </c>
      <c r="C885" s="73">
        <f>Balance[[#This Row],[COST]]/147</f>
        <v>2.0408163265306123</v>
      </c>
      <c r="D885" s="1" t="s">
        <v>689</v>
      </c>
      <c r="E885" s="27" t="s">
        <v>275</v>
      </c>
      <c r="F885" s="2">
        <v>45332</v>
      </c>
      <c r="G885" t="str">
        <f t="shared" si="28"/>
        <v>Feb</v>
      </c>
      <c r="H885" t="str">
        <f t="shared" si="29"/>
        <v>2024</v>
      </c>
    </row>
    <row r="886" spans="1:8" x14ac:dyDescent="0.35">
      <c r="A886" t="s">
        <v>492</v>
      </c>
      <c r="B886" s="73">
        <v>1200</v>
      </c>
      <c r="C886" s="73">
        <f>Balance[[#This Row],[COST]]/147</f>
        <v>8.1632653061224492</v>
      </c>
      <c r="D886" s="1" t="s">
        <v>689</v>
      </c>
      <c r="E886" s="27" t="s">
        <v>275</v>
      </c>
      <c r="F886" s="2">
        <v>45332</v>
      </c>
      <c r="G886" t="str">
        <f t="shared" si="28"/>
        <v>Feb</v>
      </c>
      <c r="H886" t="str">
        <f t="shared" si="29"/>
        <v>2024</v>
      </c>
    </row>
    <row r="887" spans="1:8" hidden="1" x14ac:dyDescent="0.35">
      <c r="A887" t="s">
        <v>469</v>
      </c>
      <c r="B887" s="73">
        <v>300</v>
      </c>
      <c r="C887" s="73">
        <f>Balance[[#This Row],[COST]]/147</f>
        <v>2.0408163265306123</v>
      </c>
      <c r="D887" s="1" t="s">
        <v>259</v>
      </c>
      <c r="E887" s="27" t="s">
        <v>265</v>
      </c>
      <c r="F887" s="2">
        <v>45332</v>
      </c>
      <c r="G887" t="str">
        <f t="shared" si="28"/>
        <v>Feb</v>
      </c>
      <c r="H887" t="str">
        <f t="shared" si="29"/>
        <v>2024</v>
      </c>
    </row>
    <row r="888" spans="1:8" x14ac:dyDescent="0.35">
      <c r="A888" t="s">
        <v>470</v>
      </c>
      <c r="B888" s="73">
        <v>400</v>
      </c>
      <c r="C888" s="73">
        <f>Balance[[#This Row],[COST]]/147</f>
        <v>2.7210884353741496</v>
      </c>
      <c r="D888" s="1" t="s">
        <v>689</v>
      </c>
      <c r="E888" s="27" t="s">
        <v>275</v>
      </c>
      <c r="F888" s="2">
        <v>45332</v>
      </c>
      <c r="G888" t="str">
        <f t="shared" si="28"/>
        <v>Feb</v>
      </c>
      <c r="H888" t="str">
        <f t="shared" si="29"/>
        <v>2024</v>
      </c>
    </row>
    <row r="889" spans="1:8" x14ac:dyDescent="0.35">
      <c r="A889" t="s">
        <v>471</v>
      </c>
      <c r="B889" s="73">
        <v>750</v>
      </c>
      <c r="C889" s="73">
        <f>Balance[[#This Row],[COST]]/147</f>
        <v>5.1020408163265305</v>
      </c>
      <c r="D889" s="1" t="s">
        <v>689</v>
      </c>
      <c r="E889" s="27" t="s">
        <v>275</v>
      </c>
      <c r="F889" s="2">
        <v>45332</v>
      </c>
      <c r="G889" t="str">
        <f t="shared" si="28"/>
        <v>Feb</v>
      </c>
      <c r="H889" t="str">
        <f t="shared" si="29"/>
        <v>2024</v>
      </c>
    </row>
    <row r="890" spans="1:8" x14ac:dyDescent="0.35">
      <c r="A890" t="s">
        <v>472</v>
      </c>
      <c r="B890" s="73">
        <v>600</v>
      </c>
      <c r="C890" s="73">
        <f>Balance[[#This Row],[COST]]/147</f>
        <v>4.0816326530612246</v>
      </c>
      <c r="D890" s="1" t="s">
        <v>689</v>
      </c>
      <c r="E890" s="27" t="s">
        <v>275</v>
      </c>
      <c r="F890" s="2">
        <v>45332</v>
      </c>
      <c r="G890" t="str">
        <f t="shared" si="28"/>
        <v>Feb</v>
      </c>
      <c r="H890" t="str">
        <f t="shared" si="29"/>
        <v>2024</v>
      </c>
    </row>
    <row r="891" spans="1:8" x14ac:dyDescent="0.35">
      <c r="A891" t="s">
        <v>493</v>
      </c>
      <c r="B891" s="73">
        <v>600</v>
      </c>
      <c r="C891" s="73">
        <f>Balance[[#This Row],[COST]]/147</f>
        <v>4.0816326530612246</v>
      </c>
      <c r="D891" s="1" t="s">
        <v>689</v>
      </c>
      <c r="E891" s="27" t="s">
        <v>275</v>
      </c>
      <c r="F891" s="2">
        <v>45332</v>
      </c>
      <c r="G891" t="str">
        <f t="shared" si="28"/>
        <v>Feb</v>
      </c>
      <c r="H891" t="str">
        <f t="shared" si="29"/>
        <v>2024</v>
      </c>
    </row>
    <row r="892" spans="1:8" x14ac:dyDescent="0.35">
      <c r="A892" t="s">
        <v>473</v>
      </c>
      <c r="B892" s="73">
        <v>1000</v>
      </c>
      <c r="C892" s="73">
        <f>Balance[[#This Row],[COST]]/147</f>
        <v>6.8027210884353737</v>
      </c>
      <c r="D892" s="1" t="s">
        <v>689</v>
      </c>
      <c r="E892" s="27" t="s">
        <v>275</v>
      </c>
      <c r="F892" s="2">
        <v>45332</v>
      </c>
      <c r="G892" t="str">
        <f t="shared" si="28"/>
        <v>Feb</v>
      </c>
      <c r="H892" t="str">
        <f t="shared" si="29"/>
        <v>2024</v>
      </c>
    </row>
    <row r="893" spans="1:8" x14ac:dyDescent="0.35">
      <c r="A893" t="s">
        <v>494</v>
      </c>
      <c r="B893" s="73">
        <v>1000</v>
      </c>
      <c r="C893" s="73">
        <f>Balance[[#This Row],[COST]]/147</f>
        <v>6.8027210884353737</v>
      </c>
      <c r="D893" s="1" t="s">
        <v>689</v>
      </c>
      <c r="E893" s="27" t="s">
        <v>275</v>
      </c>
      <c r="F893" s="2">
        <v>45332</v>
      </c>
      <c r="G893" t="str">
        <f t="shared" si="28"/>
        <v>Feb</v>
      </c>
      <c r="H893" t="str">
        <f t="shared" si="29"/>
        <v>2024</v>
      </c>
    </row>
    <row r="894" spans="1:8" x14ac:dyDescent="0.35">
      <c r="A894" t="s">
        <v>474</v>
      </c>
      <c r="B894" s="73">
        <v>750</v>
      </c>
      <c r="C894" s="73">
        <f>Balance[[#This Row],[COST]]/147</f>
        <v>5.1020408163265305</v>
      </c>
      <c r="D894" s="1" t="s">
        <v>689</v>
      </c>
      <c r="E894" s="27" t="s">
        <v>275</v>
      </c>
      <c r="F894" s="2">
        <v>45332</v>
      </c>
      <c r="G894" t="str">
        <f t="shared" si="28"/>
        <v>Feb</v>
      </c>
      <c r="H894" t="str">
        <f t="shared" si="29"/>
        <v>2024</v>
      </c>
    </row>
    <row r="895" spans="1:8" hidden="1" x14ac:dyDescent="0.35">
      <c r="A895" t="s">
        <v>434</v>
      </c>
      <c r="B895" s="73">
        <v>163</v>
      </c>
      <c r="C895" s="73">
        <f>Balance[[#This Row],[COST]]/147</f>
        <v>1.1088435374149659</v>
      </c>
      <c r="D895" s="1" t="s">
        <v>259</v>
      </c>
      <c r="E895" s="27" t="s">
        <v>265</v>
      </c>
      <c r="F895" s="2">
        <v>45335</v>
      </c>
      <c r="G895" t="str">
        <f t="shared" si="28"/>
        <v>Feb</v>
      </c>
      <c r="H895" t="str">
        <f t="shared" si="29"/>
        <v>2024</v>
      </c>
    </row>
    <row r="896" spans="1:8" hidden="1" x14ac:dyDescent="0.35">
      <c r="A896" t="s">
        <v>481</v>
      </c>
      <c r="B896" s="73">
        <v>240</v>
      </c>
      <c r="C896" s="73">
        <f>Balance[[#This Row],[COST]]/147</f>
        <v>1.6326530612244898</v>
      </c>
      <c r="D896" s="1" t="s">
        <v>259</v>
      </c>
      <c r="E896" s="27" t="s">
        <v>265</v>
      </c>
      <c r="F896" s="2">
        <v>45335</v>
      </c>
      <c r="G896" t="str">
        <f t="shared" si="28"/>
        <v>Feb</v>
      </c>
      <c r="H896" t="str">
        <f t="shared" si="29"/>
        <v>2024</v>
      </c>
    </row>
    <row r="897" spans="1:8" hidden="1" x14ac:dyDescent="0.35">
      <c r="A897" t="s">
        <v>495</v>
      </c>
      <c r="B897" s="73">
        <v>345</v>
      </c>
      <c r="C897" s="73">
        <f>Balance[[#This Row],[COST]]/147</f>
        <v>2.3469387755102042</v>
      </c>
      <c r="D897" s="1" t="s">
        <v>259</v>
      </c>
      <c r="E897" s="27" t="s">
        <v>265</v>
      </c>
      <c r="F897" s="2">
        <v>45335</v>
      </c>
      <c r="G897" t="str">
        <f t="shared" si="28"/>
        <v>Feb</v>
      </c>
      <c r="H897" t="str">
        <f t="shared" si="29"/>
        <v>2024</v>
      </c>
    </row>
    <row r="898" spans="1:8" hidden="1" x14ac:dyDescent="0.35">
      <c r="A898" t="s">
        <v>481</v>
      </c>
      <c r="B898" s="73">
        <v>240</v>
      </c>
      <c r="C898" s="73">
        <f>Balance[[#This Row],[COST]]/147</f>
        <v>1.6326530612244898</v>
      </c>
      <c r="D898" s="1" t="s">
        <v>259</v>
      </c>
      <c r="E898" s="27" t="s">
        <v>265</v>
      </c>
      <c r="F898" s="2">
        <v>45335</v>
      </c>
      <c r="G898" t="str">
        <f t="shared" si="28"/>
        <v>Feb</v>
      </c>
      <c r="H898" t="str">
        <f t="shared" si="29"/>
        <v>2024</v>
      </c>
    </row>
    <row r="899" spans="1:8" hidden="1" x14ac:dyDescent="0.35">
      <c r="A899" t="s">
        <v>496</v>
      </c>
      <c r="B899" s="73">
        <v>4800</v>
      </c>
      <c r="C899" s="73">
        <f>Balance[[#This Row],[COST]]/147</f>
        <v>32.653061224489797</v>
      </c>
      <c r="D899" s="1" t="s">
        <v>259</v>
      </c>
      <c r="E899" s="27" t="s">
        <v>265</v>
      </c>
      <c r="F899" s="2">
        <v>45337</v>
      </c>
      <c r="G899" t="str">
        <f t="shared" si="28"/>
        <v>Feb</v>
      </c>
      <c r="H899" t="str">
        <f t="shared" si="29"/>
        <v>2024</v>
      </c>
    </row>
    <row r="900" spans="1:8" hidden="1" x14ac:dyDescent="0.35">
      <c r="A900" t="s">
        <v>299</v>
      </c>
      <c r="B900" s="73">
        <v>5900</v>
      </c>
      <c r="C900" s="73">
        <f>Balance[[#This Row],[COST]]/147</f>
        <v>40.136054421768705</v>
      </c>
      <c r="D900" s="1" t="s">
        <v>259</v>
      </c>
      <c r="E900" s="27" t="s">
        <v>265</v>
      </c>
      <c r="F900" s="2">
        <v>45337</v>
      </c>
      <c r="G900" t="str">
        <f t="shared" si="28"/>
        <v>Feb</v>
      </c>
      <c r="H900" t="str">
        <f t="shared" si="29"/>
        <v>2024</v>
      </c>
    </row>
    <row r="901" spans="1:8" hidden="1" x14ac:dyDescent="0.35">
      <c r="A901" t="s">
        <v>497</v>
      </c>
      <c r="B901" s="73">
        <v>2200</v>
      </c>
      <c r="C901" s="73">
        <f>Balance[[#This Row],[COST]]/147</f>
        <v>14.965986394557824</v>
      </c>
      <c r="D901" s="1" t="s">
        <v>259</v>
      </c>
      <c r="E901" s="27" t="s">
        <v>265</v>
      </c>
      <c r="F901" s="2">
        <v>45337</v>
      </c>
      <c r="G901" t="str">
        <f t="shared" si="28"/>
        <v>Feb</v>
      </c>
      <c r="H901" t="str">
        <f t="shared" si="29"/>
        <v>2024</v>
      </c>
    </row>
    <row r="902" spans="1:8" hidden="1" x14ac:dyDescent="0.35">
      <c r="A902" t="s">
        <v>498</v>
      </c>
      <c r="B902" s="73">
        <v>900</v>
      </c>
      <c r="C902" s="73">
        <f>Balance[[#This Row],[COST]]/147</f>
        <v>6.1224489795918364</v>
      </c>
      <c r="D902" s="1" t="s">
        <v>259</v>
      </c>
      <c r="E902" s="27" t="s">
        <v>265</v>
      </c>
      <c r="F902" s="2">
        <v>45337</v>
      </c>
      <c r="G902" t="str">
        <f t="shared" si="28"/>
        <v>Feb</v>
      </c>
      <c r="H902" t="str">
        <f t="shared" si="29"/>
        <v>2024</v>
      </c>
    </row>
    <row r="903" spans="1:8" hidden="1" x14ac:dyDescent="0.35">
      <c r="A903" t="s">
        <v>498</v>
      </c>
      <c r="B903" s="73">
        <v>900</v>
      </c>
      <c r="C903" s="73">
        <f>Balance[[#This Row],[COST]]/147</f>
        <v>6.1224489795918364</v>
      </c>
      <c r="D903" s="1" t="s">
        <v>259</v>
      </c>
      <c r="E903" s="27" t="s">
        <v>265</v>
      </c>
      <c r="F903" s="2">
        <v>45337</v>
      </c>
      <c r="G903" t="str">
        <f t="shared" si="28"/>
        <v>Feb</v>
      </c>
      <c r="H903" t="str">
        <f t="shared" si="29"/>
        <v>2024</v>
      </c>
    </row>
    <row r="904" spans="1:8" hidden="1" x14ac:dyDescent="0.35">
      <c r="A904" t="s">
        <v>67</v>
      </c>
      <c r="B904" s="73">
        <v>3000</v>
      </c>
      <c r="C904" s="73">
        <f>Balance[[#This Row],[COST]]/147</f>
        <v>20.408163265306122</v>
      </c>
      <c r="D904" s="1" t="s">
        <v>259</v>
      </c>
      <c r="E904" s="27" t="s">
        <v>265</v>
      </c>
      <c r="F904" s="2">
        <v>45337</v>
      </c>
      <c r="G904" t="str">
        <f t="shared" si="28"/>
        <v>Feb</v>
      </c>
      <c r="H904" t="str">
        <f t="shared" si="29"/>
        <v>2024</v>
      </c>
    </row>
    <row r="905" spans="1:8" hidden="1" x14ac:dyDescent="0.35">
      <c r="A905" t="s">
        <v>229</v>
      </c>
      <c r="B905" s="73">
        <f>Balance[[#This Row],[Cost USD]]*147</f>
        <v>880.53000000000009</v>
      </c>
      <c r="C905" s="73">
        <v>5.99</v>
      </c>
      <c r="D905" s="73" t="s">
        <v>259</v>
      </c>
      <c r="E905" s="27" t="s">
        <v>267</v>
      </c>
      <c r="F905" s="2">
        <v>45337</v>
      </c>
      <c r="G905" t="str">
        <f t="shared" si="28"/>
        <v>Feb</v>
      </c>
      <c r="H905" t="str">
        <f t="shared" si="29"/>
        <v>2024</v>
      </c>
    </row>
    <row r="906" spans="1:8" hidden="1" x14ac:dyDescent="0.35">
      <c r="A906" t="s">
        <v>246</v>
      </c>
      <c r="B906" s="73">
        <v>1500</v>
      </c>
      <c r="C906" s="73">
        <f>Balance[[#This Row],[COST]]/147</f>
        <v>10.204081632653061</v>
      </c>
      <c r="D906" s="1" t="s">
        <v>259</v>
      </c>
      <c r="E906" s="27" t="s">
        <v>265</v>
      </c>
      <c r="F906" s="2">
        <v>45338</v>
      </c>
      <c r="G906" t="str">
        <f t="shared" si="28"/>
        <v>Feb</v>
      </c>
      <c r="H906" t="str">
        <f t="shared" si="29"/>
        <v>2024</v>
      </c>
    </row>
    <row r="907" spans="1:8" hidden="1" x14ac:dyDescent="0.35">
      <c r="A907" t="s">
        <v>183</v>
      </c>
      <c r="B907" s="73">
        <v>3000</v>
      </c>
      <c r="C907" s="73">
        <f>Balance[[#This Row],[COST]]/147</f>
        <v>20.408163265306122</v>
      </c>
      <c r="D907" s="1" t="s">
        <v>259</v>
      </c>
      <c r="E907" s="27" t="s">
        <v>4</v>
      </c>
      <c r="F907" s="2">
        <v>45338</v>
      </c>
      <c r="G907" t="str">
        <f t="shared" si="28"/>
        <v>Feb</v>
      </c>
      <c r="H907" t="str">
        <f t="shared" si="29"/>
        <v>2024</v>
      </c>
    </row>
    <row r="908" spans="1:8" hidden="1" x14ac:dyDescent="0.35">
      <c r="A908" t="s">
        <v>114</v>
      </c>
      <c r="B908" s="73">
        <v>1000</v>
      </c>
      <c r="C908" s="73">
        <f>Balance[[#This Row],[COST]]/147</f>
        <v>6.8027210884353737</v>
      </c>
      <c r="D908" s="1" t="s">
        <v>259</v>
      </c>
      <c r="E908" s="27" t="s">
        <v>265</v>
      </c>
      <c r="F908" s="2">
        <v>45339</v>
      </c>
      <c r="G908" t="str">
        <f t="shared" si="28"/>
        <v>Feb</v>
      </c>
      <c r="H908" t="str">
        <f t="shared" si="29"/>
        <v>2024</v>
      </c>
    </row>
    <row r="909" spans="1:8" x14ac:dyDescent="0.35">
      <c r="A909" t="s">
        <v>538</v>
      </c>
      <c r="B909" s="73">
        <v>40000</v>
      </c>
      <c r="C909" s="73">
        <f>Balance[[#This Row],[COST]]/147</f>
        <v>272.10884353741494</v>
      </c>
      <c r="D909" s="1" t="s">
        <v>689</v>
      </c>
      <c r="E909" s="27" t="s">
        <v>275</v>
      </c>
      <c r="F909" s="2">
        <v>45342</v>
      </c>
      <c r="G909" t="str">
        <f t="shared" si="28"/>
        <v>Feb</v>
      </c>
      <c r="H909" t="str">
        <f t="shared" si="29"/>
        <v>2024</v>
      </c>
    </row>
    <row r="910" spans="1:8" hidden="1" x14ac:dyDescent="0.35">
      <c r="A910" t="s">
        <v>434</v>
      </c>
      <c r="B910" s="73">
        <v>850</v>
      </c>
      <c r="C910" s="73">
        <f>Balance[[#This Row],[COST]]/147</f>
        <v>5.7823129251700678</v>
      </c>
      <c r="D910" s="1" t="s">
        <v>259</v>
      </c>
      <c r="E910" s="27" t="s">
        <v>265</v>
      </c>
      <c r="F910" s="2">
        <v>45343</v>
      </c>
      <c r="G910" t="str">
        <f t="shared" si="28"/>
        <v>Feb</v>
      </c>
      <c r="H910" t="str">
        <f t="shared" si="29"/>
        <v>2024</v>
      </c>
    </row>
    <row r="911" spans="1:8" hidden="1" x14ac:dyDescent="0.35">
      <c r="A911" t="s">
        <v>501</v>
      </c>
      <c r="B911" s="73">
        <v>600</v>
      </c>
      <c r="C911" s="73">
        <f>Balance[[#This Row],[COST]]/147</f>
        <v>4.0816326530612246</v>
      </c>
      <c r="D911" s="1" t="s">
        <v>259</v>
      </c>
      <c r="E911" s="27" t="s">
        <v>265</v>
      </c>
      <c r="F911" s="2">
        <v>45343</v>
      </c>
      <c r="G911" t="str">
        <f t="shared" si="28"/>
        <v>Feb</v>
      </c>
      <c r="H911" t="str">
        <f t="shared" si="29"/>
        <v>2024</v>
      </c>
    </row>
    <row r="912" spans="1:8" hidden="1" x14ac:dyDescent="0.35">
      <c r="A912" t="s">
        <v>510</v>
      </c>
      <c r="B912" s="73">
        <v>2250</v>
      </c>
      <c r="C912" s="73">
        <f>Balance[[#This Row],[COST]]/147</f>
        <v>15.306122448979592</v>
      </c>
      <c r="D912" s="1" t="s">
        <v>259</v>
      </c>
      <c r="E912" s="27" t="s">
        <v>268</v>
      </c>
      <c r="F912" s="2">
        <v>45343</v>
      </c>
      <c r="G912" t="str">
        <f t="shared" si="28"/>
        <v>Feb</v>
      </c>
      <c r="H912" t="str">
        <f t="shared" si="29"/>
        <v>2024</v>
      </c>
    </row>
    <row r="913" spans="1:8" hidden="1" x14ac:dyDescent="0.35">
      <c r="A913" t="s">
        <v>246</v>
      </c>
      <c r="B913" s="73">
        <v>850</v>
      </c>
      <c r="C913" s="73">
        <f>Balance[[#This Row],[COST]]/147</f>
        <v>5.7823129251700678</v>
      </c>
      <c r="D913" s="1" t="s">
        <v>259</v>
      </c>
      <c r="E913" s="27" t="s">
        <v>265</v>
      </c>
      <c r="F913" s="2">
        <v>45345</v>
      </c>
      <c r="G913" t="str">
        <f t="shared" si="28"/>
        <v>Feb</v>
      </c>
      <c r="H913" t="str">
        <f t="shared" si="29"/>
        <v>2024</v>
      </c>
    </row>
    <row r="914" spans="1:8" x14ac:dyDescent="0.35">
      <c r="A914" t="s">
        <v>306</v>
      </c>
      <c r="B914" s="73">
        <v>700</v>
      </c>
      <c r="C914" s="73">
        <f>Balance[[#This Row],[COST]]/147</f>
        <v>4.7619047619047619</v>
      </c>
      <c r="D914" s="1" t="s">
        <v>689</v>
      </c>
      <c r="E914" s="27" t="s">
        <v>275</v>
      </c>
      <c r="F914" s="2">
        <v>45345</v>
      </c>
      <c r="G914" t="str">
        <f t="shared" si="28"/>
        <v>Feb</v>
      </c>
      <c r="H914" t="str">
        <f t="shared" si="29"/>
        <v>2024</v>
      </c>
    </row>
    <row r="915" spans="1:8" hidden="1" x14ac:dyDescent="0.35">
      <c r="A915" t="s">
        <v>283</v>
      </c>
      <c r="B915" s="73">
        <v>57040</v>
      </c>
      <c r="C915" s="73">
        <f>Balance[[#This Row],[COST]]/147</f>
        <v>388.02721088435374</v>
      </c>
      <c r="D915" s="73" t="s">
        <v>15</v>
      </c>
      <c r="E915" s="27" t="s">
        <v>269</v>
      </c>
      <c r="F915" s="2">
        <v>45347</v>
      </c>
      <c r="G915" t="str">
        <f t="shared" si="28"/>
        <v>Feb</v>
      </c>
      <c r="H915" t="str">
        <f t="shared" si="29"/>
        <v>2024</v>
      </c>
    </row>
    <row r="916" spans="1:8" hidden="1" x14ac:dyDescent="0.35">
      <c r="A916" t="s">
        <v>49</v>
      </c>
      <c r="B916" s="73">
        <v>25000</v>
      </c>
      <c r="C916" s="73">
        <f>Balance[[#This Row],[COST]]/147</f>
        <v>170.06802721088437</v>
      </c>
      <c r="D916" s="1" t="s">
        <v>259</v>
      </c>
      <c r="E916" s="27" t="s">
        <v>274</v>
      </c>
      <c r="F916" s="2">
        <v>45347</v>
      </c>
      <c r="G916" t="str">
        <f t="shared" si="28"/>
        <v>Feb</v>
      </c>
      <c r="H916" t="str">
        <f t="shared" si="29"/>
        <v>2024</v>
      </c>
    </row>
    <row r="917" spans="1:8" x14ac:dyDescent="0.35">
      <c r="A917" t="s">
        <v>504</v>
      </c>
      <c r="B917" s="73">
        <v>1350</v>
      </c>
      <c r="C917" s="73">
        <f>Balance[[#This Row],[COST]]/147</f>
        <v>9.183673469387756</v>
      </c>
      <c r="D917" s="1" t="s">
        <v>689</v>
      </c>
      <c r="E917" s="27" t="s">
        <v>275</v>
      </c>
      <c r="F917" s="2">
        <v>45348</v>
      </c>
      <c r="G917" t="str">
        <f t="shared" si="28"/>
        <v>Feb</v>
      </c>
      <c r="H917" t="str">
        <f t="shared" si="29"/>
        <v>2024</v>
      </c>
    </row>
    <row r="918" spans="1:8" x14ac:dyDescent="0.35">
      <c r="A918" t="s">
        <v>505</v>
      </c>
      <c r="B918" s="73">
        <v>1200</v>
      </c>
      <c r="C918" s="73">
        <f>Balance[[#This Row],[COST]]/147</f>
        <v>8.1632653061224492</v>
      </c>
      <c r="D918" s="1" t="s">
        <v>689</v>
      </c>
      <c r="E918" s="27" t="s">
        <v>275</v>
      </c>
      <c r="F918" s="2">
        <v>45348</v>
      </c>
      <c r="G918" t="str">
        <f t="shared" si="28"/>
        <v>Feb</v>
      </c>
      <c r="H918" t="str">
        <f t="shared" si="29"/>
        <v>2024</v>
      </c>
    </row>
    <row r="919" spans="1:8" x14ac:dyDescent="0.35">
      <c r="A919" t="s">
        <v>506</v>
      </c>
      <c r="B919" s="73">
        <v>1090</v>
      </c>
      <c r="C919" s="73">
        <f>Balance[[#This Row],[COST]]/147</f>
        <v>7.4149659863945576</v>
      </c>
      <c r="D919" s="1" t="s">
        <v>689</v>
      </c>
      <c r="E919" s="27" t="s">
        <v>275</v>
      </c>
      <c r="F919" s="2">
        <v>45348</v>
      </c>
      <c r="G919" t="str">
        <f t="shared" si="28"/>
        <v>Feb</v>
      </c>
      <c r="H919" t="str">
        <f t="shared" si="29"/>
        <v>2024</v>
      </c>
    </row>
    <row r="920" spans="1:8" x14ac:dyDescent="0.35">
      <c r="A920" t="s">
        <v>507</v>
      </c>
      <c r="B920" s="73">
        <v>815</v>
      </c>
      <c r="C920" s="73">
        <f>Balance[[#This Row],[COST]]/147</f>
        <v>5.5442176870748296</v>
      </c>
      <c r="D920" s="1" t="s">
        <v>689</v>
      </c>
      <c r="E920" s="27" t="s">
        <v>275</v>
      </c>
      <c r="F920" s="2">
        <v>45348</v>
      </c>
      <c r="G920" t="str">
        <f t="shared" si="28"/>
        <v>Feb</v>
      </c>
      <c r="H920" t="str">
        <f t="shared" si="29"/>
        <v>2024</v>
      </c>
    </row>
    <row r="921" spans="1:8" x14ac:dyDescent="0.35">
      <c r="A921" t="s">
        <v>508</v>
      </c>
      <c r="B921" s="73">
        <v>1070</v>
      </c>
      <c r="C921" s="73">
        <f>Balance[[#This Row],[COST]]/147</f>
        <v>7.27891156462585</v>
      </c>
      <c r="D921" s="1" t="s">
        <v>689</v>
      </c>
      <c r="E921" s="27" t="s">
        <v>275</v>
      </c>
      <c r="F921" s="2">
        <v>45348</v>
      </c>
      <c r="G921" t="str">
        <f t="shared" si="28"/>
        <v>Feb</v>
      </c>
      <c r="H921" t="str">
        <f t="shared" si="29"/>
        <v>2024</v>
      </c>
    </row>
    <row r="922" spans="1:8" hidden="1" x14ac:dyDescent="0.35">
      <c r="A922" t="s">
        <v>129</v>
      </c>
      <c r="B922" s="73">
        <v>1000</v>
      </c>
      <c r="C922" s="73">
        <f>Balance[[#This Row],[COST]]/147</f>
        <v>6.8027210884353737</v>
      </c>
      <c r="D922" s="1" t="s">
        <v>259</v>
      </c>
      <c r="E922" s="27" t="s">
        <v>265</v>
      </c>
      <c r="F922" s="2">
        <v>45348</v>
      </c>
      <c r="G922" t="str">
        <f t="shared" si="28"/>
        <v>Feb</v>
      </c>
      <c r="H922" t="str">
        <f t="shared" si="29"/>
        <v>2024</v>
      </c>
    </row>
    <row r="923" spans="1:8" hidden="1" x14ac:dyDescent="0.35">
      <c r="A923" t="s">
        <v>242</v>
      </c>
      <c r="B923" s="73">
        <v>1000</v>
      </c>
      <c r="C923" s="73">
        <f>Balance[[#This Row],[COST]]/147</f>
        <v>6.8027210884353737</v>
      </c>
      <c r="D923" s="1" t="s">
        <v>259</v>
      </c>
      <c r="E923" s="27" t="s">
        <v>265</v>
      </c>
      <c r="F923" s="2">
        <v>45348</v>
      </c>
      <c r="G923" t="str">
        <f t="shared" si="28"/>
        <v>Feb</v>
      </c>
      <c r="H923" t="str">
        <f t="shared" si="29"/>
        <v>2024</v>
      </c>
    </row>
    <row r="924" spans="1:8" hidden="1" x14ac:dyDescent="0.35">
      <c r="A924" t="s">
        <v>509</v>
      </c>
      <c r="B924" s="73">
        <v>2645</v>
      </c>
      <c r="C924" s="73">
        <f>Balance[[#This Row],[COST]]/147</f>
        <v>17.993197278911566</v>
      </c>
      <c r="D924" s="1" t="s">
        <v>259</v>
      </c>
      <c r="E924" s="27" t="s">
        <v>267</v>
      </c>
      <c r="F924" s="2">
        <v>45348</v>
      </c>
      <c r="G924" t="str">
        <f t="shared" si="28"/>
        <v>Feb</v>
      </c>
      <c r="H924" t="str">
        <f t="shared" si="29"/>
        <v>2024</v>
      </c>
    </row>
    <row r="925" spans="1:8" hidden="1" x14ac:dyDescent="0.35">
      <c r="A925" t="s">
        <v>183</v>
      </c>
      <c r="B925" s="73">
        <v>3000</v>
      </c>
      <c r="C925" s="73">
        <f>Balance[[#This Row],[COST]]/147</f>
        <v>20.408163265306122</v>
      </c>
      <c r="D925" s="1" t="s">
        <v>259</v>
      </c>
      <c r="E925" s="27" t="s">
        <v>4</v>
      </c>
      <c r="F925" s="2">
        <v>45348</v>
      </c>
      <c r="G925" t="str">
        <f t="shared" si="28"/>
        <v>Feb</v>
      </c>
      <c r="H925" t="str">
        <f t="shared" si="29"/>
        <v>2024</v>
      </c>
    </row>
    <row r="926" spans="1:8" hidden="1" x14ac:dyDescent="0.35">
      <c r="A926" t="s">
        <v>369</v>
      </c>
      <c r="B926" s="76">
        <v>3200</v>
      </c>
      <c r="C926" s="76">
        <f>Balance[[#This Row],[COST]]/147</f>
        <v>21.768707482993197</v>
      </c>
      <c r="D926" s="76" t="s">
        <v>259</v>
      </c>
      <c r="E926" s="27" t="s">
        <v>267</v>
      </c>
      <c r="F926" s="2">
        <v>45348</v>
      </c>
      <c r="G926" t="str">
        <f t="shared" si="28"/>
        <v>Feb</v>
      </c>
      <c r="H926" t="str">
        <f t="shared" si="29"/>
        <v>2024</v>
      </c>
    </row>
    <row r="927" spans="1:8" x14ac:dyDescent="0.35">
      <c r="A927" t="s">
        <v>197</v>
      </c>
      <c r="B927" s="73">
        <v>15000</v>
      </c>
      <c r="C927" s="73">
        <f>Balance[[#This Row],[COST]]/147</f>
        <v>102.04081632653062</v>
      </c>
      <c r="D927" s="1" t="s">
        <v>689</v>
      </c>
      <c r="E927" s="27" t="s">
        <v>275</v>
      </c>
      <c r="F927" s="2">
        <v>45349</v>
      </c>
      <c r="G927" t="str">
        <f t="shared" ref="G927:G990" si="30">TEXT(F927,"mmm")</f>
        <v>Feb</v>
      </c>
      <c r="H927" t="str">
        <f t="shared" ref="H927:H990" si="31">TEXT(F927,"yyy")</f>
        <v>2024</v>
      </c>
    </row>
    <row r="928" spans="1:8" x14ac:dyDescent="0.35">
      <c r="A928" t="s">
        <v>538</v>
      </c>
      <c r="B928" s="73">
        <v>45000</v>
      </c>
      <c r="C928" s="73">
        <f>Balance[[#This Row],[COST]]/147</f>
        <v>306.12244897959181</v>
      </c>
      <c r="D928" s="1" t="s">
        <v>689</v>
      </c>
      <c r="E928" s="27" t="s">
        <v>275</v>
      </c>
      <c r="F928" s="2">
        <v>45349</v>
      </c>
      <c r="G928" t="str">
        <f t="shared" si="30"/>
        <v>Feb</v>
      </c>
      <c r="H928" t="str">
        <f t="shared" si="31"/>
        <v>2024</v>
      </c>
    </row>
    <row r="929" spans="1:8" hidden="1" x14ac:dyDescent="0.35">
      <c r="A929" t="s">
        <v>42</v>
      </c>
      <c r="B929" s="73">
        <v>7884</v>
      </c>
      <c r="C929" s="73">
        <f>Balance[[#This Row],[COST]]/147</f>
        <v>53.632653061224488</v>
      </c>
      <c r="D929" s="73" t="s">
        <v>42</v>
      </c>
      <c r="E929" s="27" t="s">
        <v>270</v>
      </c>
      <c r="F929" s="2">
        <v>45350</v>
      </c>
      <c r="G929" t="str">
        <f t="shared" si="30"/>
        <v>Feb</v>
      </c>
      <c r="H929" t="str">
        <f t="shared" si="31"/>
        <v>2024</v>
      </c>
    </row>
    <row r="930" spans="1:8" hidden="1" x14ac:dyDescent="0.35">
      <c r="A930" t="s">
        <v>511</v>
      </c>
      <c r="B930" s="73">
        <v>900</v>
      </c>
      <c r="C930" s="73">
        <f>Balance[[#This Row],[COST]]/147</f>
        <v>6.1224489795918364</v>
      </c>
      <c r="D930" s="1" t="s">
        <v>259</v>
      </c>
      <c r="E930" s="27" t="s">
        <v>265</v>
      </c>
      <c r="F930" s="2">
        <v>45351</v>
      </c>
      <c r="G930" t="str">
        <f t="shared" si="30"/>
        <v>Feb</v>
      </c>
      <c r="H930" t="str">
        <f t="shared" si="31"/>
        <v>2024</v>
      </c>
    </row>
    <row r="931" spans="1:8" hidden="1" x14ac:dyDescent="0.35">
      <c r="A931" t="s">
        <v>511</v>
      </c>
      <c r="B931" s="73">
        <v>900</v>
      </c>
      <c r="C931" s="73">
        <f>Balance[[#This Row],[COST]]/147</f>
        <v>6.1224489795918364</v>
      </c>
      <c r="D931" s="1" t="s">
        <v>259</v>
      </c>
      <c r="E931" s="27" t="s">
        <v>265</v>
      </c>
      <c r="F931" s="2">
        <v>45352</v>
      </c>
      <c r="G931" t="str">
        <f t="shared" si="30"/>
        <v>Mar</v>
      </c>
      <c r="H931" t="str">
        <f t="shared" si="31"/>
        <v>2024</v>
      </c>
    </row>
    <row r="932" spans="1:8" hidden="1" x14ac:dyDescent="0.35">
      <c r="A932" t="s">
        <v>185</v>
      </c>
      <c r="B932" s="73">
        <v>4000</v>
      </c>
      <c r="C932" s="73">
        <f>Balance[[#This Row],[COST]]/147</f>
        <v>27.210884353741495</v>
      </c>
      <c r="D932" s="1" t="s">
        <v>259</v>
      </c>
      <c r="E932" s="27" t="s">
        <v>267</v>
      </c>
      <c r="F932" s="2">
        <v>45352</v>
      </c>
      <c r="G932" t="str">
        <f t="shared" si="30"/>
        <v>Mar</v>
      </c>
      <c r="H932" t="str">
        <f t="shared" si="31"/>
        <v>2024</v>
      </c>
    </row>
    <row r="933" spans="1:8" hidden="1" x14ac:dyDescent="0.35">
      <c r="A933" t="s">
        <v>511</v>
      </c>
      <c r="B933" s="73">
        <v>900</v>
      </c>
      <c r="C933" s="73">
        <f>Balance[[#This Row],[COST]]/147</f>
        <v>6.1224489795918364</v>
      </c>
      <c r="D933" s="1" t="s">
        <v>259</v>
      </c>
      <c r="E933" s="27" t="s">
        <v>265</v>
      </c>
      <c r="F933" s="2">
        <v>45353</v>
      </c>
      <c r="G933" t="str">
        <f t="shared" si="30"/>
        <v>Mar</v>
      </c>
      <c r="H933" t="str">
        <f t="shared" si="31"/>
        <v>2024</v>
      </c>
    </row>
    <row r="934" spans="1:8" x14ac:dyDescent="0.35">
      <c r="A934" t="s">
        <v>437</v>
      </c>
      <c r="B934" s="73">
        <v>270</v>
      </c>
      <c r="C934" s="73">
        <f>Balance[[#This Row],[COST]]/147</f>
        <v>1.8367346938775511</v>
      </c>
      <c r="D934" s="1" t="s">
        <v>689</v>
      </c>
      <c r="E934" s="27" t="s">
        <v>275</v>
      </c>
      <c r="F934" s="2">
        <v>45355</v>
      </c>
      <c r="G934" t="str">
        <f t="shared" si="30"/>
        <v>Mar</v>
      </c>
      <c r="H934" t="str">
        <f t="shared" si="31"/>
        <v>2024</v>
      </c>
    </row>
    <row r="935" spans="1:8" hidden="1" x14ac:dyDescent="0.35">
      <c r="A935" t="s">
        <v>323</v>
      </c>
      <c r="B935" s="73">
        <v>3750</v>
      </c>
      <c r="C935" s="73">
        <f>Balance[[#This Row],[COST]]/147</f>
        <v>25.510204081632654</v>
      </c>
      <c r="D935" s="1" t="s">
        <v>259</v>
      </c>
      <c r="E935" s="27" t="s">
        <v>267</v>
      </c>
      <c r="F935" s="2">
        <v>45355</v>
      </c>
      <c r="G935" t="str">
        <f t="shared" si="30"/>
        <v>Mar</v>
      </c>
      <c r="H935" t="str">
        <f t="shared" si="31"/>
        <v>2024</v>
      </c>
    </row>
    <row r="936" spans="1:8" hidden="1" x14ac:dyDescent="0.35">
      <c r="A936" t="s">
        <v>512</v>
      </c>
      <c r="B936" s="73">
        <v>300</v>
      </c>
      <c r="C936" s="73">
        <f>Balance[[#This Row],[COST]]/147</f>
        <v>2.0408163265306123</v>
      </c>
      <c r="D936" s="1" t="s">
        <v>259</v>
      </c>
      <c r="E936" s="27" t="s">
        <v>265</v>
      </c>
      <c r="F936" s="2">
        <v>45355</v>
      </c>
      <c r="G936" t="str">
        <f t="shared" si="30"/>
        <v>Mar</v>
      </c>
      <c r="H936" t="str">
        <f t="shared" si="31"/>
        <v>2024</v>
      </c>
    </row>
    <row r="937" spans="1:8" hidden="1" x14ac:dyDescent="0.35">
      <c r="A937" t="s">
        <v>183</v>
      </c>
      <c r="B937" s="73">
        <v>2700</v>
      </c>
      <c r="C937" s="73">
        <f>Balance[[#This Row],[COST]]/147</f>
        <v>18.367346938775512</v>
      </c>
      <c r="D937" s="1" t="s">
        <v>259</v>
      </c>
      <c r="E937" s="27" t="s">
        <v>4</v>
      </c>
      <c r="F937" s="2">
        <v>45356</v>
      </c>
      <c r="G937" t="str">
        <f t="shared" si="30"/>
        <v>Mar</v>
      </c>
      <c r="H937" t="str">
        <f t="shared" si="31"/>
        <v>2024</v>
      </c>
    </row>
    <row r="938" spans="1:8" hidden="1" x14ac:dyDescent="0.35">
      <c r="A938" t="s">
        <v>511</v>
      </c>
      <c r="B938" s="73">
        <v>900</v>
      </c>
      <c r="C938" s="73">
        <f>Balance[[#This Row],[COST]]/147</f>
        <v>6.1224489795918364</v>
      </c>
      <c r="D938" s="73" t="s">
        <v>259</v>
      </c>
      <c r="E938" s="27" t="s">
        <v>265</v>
      </c>
      <c r="F938" s="2">
        <v>45357</v>
      </c>
      <c r="G938" t="str">
        <f t="shared" si="30"/>
        <v>Mar</v>
      </c>
      <c r="H938" t="str">
        <f t="shared" si="31"/>
        <v>2024</v>
      </c>
    </row>
    <row r="939" spans="1:8" hidden="1" x14ac:dyDescent="0.35">
      <c r="A939" t="s">
        <v>513</v>
      </c>
      <c r="B939" s="73">
        <v>7000</v>
      </c>
      <c r="C939" s="73">
        <f>Balance[[#This Row],[COST]]/147</f>
        <v>47.61904761904762</v>
      </c>
      <c r="D939" s="1" t="s">
        <v>515</v>
      </c>
      <c r="E939" s="1" t="s">
        <v>514</v>
      </c>
      <c r="F939" s="2">
        <v>45357</v>
      </c>
      <c r="G939" t="str">
        <f t="shared" si="30"/>
        <v>Mar</v>
      </c>
      <c r="H939" t="str">
        <f t="shared" si="31"/>
        <v>2024</v>
      </c>
    </row>
    <row r="940" spans="1:8" hidden="1" x14ac:dyDescent="0.35">
      <c r="A940" t="s">
        <v>246</v>
      </c>
      <c r="B940" s="73">
        <v>750</v>
      </c>
      <c r="C940" s="73">
        <f>Balance[[#This Row],[COST]]/147</f>
        <v>5.1020408163265305</v>
      </c>
      <c r="D940" s="73" t="s">
        <v>259</v>
      </c>
      <c r="E940" s="27" t="s">
        <v>265</v>
      </c>
      <c r="F940" s="2">
        <v>45358</v>
      </c>
      <c r="G940" t="str">
        <f t="shared" si="30"/>
        <v>Mar</v>
      </c>
      <c r="H940" t="str">
        <f t="shared" si="31"/>
        <v>2024</v>
      </c>
    </row>
    <row r="941" spans="1:8" hidden="1" x14ac:dyDescent="0.35">
      <c r="A941" t="s">
        <v>518</v>
      </c>
      <c r="B941" s="73">
        <v>2000</v>
      </c>
      <c r="C941" s="73">
        <f>Balance[[#This Row],[COST]]/147</f>
        <v>13.605442176870747</v>
      </c>
      <c r="D941" s="73" t="s">
        <v>259</v>
      </c>
      <c r="E941" s="27" t="s">
        <v>267</v>
      </c>
      <c r="F941" s="2">
        <v>45358</v>
      </c>
      <c r="G941" t="str">
        <f t="shared" si="30"/>
        <v>Mar</v>
      </c>
      <c r="H941" t="str">
        <f t="shared" si="31"/>
        <v>2024</v>
      </c>
    </row>
    <row r="942" spans="1:8" hidden="1" x14ac:dyDescent="0.35">
      <c r="A942" t="s">
        <v>246</v>
      </c>
      <c r="B942" s="73">
        <v>750</v>
      </c>
      <c r="C942" s="73">
        <f>Balance[[#This Row],[COST]]/147</f>
        <v>5.1020408163265305</v>
      </c>
      <c r="D942" s="73" t="s">
        <v>259</v>
      </c>
      <c r="E942" s="27" t="s">
        <v>265</v>
      </c>
      <c r="F942" s="2">
        <v>45359</v>
      </c>
      <c r="G942" t="str">
        <f t="shared" si="30"/>
        <v>Mar</v>
      </c>
      <c r="H942" t="str">
        <f t="shared" si="31"/>
        <v>2024</v>
      </c>
    </row>
    <row r="943" spans="1:8" hidden="1" x14ac:dyDescent="0.35">
      <c r="A943" t="s">
        <v>518</v>
      </c>
      <c r="B943" s="73">
        <v>2000</v>
      </c>
      <c r="C943" s="73">
        <f>Balance[[#This Row],[COST]]/147</f>
        <v>13.605442176870747</v>
      </c>
      <c r="D943" s="73" t="s">
        <v>259</v>
      </c>
      <c r="E943" s="27" t="s">
        <v>267</v>
      </c>
      <c r="F943" s="2">
        <v>45359</v>
      </c>
      <c r="G943" t="str">
        <f t="shared" si="30"/>
        <v>Mar</v>
      </c>
      <c r="H943" t="str">
        <f t="shared" si="31"/>
        <v>2024</v>
      </c>
    </row>
    <row r="944" spans="1:8" x14ac:dyDescent="0.35">
      <c r="A944" t="s">
        <v>461</v>
      </c>
      <c r="B944" s="73">
        <v>500</v>
      </c>
      <c r="C944" s="73">
        <f>Balance[[#This Row],[COST]]/147</f>
        <v>3.4013605442176869</v>
      </c>
      <c r="D944" s="1" t="s">
        <v>689</v>
      </c>
      <c r="E944" s="27" t="s">
        <v>275</v>
      </c>
      <c r="F944" s="2">
        <v>45359</v>
      </c>
      <c r="G944" t="str">
        <f t="shared" si="30"/>
        <v>Mar</v>
      </c>
      <c r="H944" t="str">
        <f t="shared" si="31"/>
        <v>2024</v>
      </c>
    </row>
    <row r="945" spans="1:8" x14ac:dyDescent="0.35">
      <c r="A945" t="s">
        <v>425</v>
      </c>
      <c r="B945" s="73">
        <v>350</v>
      </c>
      <c r="C945" s="73">
        <f>Balance[[#This Row],[COST]]/147</f>
        <v>2.3809523809523809</v>
      </c>
      <c r="D945" s="1" t="s">
        <v>689</v>
      </c>
      <c r="E945" s="27" t="s">
        <v>275</v>
      </c>
      <c r="F945" s="2">
        <v>45359</v>
      </c>
      <c r="G945" t="str">
        <f t="shared" si="30"/>
        <v>Mar</v>
      </c>
      <c r="H945" t="str">
        <f t="shared" si="31"/>
        <v>2024</v>
      </c>
    </row>
    <row r="946" spans="1:8" hidden="1" x14ac:dyDescent="0.35">
      <c r="A946" t="s">
        <v>246</v>
      </c>
      <c r="B946" s="73">
        <v>750</v>
      </c>
      <c r="C946" s="73">
        <f>Balance[[#This Row],[COST]]/147</f>
        <v>5.1020408163265305</v>
      </c>
      <c r="D946" s="73" t="s">
        <v>259</v>
      </c>
      <c r="E946" s="27" t="s">
        <v>265</v>
      </c>
      <c r="F946" s="2">
        <v>45360</v>
      </c>
      <c r="G946" t="str">
        <f t="shared" si="30"/>
        <v>Mar</v>
      </c>
      <c r="H946" t="str">
        <f t="shared" si="31"/>
        <v>2024</v>
      </c>
    </row>
    <row r="947" spans="1:8" hidden="1" x14ac:dyDescent="0.35">
      <c r="A947" t="s">
        <v>497</v>
      </c>
      <c r="B947" s="73">
        <v>282</v>
      </c>
      <c r="C947" s="73">
        <f>Balance[[#This Row],[COST]]/147</f>
        <v>1.9183673469387754</v>
      </c>
      <c r="D947" s="73" t="s">
        <v>259</v>
      </c>
      <c r="E947" s="27" t="s">
        <v>265</v>
      </c>
      <c r="F947" s="2">
        <v>45360</v>
      </c>
      <c r="G947" t="str">
        <f t="shared" si="30"/>
        <v>Mar</v>
      </c>
      <c r="H947" t="str">
        <f t="shared" si="31"/>
        <v>2024</v>
      </c>
    </row>
    <row r="948" spans="1:8" hidden="1" x14ac:dyDescent="0.35">
      <c r="A948" t="s">
        <v>516</v>
      </c>
      <c r="B948" s="73">
        <v>250</v>
      </c>
      <c r="C948" s="73">
        <f>Balance[[#This Row],[COST]]/147</f>
        <v>1.7006802721088434</v>
      </c>
      <c r="D948" s="73" t="s">
        <v>259</v>
      </c>
      <c r="E948" s="27" t="s">
        <v>265</v>
      </c>
      <c r="F948" s="2">
        <v>45360</v>
      </c>
      <c r="G948" t="str">
        <f t="shared" si="30"/>
        <v>Mar</v>
      </c>
      <c r="H948" t="str">
        <f t="shared" si="31"/>
        <v>2024</v>
      </c>
    </row>
    <row r="949" spans="1:8" hidden="1" x14ac:dyDescent="0.35">
      <c r="A949" t="s">
        <v>517</v>
      </c>
      <c r="B949" s="73">
        <v>120</v>
      </c>
      <c r="C949" s="73">
        <f>Balance[[#This Row],[COST]]/147</f>
        <v>0.81632653061224492</v>
      </c>
      <c r="D949" s="73" t="s">
        <v>259</v>
      </c>
      <c r="E949" s="27" t="s">
        <v>265</v>
      </c>
      <c r="F949" s="2">
        <v>45360</v>
      </c>
      <c r="G949" t="str">
        <f t="shared" si="30"/>
        <v>Mar</v>
      </c>
      <c r="H949" t="str">
        <f t="shared" si="31"/>
        <v>2024</v>
      </c>
    </row>
    <row r="950" spans="1:8" hidden="1" x14ac:dyDescent="0.35">
      <c r="A950" t="s">
        <v>511</v>
      </c>
      <c r="B950" s="73">
        <v>850</v>
      </c>
      <c r="C950" s="73">
        <f>Balance[[#This Row],[COST]]/147</f>
        <v>5.7823129251700678</v>
      </c>
      <c r="D950" s="73" t="s">
        <v>259</v>
      </c>
      <c r="E950" s="27" t="s">
        <v>265</v>
      </c>
      <c r="F950" s="2">
        <v>45362</v>
      </c>
      <c r="G950" t="str">
        <f t="shared" si="30"/>
        <v>Mar</v>
      </c>
      <c r="H950" t="str">
        <f t="shared" si="31"/>
        <v>2024</v>
      </c>
    </row>
    <row r="951" spans="1:8" x14ac:dyDescent="0.35">
      <c r="A951" t="s">
        <v>480</v>
      </c>
      <c r="B951" s="73">
        <v>500</v>
      </c>
      <c r="C951" s="73">
        <f>Balance[[#This Row],[COST]]/147</f>
        <v>3.4013605442176869</v>
      </c>
      <c r="D951" s="1" t="s">
        <v>689</v>
      </c>
      <c r="E951" s="27" t="s">
        <v>275</v>
      </c>
      <c r="F951" s="2">
        <v>45362</v>
      </c>
      <c r="G951" t="str">
        <f t="shared" si="30"/>
        <v>Mar</v>
      </c>
      <c r="H951" t="str">
        <f t="shared" si="31"/>
        <v>2024</v>
      </c>
    </row>
    <row r="952" spans="1:8" x14ac:dyDescent="0.35">
      <c r="A952" t="s">
        <v>433</v>
      </c>
      <c r="B952" s="73">
        <v>200</v>
      </c>
      <c r="C952" s="73">
        <f>Balance[[#This Row],[COST]]/147</f>
        <v>1.3605442176870748</v>
      </c>
      <c r="D952" s="1" t="s">
        <v>689</v>
      </c>
      <c r="E952" s="27" t="s">
        <v>275</v>
      </c>
      <c r="F952" s="2">
        <v>45363</v>
      </c>
      <c r="G952" t="str">
        <f t="shared" si="30"/>
        <v>Mar</v>
      </c>
      <c r="H952" t="str">
        <f t="shared" si="31"/>
        <v>2024</v>
      </c>
    </row>
    <row r="953" spans="1:8" hidden="1" x14ac:dyDescent="0.35">
      <c r="A953" t="s">
        <v>519</v>
      </c>
      <c r="B953" s="73">
        <v>300</v>
      </c>
      <c r="C953" s="73">
        <f>Balance[[#This Row],[COST]]/147</f>
        <v>2.0408163265306123</v>
      </c>
      <c r="D953" s="73" t="s">
        <v>259</v>
      </c>
      <c r="E953" s="27" t="s">
        <v>265</v>
      </c>
      <c r="F953" s="2">
        <v>45363</v>
      </c>
      <c r="G953" t="str">
        <f t="shared" si="30"/>
        <v>Mar</v>
      </c>
      <c r="H953" t="str">
        <f t="shared" si="31"/>
        <v>2024</v>
      </c>
    </row>
    <row r="954" spans="1:8" hidden="1" x14ac:dyDescent="0.35">
      <c r="A954" t="s">
        <v>520</v>
      </c>
      <c r="B954" s="73">
        <v>500</v>
      </c>
      <c r="C954" s="73">
        <f>Balance[[#This Row],[COST]]/147</f>
        <v>3.4013605442176869</v>
      </c>
      <c r="D954" s="73" t="s">
        <v>259</v>
      </c>
      <c r="E954" s="27" t="s">
        <v>265</v>
      </c>
      <c r="F954" s="2">
        <v>45363</v>
      </c>
      <c r="G954" t="str">
        <f t="shared" si="30"/>
        <v>Mar</v>
      </c>
      <c r="H954" t="str">
        <f t="shared" si="31"/>
        <v>2024</v>
      </c>
    </row>
    <row r="955" spans="1:8" hidden="1" x14ac:dyDescent="0.35">
      <c r="A955" t="s">
        <v>517</v>
      </c>
      <c r="B955" s="1">
        <v>150</v>
      </c>
      <c r="C955" s="73">
        <f>Balance[[#This Row],[COST]]/147</f>
        <v>1.0204081632653061</v>
      </c>
      <c r="D955" s="73" t="s">
        <v>259</v>
      </c>
      <c r="E955" s="27" t="s">
        <v>265</v>
      </c>
      <c r="F955" s="2">
        <v>45363</v>
      </c>
      <c r="G955" t="str">
        <f t="shared" si="30"/>
        <v>Mar</v>
      </c>
      <c r="H955" t="str">
        <f t="shared" si="31"/>
        <v>2024</v>
      </c>
    </row>
    <row r="956" spans="1:8" hidden="1" x14ac:dyDescent="0.35">
      <c r="A956" t="s">
        <v>434</v>
      </c>
      <c r="B956" s="73">
        <v>900</v>
      </c>
      <c r="C956" s="73">
        <f>Balance[[#This Row],[COST]]/147</f>
        <v>6.1224489795918364</v>
      </c>
      <c r="D956" s="73" t="s">
        <v>259</v>
      </c>
      <c r="E956" s="27" t="s">
        <v>265</v>
      </c>
      <c r="F956" s="2">
        <v>45363</v>
      </c>
      <c r="G956" t="str">
        <f t="shared" si="30"/>
        <v>Mar</v>
      </c>
      <c r="H956" t="str">
        <f t="shared" si="31"/>
        <v>2024</v>
      </c>
    </row>
    <row r="957" spans="1:8" x14ac:dyDescent="0.35">
      <c r="A957" t="s">
        <v>519</v>
      </c>
      <c r="B957" s="73">
        <v>300</v>
      </c>
      <c r="C957" s="73">
        <f>Balance[[#This Row],[COST]]/147</f>
        <v>2.0408163265306123</v>
      </c>
      <c r="D957" s="1" t="s">
        <v>689</v>
      </c>
      <c r="E957" s="27" t="s">
        <v>275</v>
      </c>
      <c r="F957" s="2">
        <v>45364</v>
      </c>
      <c r="G957" t="str">
        <f t="shared" si="30"/>
        <v>Mar</v>
      </c>
      <c r="H957" t="str">
        <f t="shared" si="31"/>
        <v>2024</v>
      </c>
    </row>
    <row r="958" spans="1:8" hidden="1" x14ac:dyDescent="0.35">
      <c r="A958" t="s">
        <v>480</v>
      </c>
      <c r="B958" s="73">
        <v>100</v>
      </c>
      <c r="C958" s="73">
        <f>Balance[[#This Row],[COST]]/147</f>
        <v>0.68027210884353739</v>
      </c>
      <c r="D958" s="73" t="s">
        <v>259</v>
      </c>
      <c r="E958" s="27" t="s">
        <v>265</v>
      </c>
      <c r="F958" s="2">
        <v>45364</v>
      </c>
      <c r="G958" t="str">
        <f t="shared" si="30"/>
        <v>Mar</v>
      </c>
      <c r="H958" t="str">
        <f t="shared" si="31"/>
        <v>2024</v>
      </c>
    </row>
    <row r="959" spans="1:8" hidden="1" x14ac:dyDescent="0.35">
      <c r="A959" t="s">
        <v>521</v>
      </c>
      <c r="B959" s="73">
        <v>600</v>
      </c>
      <c r="C959" s="73">
        <f>Balance[[#This Row],[COST]]/147</f>
        <v>4.0816326530612246</v>
      </c>
      <c r="D959" s="73" t="s">
        <v>259</v>
      </c>
      <c r="E959" s="27" t="s">
        <v>265</v>
      </c>
      <c r="F959" s="2">
        <v>45364</v>
      </c>
      <c r="G959" t="str">
        <f t="shared" si="30"/>
        <v>Mar</v>
      </c>
      <c r="H959" t="str">
        <f t="shared" si="31"/>
        <v>2024</v>
      </c>
    </row>
    <row r="960" spans="1:8" hidden="1" x14ac:dyDescent="0.35">
      <c r="A960" t="s">
        <v>246</v>
      </c>
      <c r="B960" s="73">
        <v>750</v>
      </c>
      <c r="C960" s="73">
        <f>Balance[[#This Row],[COST]]/147</f>
        <v>5.1020408163265305</v>
      </c>
      <c r="D960" s="73" t="s">
        <v>259</v>
      </c>
      <c r="E960" s="27" t="s">
        <v>265</v>
      </c>
      <c r="F960" s="2">
        <v>45365</v>
      </c>
      <c r="G960" t="str">
        <f t="shared" si="30"/>
        <v>Mar</v>
      </c>
      <c r="H960" t="str">
        <f t="shared" si="31"/>
        <v>2024</v>
      </c>
    </row>
    <row r="961" spans="1:8" x14ac:dyDescent="0.35">
      <c r="A961" t="s">
        <v>39</v>
      </c>
      <c r="B961" s="73">
        <v>4000</v>
      </c>
      <c r="C961" s="73">
        <f>Balance[[#This Row],[COST]]/147</f>
        <v>27.210884353741495</v>
      </c>
      <c r="D961" s="1" t="s">
        <v>689</v>
      </c>
      <c r="E961" s="27" t="s">
        <v>275</v>
      </c>
      <c r="F961" s="2">
        <v>45365</v>
      </c>
      <c r="G961" t="str">
        <f t="shared" si="30"/>
        <v>Mar</v>
      </c>
      <c r="H961" t="str">
        <f t="shared" si="31"/>
        <v>2024</v>
      </c>
    </row>
    <row r="962" spans="1:8" x14ac:dyDescent="0.35">
      <c r="A962" t="s">
        <v>40</v>
      </c>
      <c r="B962" s="73">
        <v>600</v>
      </c>
      <c r="C962" s="73">
        <f>Balance[[#This Row],[COST]]/147</f>
        <v>4.0816326530612246</v>
      </c>
      <c r="D962" s="1" t="s">
        <v>689</v>
      </c>
      <c r="E962" s="27" t="s">
        <v>275</v>
      </c>
      <c r="F962" s="2">
        <v>45365</v>
      </c>
      <c r="G962" t="str">
        <f t="shared" si="30"/>
        <v>Mar</v>
      </c>
      <c r="H962" t="str">
        <f t="shared" si="31"/>
        <v>2024</v>
      </c>
    </row>
    <row r="963" spans="1:8" hidden="1" x14ac:dyDescent="0.35">
      <c r="A963" t="s">
        <v>511</v>
      </c>
      <c r="B963" s="73">
        <v>900</v>
      </c>
      <c r="C963" s="73">
        <f>Balance[[#This Row],[COST]]/147</f>
        <v>6.1224489795918364</v>
      </c>
      <c r="D963" s="73" t="s">
        <v>259</v>
      </c>
      <c r="E963" s="27" t="s">
        <v>265</v>
      </c>
      <c r="F963" s="2">
        <v>45366</v>
      </c>
      <c r="G963" t="str">
        <f t="shared" si="30"/>
        <v>Mar</v>
      </c>
      <c r="H963" t="str">
        <f t="shared" si="31"/>
        <v>2024</v>
      </c>
    </row>
    <row r="964" spans="1:8" hidden="1" x14ac:dyDescent="0.35">
      <c r="A964" t="s">
        <v>497</v>
      </c>
      <c r="B964" s="73">
        <v>250</v>
      </c>
      <c r="C964" s="73">
        <f>Balance[[#This Row],[COST]]/147</f>
        <v>1.7006802721088434</v>
      </c>
      <c r="D964" s="73" t="s">
        <v>259</v>
      </c>
      <c r="E964" s="27" t="s">
        <v>265</v>
      </c>
      <c r="F964" s="2">
        <v>45366</v>
      </c>
      <c r="G964" t="str">
        <f t="shared" si="30"/>
        <v>Mar</v>
      </c>
      <c r="H964" t="str">
        <f t="shared" si="31"/>
        <v>2024</v>
      </c>
    </row>
    <row r="965" spans="1:8" hidden="1" x14ac:dyDescent="0.35">
      <c r="A965" t="s">
        <v>229</v>
      </c>
      <c r="B965" s="73">
        <f>Balance[[#This Row],[Cost USD]]*157</f>
        <v>940.43000000000006</v>
      </c>
      <c r="C965" s="73">
        <v>5.99</v>
      </c>
      <c r="D965" s="1" t="s">
        <v>259</v>
      </c>
      <c r="E965" s="27" t="s">
        <v>267</v>
      </c>
      <c r="F965" s="2">
        <v>45366</v>
      </c>
      <c r="G965" t="str">
        <f t="shared" si="30"/>
        <v>Mar</v>
      </c>
      <c r="H965" t="str">
        <f t="shared" si="31"/>
        <v>2024</v>
      </c>
    </row>
    <row r="966" spans="1:8" hidden="1" x14ac:dyDescent="0.35">
      <c r="A966" t="s">
        <v>249</v>
      </c>
      <c r="B966" s="73">
        <f>Balance[[#This Row],[Cost USD]]*157</f>
        <v>4317.5</v>
      </c>
      <c r="C966" s="73">
        <v>27.5</v>
      </c>
      <c r="D966" s="1" t="s">
        <v>261</v>
      </c>
      <c r="E966" s="27" t="s">
        <v>514</v>
      </c>
      <c r="F966" s="2">
        <v>45366</v>
      </c>
      <c r="G966" t="str">
        <f t="shared" si="30"/>
        <v>Mar</v>
      </c>
      <c r="H966" t="str">
        <f t="shared" si="31"/>
        <v>2024</v>
      </c>
    </row>
    <row r="967" spans="1:8" hidden="1" x14ac:dyDescent="0.35">
      <c r="A967" t="s">
        <v>522</v>
      </c>
      <c r="B967" s="73">
        <f>Balance[[#This Row],[Cost USD]]*157</f>
        <v>9106</v>
      </c>
      <c r="C967" s="73">
        <v>58</v>
      </c>
      <c r="D967" s="1" t="s">
        <v>260</v>
      </c>
      <c r="E967" s="27" t="s">
        <v>273</v>
      </c>
      <c r="F967" s="2">
        <v>45366</v>
      </c>
      <c r="G967" t="str">
        <f t="shared" si="30"/>
        <v>Mar</v>
      </c>
      <c r="H967" t="str">
        <f t="shared" si="31"/>
        <v>2024</v>
      </c>
    </row>
    <row r="968" spans="1:8" hidden="1" x14ac:dyDescent="0.35">
      <c r="A968" t="s">
        <v>298</v>
      </c>
      <c r="B968" s="73">
        <v>1000</v>
      </c>
      <c r="C968" s="73">
        <f>Balance[[#This Row],[COST]]/147</f>
        <v>6.8027210884353737</v>
      </c>
      <c r="D968" s="73" t="s">
        <v>259</v>
      </c>
      <c r="E968" s="27" t="s">
        <v>265</v>
      </c>
      <c r="F968" s="2">
        <v>45367</v>
      </c>
      <c r="G968" t="str">
        <f t="shared" si="30"/>
        <v>Mar</v>
      </c>
      <c r="H968" t="str">
        <f t="shared" si="31"/>
        <v>2024</v>
      </c>
    </row>
    <row r="969" spans="1:8" hidden="1" x14ac:dyDescent="0.35">
      <c r="A969" t="s">
        <v>183</v>
      </c>
      <c r="B969" s="73">
        <v>3000</v>
      </c>
      <c r="C969" s="73">
        <f>Balance[[#This Row],[COST]]/147</f>
        <v>20.408163265306122</v>
      </c>
      <c r="D969" s="1" t="s">
        <v>259</v>
      </c>
      <c r="E969" s="27" t="s">
        <v>4</v>
      </c>
      <c r="F969" s="2">
        <v>45367</v>
      </c>
      <c r="G969" t="str">
        <f t="shared" si="30"/>
        <v>Mar</v>
      </c>
      <c r="H969" t="str">
        <f t="shared" si="31"/>
        <v>2024</v>
      </c>
    </row>
    <row r="970" spans="1:8" hidden="1" x14ac:dyDescent="0.35">
      <c r="A970" t="s">
        <v>523</v>
      </c>
      <c r="B970" s="73">
        <v>1700</v>
      </c>
      <c r="C970" s="73">
        <f>Balance[[#This Row],[COST]]/147</f>
        <v>11.564625850340136</v>
      </c>
      <c r="D970" s="1" t="s">
        <v>259</v>
      </c>
      <c r="E970" s="27" t="s">
        <v>4</v>
      </c>
      <c r="F970" s="2">
        <v>45367</v>
      </c>
      <c r="G970" t="str">
        <f t="shared" si="30"/>
        <v>Mar</v>
      </c>
      <c r="H970" t="str">
        <f t="shared" si="31"/>
        <v>2024</v>
      </c>
    </row>
    <row r="971" spans="1:8" hidden="1" x14ac:dyDescent="0.35">
      <c r="A971" t="s">
        <v>523</v>
      </c>
      <c r="B971" s="73">
        <v>1300</v>
      </c>
      <c r="C971" s="73">
        <f>Balance[[#This Row],[COST]]/147</f>
        <v>8.8435374149659864</v>
      </c>
      <c r="D971" s="1" t="s">
        <v>259</v>
      </c>
      <c r="E971" s="27" t="s">
        <v>4</v>
      </c>
      <c r="F971" s="2">
        <v>45367</v>
      </c>
      <c r="G971" t="str">
        <f t="shared" si="30"/>
        <v>Mar</v>
      </c>
      <c r="H971" t="str">
        <f t="shared" si="31"/>
        <v>2024</v>
      </c>
    </row>
    <row r="972" spans="1:8" hidden="1" x14ac:dyDescent="0.35">
      <c r="A972" t="s">
        <v>114</v>
      </c>
      <c r="B972" s="73">
        <v>1050</v>
      </c>
      <c r="C972" s="73">
        <f>Balance[[#This Row],[COST]]/147</f>
        <v>7.1428571428571432</v>
      </c>
      <c r="D972" s="73" t="s">
        <v>259</v>
      </c>
      <c r="E972" s="27" t="s">
        <v>265</v>
      </c>
      <c r="F972" s="2">
        <v>45368</v>
      </c>
      <c r="G972" t="str">
        <f t="shared" si="30"/>
        <v>Mar</v>
      </c>
      <c r="H972" t="str">
        <f t="shared" si="31"/>
        <v>2024</v>
      </c>
    </row>
    <row r="973" spans="1:8" hidden="1" x14ac:dyDescent="0.35">
      <c r="A973" t="s">
        <v>518</v>
      </c>
      <c r="B973" s="73">
        <f>Balance[[#This Row],[Cost USD]]*147</f>
        <v>1323</v>
      </c>
      <c r="C973" s="73">
        <v>9</v>
      </c>
      <c r="D973" s="1" t="s">
        <v>259</v>
      </c>
      <c r="E973" s="27" t="s">
        <v>267</v>
      </c>
      <c r="F973" s="2">
        <v>45368</v>
      </c>
      <c r="G973" t="str">
        <f t="shared" si="30"/>
        <v>Mar</v>
      </c>
      <c r="H973" t="str">
        <f t="shared" si="31"/>
        <v>2024</v>
      </c>
    </row>
    <row r="974" spans="1:8" hidden="1" x14ac:dyDescent="0.35">
      <c r="A974" t="s">
        <v>221</v>
      </c>
      <c r="B974" s="73">
        <f>Balance[[#This Row],[Cost USD]]*147</f>
        <v>882</v>
      </c>
      <c r="C974" s="73">
        <v>6</v>
      </c>
      <c r="D974" s="1" t="s">
        <v>259</v>
      </c>
      <c r="E974" s="27" t="s">
        <v>267</v>
      </c>
      <c r="F974" s="2">
        <v>45368</v>
      </c>
      <c r="G974" t="str">
        <f t="shared" si="30"/>
        <v>Mar</v>
      </c>
      <c r="H974" t="str">
        <f t="shared" si="31"/>
        <v>2024</v>
      </c>
    </row>
    <row r="975" spans="1:8" x14ac:dyDescent="0.35">
      <c r="A975" t="s">
        <v>244</v>
      </c>
      <c r="B975" s="73">
        <f>Balance[[#This Row],[Cost USD]]*147</f>
        <v>3528</v>
      </c>
      <c r="C975" s="73">
        <v>24</v>
      </c>
      <c r="D975" s="1" t="s">
        <v>689</v>
      </c>
      <c r="E975" s="27" t="s">
        <v>275</v>
      </c>
      <c r="F975" s="2">
        <v>45368</v>
      </c>
      <c r="G975" t="str">
        <f t="shared" si="30"/>
        <v>Mar</v>
      </c>
      <c r="H975" t="str">
        <f t="shared" si="31"/>
        <v>2024</v>
      </c>
    </row>
    <row r="976" spans="1:8" hidden="1" x14ac:dyDescent="0.35">
      <c r="A976" t="s">
        <v>298</v>
      </c>
      <c r="B976" s="73">
        <v>1000</v>
      </c>
      <c r="C976" s="73">
        <f>Balance[[#This Row],[COST]]/147</f>
        <v>6.8027210884353737</v>
      </c>
      <c r="D976" s="73" t="s">
        <v>259</v>
      </c>
      <c r="E976" s="27" t="s">
        <v>265</v>
      </c>
      <c r="F976" s="2">
        <v>45369</v>
      </c>
      <c r="G976" t="str">
        <f t="shared" si="30"/>
        <v>Mar</v>
      </c>
      <c r="H976" t="str">
        <f t="shared" si="31"/>
        <v>2024</v>
      </c>
    </row>
    <row r="977" spans="1:8" hidden="1" x14ac:dyDescent="0.35">
      <c r="A977" t="s">
        <v>302</v>
      </c>
      <c r="B977" s="73">
        <v>950</v>
      </c>
      <c r="C977" s="73">
        <f>Balance[[#This Row],[COST]]/147</f>
        <v>6.4625850340136051</v>
      </c>
      <c r="D977" s="73" t="s">
        <v>259</v>
      </c>
      <c r="E977" s="27" t="s">
        <v>265</v>
      </c>
      <c r="F977" s="2">
        <v>45369</v>
      </c>
      <c r="G977" t="str">
        <f t="shared" si="30"/>
        <v>Mar</v>
      </c>
      <c r="H977" t="str">
        <f t="shared" si="31"/>
        <v>2024</v>
      </c>
    </row>
    <row r="978" spans="1:8" hidden="1" x14ac:dyDescent="0.35">
      <c r="A978" t="s">
        <v>511</v>
      </c>
      <c r="B978" s="73">
        <v>900</v>
      </c>
      <c r="C978" s="73">
        <f>Balance[[#This Row],[COST]]/147</f>
        <v>6.1224489795918364</v>
      </c>
      <c r="D978" s="73" t="s">
        <v>259</v>
      </c>
      <c r="E978" s="27" t="s">
        <v>265</v>
      </c>
      <c r="F978" s="2">
        <v>45370</v>
      </c>
      <c r="G978" t="str">
        <f t="shared" si="30"/>
        <v>Mar</v>
      </c>
      <c r="H978" t="str">
        <f t="shared" si="31"/>
        <v>2024</v>
      </c>
    </row>
    <row r="979" spans="1:8" x14ac:dyDescent="0.35">
      <c r="A979" t="s">
        <v>425</v>
      </c>
      <c r="B979" s="73">
        <v>1900</v>
      </c>
      <c r="C979" s="73">
        <f>Balance[[#This Row],[COST]]/147</f>
        <v>12.92517006802721</v>
      </c>
      <c r="D979" s="1" t="s">
        <v>689</v>
      </c>
      <c r="E979" s="27" t="s">
        <v>275</v>
      </c>
      <c r="F979" s="2">
        <v>45371</v>
      </c>
      <c r="G979" t="str">
        <f t="shared" si="30"/>
        <v>Mar</v>
      </c>
      <c r="H979" t="str">
        <f t="shared" si="31"/>
        <v>2024</v>
      </c>
    </row>
    <row r="980" spans="1:8" hidden="1" x14ac:dyDescent="0.35">
      <c r="A980" t="s">
        <v>476</v>
      </c>
      <c r="B980" s="73">
        <v>3000</v>
      </c>
      <c r="C980" s="73">
        <f>Balance[[#This Row],[COST]]/147</f>
        <v>20.408163265306122</v>
      </c>
      <c r="D980" s="1" t="s">
        <v>259</v>
      </c>
      <c r="E980" s="27" t="s">
        <v>268</v>
      </c>
      <c r="F980" s="2">
        <v>45371</v>
      </c>
      <c r="G980" t="str">
        <f t="shared" si="30"/>
        <v>Mar</v>
      </c>
      <c r="H980" t="str">
        <f t="shared" si="31"/>
        <v>2024</v>
      </c>
    </row>
    <row r="981" spans="1:8" x14ac:dyDescent="0.35">
      <c r="A981" t="s">
        <v>457</v>
      </c>
      <c r="B981" s="73">
        <v>3000</v>
      </c>
      <c r="C981" s="73">
        <f>Balance[[#This Row],[COST]]/147</f>
        <v>20.408163265306122</v>
      </c>
      <c r="D981" s="1" t="s">
        <v>689</v>
      </c>
      <c r="E981" s="27" t="s">
        <v>275</v>
      </c>
      <c r="F981" s="2">
        <v>45371</v>
      </c>
      <c r="G981" t="str">
        <f t="shared" si="30"/>
        <v>Mar</v>
      </c>
      <c r="H981" t="str">
        <f t="shared" si="31"/>
        <v>2024</v>
      </c>
    </row>
    <row r="982" spans="1:8" x14ac:dyDescent="0.35">
      <c r="A982" t="s">
        <v>425</v>
      </c>
      <c r="B982" s="73">
        <v>1050</v>
      </c>
      <c r="C982" s="73">
        <f>Balance[[#This Row],[COST]]/147</f>
        <v>7.1428571428571432</v>
      </c>
      <c r="D982" s="1" t="s">
        <v>689</v>
      </c>
      <c r="E982" s="27" t="s">
        <v>275</v>
      </c>
      <c r="F982" s="2">
        <v>45372</v>
      </c>
      <c r="G982" t="str">
        <f t="shared" si="30"/>
        <v>Mar</v>
      </c>
      <c r="H982" t="str">
        <f t="shared" si="31"/>
        <v>2024</v>
      </c>
    </row>
    <row r="983" spans="1:8" hidden="1" x14ac:dyDescent="0.35">
      <c r="A983" t="s">
        <v>369</v>
      </c>
      <c r="B983" s="73">
        <v>6400</v>
      </c>
      <c r="C983" s="73">
        <f>Balance[[#This Row],[COST]]/147</f>
        <v>43.537414965986393</v>
      </c>
      <c r="D983" s="1" t="s">
        <v>259</v>
      </c>
      <c r="E983" s="27" t="s">
        <v>267</v>
      </c>
      <c r="F983" s="2">
        <v>45372</v>
      </c>
      <c r="G983" t="str">
        <f t="shared" si="30"/>
        <v>Mar</v>
      </c>
      <c r="H983" t="str">
        <f t="shared" si="31"/>
        <v>2024</v>
      </c>
    </row>
    <row r="984" spans="1:8" hidden="1" x14ac:dyDescent="0.35">
      <c r="A984" t="s">
        <v>283</v>
      </c>
      <c r="B984" s="73">
        <v>57040</v>
      </c>
      <c r="C984" s="73">
        <f>Balance[[#This Row],[COST]]/147</f>
        <v>388.02721088435374</v>
      </c>
      <c r="D984" s="73" t="s">
        <v>15</v>
      </c>
      <c r="E984" s="27" t="s">
        <v>269</v>
      </c>
      <c r="F984" s="2">
        <v>45372</v>
      </c>
      <c r="G984" t="str">
        <f t="shared" si="30"/>
        <v>Mar</v>
      </c>
      <c r="H984" t="str">
        <f t="shared" si="31"/>
        <v>2024</v>
      </c>
    </row>
    <row r="985" spans="1:8" hidden="1" x14ac:dyDescent="0.35">
      <c r="A985" t="s">
        <v>49</v>
      </c>
      <c r="B985" s="73">
        <v>25000</v>
      </c>
      <c r="C985" s="73">
        <f>Balance[[#This Row],[COST]]/147</f>
        <v>170.06802721088437</v>
      </c>
      <c r="D985" s="1" t="s">
        <v>263</v>
      </c>
      <c r="E985" s="27" t="s">
        <v>274</v>
      </c>
      <c r="F985" s="2">
        <v>45372</v>
      </c>
      <c r="G985" t="str">
        <f t="shared" si="30"/>
        <v>Mar</v>
      </c>
      <c r="H985" t="str">
        <f t="shared" si="31"/>
        <v>2024</v>
      </c>
    </row>
    <row r="986" spans="1:8" hidden="1" x14ac:dyDescent="0.35">
      <c r="A986" t="s">
        <v>517</v>
      </c>
      <c r="B986" s="73">
        <v>130</v>
      </c>
      <c r="C986" s="73">
        <f>Balance[[#This Row],[COST]]/147</f>
        <v>0.88435374149659862</v>
      </c>
      <c r="D986" s="73" t="s">
        <v>259</v>
      </c>
      <c r="E986" s="27" t="s">
        <v>265</v>
      </c>
      <c r="F986" s="2">
        <v>45373</v>
      </c>
      <c r="G986" t="str">
        <f t="shared" si="30"/>
        <v>Mar</v>
      </c>
      <c r="H986" t="str">
        <f t="shared" si="31"/>
        <v>2024</v>
      </c>
    </row>
    <row r="987" spans="1:8" x14ac:dyDescent="0.35">
      <c r="A987" t="s">
        <v>524</v>
      </c>
      <c r="B987" s="73">
        <v>670</v>
      </c>
      <c r="C987" s="73">
        <f>Balance[[#This Row],[COST]]/147</f>
        <v>4.5578231292517009</v>
      </c>
      <c r="D987" s="1" t="s">
        <v>689</v>
      </c>
      <c r="E987" s="27" t="s">
        <v>275</v>
      </c>
      <c r="F987" s="2">
        <v>45373</v>
      </c>
      <c r="G987" t="str">
        <f t="shared" si="30"/>
        <v>Mar</v>
      </c>
      <c r="H987" t="str">
        <f t="shared" si="31"/>
        <v>2024</v>
      </c>
    </row>
    <row r="988" spans="1:8" x14ac:dyDescent="0.35">
      <c r="A988" t="s">
        <v>524</v>
      </c>
      <c r="B988" s="73">
        <v>670</v>
      </c>
      <c r="C988" s="73">
        <f>Balance[[#This Row],[COST]]/147</f>
        <v>4.5578231292517009</v>
      </c>
      <c r="D988" s="1" t="s">
        <v>689</v>
      </c>
      <c r="E988" s="27" t="s">
        <v>275</v>
      </c>
      <c r="F988" s="2">
        <v>45373</v>
      </c>
      <c r="G988" t="str">
        <f t="shared" si="30"/>
        <v>Mar</v>
      </c>
      <c r="H988" t="str">
        <f t="shared" si="31"/>
        <v>2024</v>
      </c>
    </row>
    <row r="989" spans="1:8" x14ac:dyDescent="0.35">
      <c r="A989" t="s">
        <v>524</v>
      </c>
      <c r="B989" s="73">
        <v>670</v>
      </c>
      <c r="C989" s="73">
        <f>Balance[[#This Row],[COST]]/147</f>
        <v>4.5578231292517009</v>
      </c>
      <c r="D989" s="1" t="s">
        <v>689</v>
      </c>
      <c r="E989" s="27" t="s">
        <v>275</v>
      </c>
      <c r="F989" s="2">
        <v>45373</v>
      </c>
      <c r="G989" t="str">
        <f t="shared" si="30"/>
        <v>Mar</v>
      </c>
      <c r="H989" t="str">
        <f t="shared" si="31"/>
        <v>2024</v>
      </c>
    </row>
    <row r="990" spans="1:8" x14ac:dyDescent="0.35">
      <c r="A990" t="s">
        <v>39</v>
      </c>
      <c r="B990" s="73">
        <v>2500</v>
      </c>
      <c r="C990" s="73">
        <f>Balance[[#This Row],[COST]]/147</f>
        <v>17.006802721088434</v>
      </c>
      <c r="D990" s="1" t="s">
        <v>689</v>
      </c>
      <c r="E990" s="27" t="s">
        <v>275</v>
      </c>
      <c r="F990" s="2">
        <v>45373</v>
      </c>
      <c r="G990" t="str">
        <f t="shared" si="30"/>
        <v>Mar</v>
      </c>
      <c r="H990" t="str">
        <f t="shared" si="31"/>
        <v>2024</v>
      </c>
    </row>
    <row r="991" spans="1:8" x14ac:dyDescent="0.35">
      <c r="A991" t="s">
        <v>40</v>
      </c>
      <c r="B991" s="73">
        <v>4500</v>
      </c>
      <c r="C991" s="73">
        <f>Balance[[#This Row],[COST]]/147</f>
        <v>30.612244897959183</v>
      </c>
      <c r="D991" s="1" t="s">
        <v>689</v>
      </c>
      <c r="E991" s="27" t="s">
        <v>275</v>
      </c>
      <c r="F991" s="2">
        <v>45373</v>
      </c>
      <c r="G991" t="str">
        <f t="shared" ref="G991:G1054" si="32">TEXT(F991,"mmm")</f>
        <v>Mar</v>
      </c>
      <c r="H991" t="str">
        <f t="shared" ref="H991:H1054" si="33">TEXT(F991,"yyy")</f>
        <v>2024</v>
      </c>
    </row>
    <row r="992" spans="1:8" hidden="1" x14ac:dyDescent="0.35">
      <c r="A992" t="s">
        <v>511</v>
      </c>
      <c r="B992" s="73">
        <v>850</v>
      </c>
      <c r="C992" s="73">
        <f>Balance[[#This Row],[COST]]/147</f>
        <v>5.7823129251700678</v>
      </c>
      <c r="D992" s="73" t="s">
        <v>259</v>
      </c>
      <c r="E992" s="27" t="s">
        <v>265</v>
      </c>
      <c r="F992" s="2">
        <v>45373</v>
      </c>
      <c r="G992" t="str">
        <f t="shared" si="32"/>
        <v>Mar</v>
      </c>
      <c r="H992" t="str">
        <f t="shared" si="33"/>
        <v>2024</v>
      </c>
    </row>
    <row r="993" spans="1:8" hidden="1" x14ac:dyDescent="0.35">
      <c r="A993" t="s">
        <v>314</v>
      </c>
      <c r="B993" s="73">
        <f>Balance[[#This Row],[Cost USD]]*147</f>
        <v>5878.5300000000007</v>
      </c>
      <c r="C993" s="73">
        <v>39.99</v>
      </c>
      <c r="D993" s="1" t="s">
        <v>260</v>
      </c>
      <c r="E993" s="27" t="s">
        <v>273</v>
      </c>
      <c r="F993" s="2">
        <v>45373</v>
      </c>
      <c r="G993" t="str">
        <f t="shared" si="32"/>
        <v>Mar</v>
      </c>
      <c r="H993" t="str">
        <f t="shared" si="33"/>
        <v>2024</v>
      </c>
    </row>
    <row r="994" spans="1:8" hidden="1" x14ac:dyDescent="0.35">
      <c r="A994" t="s">
        <v>302</v>
      </c>
      <c r="B994" s="73">
        <v>960</v>
      </c>
      <c r="C994" s="73">
        <f>Balance[[#This Row],[COST]]/147</f>
        <v>6.5306122448979593</v>
      </c>
      <c r="D994" s="73" t="s">
        <v>259</v>
      </c>
      <c r="E994" s="27" t="s">
        <v>265</v>
      </c>
      <c r="F994" s="2">
        <v>45373</v>
      </c>
      <c r="G994" t="str">
        <f t="shared" si="32"/>
        <v>Mar</v>
      </c>
      <c r="H994" t="str">
        <f t="shared" si="33"/>
        <v>2024</v>
      </c>
    </row>
    <row r="995" spans="1:8" hidden="1" x14ac:dyDescent="0.35">
      <c r="A995" t="s">
        <v>183</v>
      </c>
      <c r="B995" s="73">
        <v>3000</v>
      </c>
      <c r="C995" s="73">
        <f>Balance[[#This Row],[COST]]/147</f>
        <v>20.408163265306122</v>
      </c>
      <c r="D995" s="1" t="s">
        <v>259</v>
      </c>
      <c r="E995" s="27" t="s">
        <v>4</v>
      </c>
      <c r="F995" s="2">
        <v>45374</v>
      </c>
      <c r="G995" t="str">
        <f t="shared" si="32"/>
        <v>Mar</v>
      </c>
      <c r="H995" t="str">
        <f t="shared" si="33"/>
        <v>2024</v>
      </c>
    </row>
    <row r="996" spans="1:8" x14ac:dyDescent="0.35">
      <c r="A996" t="s">
        <v>463</v>
      </c>
      <c r="B996" s="73">
        <v>600</v>
      </c>
      <c r="C996" s="73">
        <f>Balance[[#This Row],[COST]]/147</f>
        <v>4.0816326530612246</v>
      </c>
      <c r="D996" s="1" t="s">
        <v>689</v>
      </c>
      <c r="E996" s="27" t="s">
        <v>275</v>
      </c>
      <c r="F996" s="2">
        <v>45374</v>
      </c>
      <c r="G996" t="str">
        <f t="shared" si="32"/>
        <v>Mar</v>
      </c>
      <c r="H996" t="str">
        <f t="shared" si="33"/>
        <v>2024</v>
      </c>
    </row>
    <row r="997" spans="1:8" x14ac:dyDescent="0.35">
      <c r="A997" t="s">
        <v>464</v>
      </c>
      <c r="B997" s="73">
        <v>300</v>
      </c>
      <c r="C997" s="73">
        <f>Balance[[#This Row],[COST]]/147</f>
        <v>2.0408163265306123</v>
      </c>
      <c r="D997" s="1" t="s">
        <v>689</v>
      </c>
      <c r="E997" s="27" t="s">
        <v>275</v>
      </c>
      <c r="F997" s="2">
        <v>45374</v>
      </c>
      <c r="G997" t="str">
        <f t="shared" si="32"/>
        <v>Mar</v>
      </c>
      <c r="H997" t="str">
        <f t="shared" si="33"/>
        <v>2024</v>
      </c>
    </row>
    <row r="998" spans="1:8" x14ac:dyDescent="0.35">
      <c r="A998" t="s">
        <v>469</v>
      </c>
      <c r="B998" s="73">
        <v>300</v>
      </c>
      <c r="C998" s="73">
        <f>Balance[[#This Row],[COST]]/147</f>
        <v>2.0408163265306123</v>
      </c>
      <c r="D998" s="1" t="s">
        <v>689</v>
      </c>
      <c r="E998" s="27" t="s">
        <v>275</v>
      </c>
      <c r="F998" s="2">
        <v>45374</v>
      </c>
      <c r="G998" t="str">
        <f t="shared" si="32"/>
        <v>Mar</v>
      </c>
      <c r="H998" t="str">
        <f t="shared" si="33"/>
        <v>2024</v>
      </c>
    </row>
    <row r="999" spans="1:8" x14ac:dyDescent="0.35">
      <c r="A999" t="s">
        <v>465</v>
      </c>
      <c r="B999" s="73">
        <v>300</v>
      </c>
      <c r="C999" s="73">
        <f>Balance[[#This Row],[COST]]/147</f>
        <v>2.0408163265306123</v>
      </c>
      <c r="D999" s="1" t="s">
        <v>689</v>
      </c>
      <c r="E999" s="27" t="s">
        <v>275</v>
      </c>
      <c r="F999" s="2">
        <v>45374</v>
      </c>
      <c r="G999" t="str">
        <f t="shared" si="32"/>
        <v>Mar</v>
      </c>
      <c r="H999" t="str">
        <f t="shared" si="33"/>
        <v>2024</v>
      </c>
    </row>
    <row r="1000" spans="1:8" x14ac:dyDescent="0.35">
      <c r="A1000" t="s">
        <v>494</v>
      </c>
      <c r="B1000" s="73">
        <v>600</v>
      </c>
      <c r="C1000" s="73">
        <f>Balance[[#This Row],[COST]]/147</f>
        <v>4.0816326530612246</v>
      </c>
      <c r="D1000" s="1" t="s">
        <v>689</v>
      </c>
      <c r="E1000" s="27" t="s">
        <v>275</v>
      </c>
      <c r="F1000" s="2">
        <v>45374</v>
      </c>
      <c r="G1000" t="str">
        <f t="shared" si="32"/>
        <v>Mar</v>
      </c>
      <c r="H1000" t="str">
        <f t="shared" si="33"/>
        <v>2024</v>
      </c>
    </row>
    <row r="1001" spans="1:8" x14ac:dyDescent="0.35">
      <c r="A1001" t="s">
        <v>525</v>
      </c>
      <c r="B1001" s="73">
        <v>300</v>
      </c>
      <c r="C1001" s="73">
        <f>Balance[[#This Row],[COST]]/147</f>
        <v>2.0408163265306123</v>
      </c>
      <c r="D1001" s="1" t="s">
        <v>689</v>
      </c>
      <c r="E1001" s="27" t="s">
        <v>275</v>
      </c>
      <c r="F1001" s="2">
        <v>45374</v>
      </c>
      <c r="G1001" t="str">
        <f t="shared" si="32"/>
        <v>Mar</v>
      </c>
      <c r="H1001" t="str">
        <f t="shared" si="33"/>
        <v>2024</v>
      </c>
    </row>
    <row r="1002" spans="1:8" x14ac:dyDescent="0.35">
      <c r="A1002" t="s">
        <v>471</v>
      </c>
      <c r="B1002" s="73">
        <v>480</v>
      </c>
      <c r="C1002" s="73">
        <f>Balance[[#This Row],[COST]]/147</f>
        <v>3.2653061224489797</v>
      </c>
      <c r="D1002" s="1" t="s">
        <v>689</v>
      </c>
      <c r="E1002" s="27" t="s">
        <v>275</v>
      </c>
      <c r="F1002" s="2">
        <v>45374</v>
      </c>
      <c r="G1002" t="str">
        <f t="shared" si="32"/>
        <v>Mar</v>
      </c>
      <c r="H1002" t="str">
        <f t="shared" si="33"/>
        <v>2024</v>
      </c>
    </row>
    <row r="1003" spans="1:8" x14ac:dyDescent="0.35">
      <c r="A1003" t="s">
        <v>526</v>
      </c>
      <c r="B1003" s="73">
        <v>150</v>
      </c>
      <c r="C1003" s="73">
        <f>Balance[[#This Row],[COST]]/147</f>
        <v>1.0204081632653061</v>
      </c>
      <c r="D1003" s="1" t="s">
        <v>689</v>
      </c>
      <c r="E1003" s="27" t="s">
        <v>275</v>
      </c>
      <c r="F1003" s="2">
        <v>45374</v>
      </c>
      <c r="G1003" t="str">
        <f t="shared" si="32"/>
        <v>Mar</v>
      </c>
      <c r="H1003" t="str">
        <f t="shared" si="33"/>
        <v>2024</v>
      </c>
    </row>
    <row r="1004" spans="1:8" x14ac:dyDescent="0.35">
      <c r="A1004" t="s">
        <v>475</v>
      </c>
      <c r="B1004" s="73">
        <v>800</v>
      </c>
      <c r="C1004" s="73">
        <f>Balance[[#This Row],[COST]]/147</f>
        <v>5.4421768707482991</v>
      </c>
      <c r="D1004" s="1" t="s">
        <v>689</v>
      </c>
      <c r="E1004" s="27" t="s">
        <v>275</v>
      </c>
      <c r="F1004" s="2">
        <v>45374</v>
      </c>
      <c r="G1004" t="str">
        <f t="shared" si="32"/>
        <v>Mar</v>
      </c>
      <c r="H1004" t="str">
        <f t="shared" si="33"/>
        <v>2024</v>
      </c>
    </row>
    <row r="1005" spans="1:8" hidden="1" x14ac:dyDescent="0.35">
      <c r="A1005" t="s">
        <v>202</v>
      </c>
      <c r="B1005" s="73">
        <v>600</v>
      </c>
      <c r="C1005" s="73">
        <f>Balance[[#This Row],[COST]]/147</f>
        <v>4.0816326530612246</v>
      </c>
      <c r="D1005" s="73" t="s">
        <v>259</v>
      </c>
      <c r="E1005" s="27" t="s">
        <v>265</v>
      </c>
      <c r="F1005" s="2">
        <v>45374</v>
      </c>
      <c r="G1005" t="str">
        <f t="shared" si="32"/>
        <v>Mar</v>
      </c>
      <c r="H1005" t="str">
        <f t="shared" si="33"/>
        <v>2024</v>
      </c>
    </row>
    <row r="1006" spans="1:8" hidden="1" x14ac:dyDescent="0.35">
      <c r="A1006" t="s">
        <v>242</v>
      </c>
      <c r="B1006" s="73">
        <v>960</v>
      </c>
      <c r="C1006" s="73">
        <f>Balance[[#This Row],[COST]]/147</f>
        <v>6.5306122448979593</v>
      </c>
      <c r="D1006" s="1" t="s">
        <v>259</v>
      </c>
      <c r="E1006" s="27" t="s">
        <v>265</v>
      </c>
      <c r="F1006" s="2">
        <v>45374</v>
      </c>
      <c r="G1006" t="str">
        <f t="shared" si="32"/>
        <v>Mar</v>
      </c>
      <c r="H1006" t="str">
        <f t="shared" si="33"/>
        <v>2024</v>
      </c>
    </row>
    <row r="1007" spans="1:8" hidden="1" x14ac:dyDescent="0.35">
      <c r="A1007" t="s">
        <v>114</v>
      </c>
      <c r="B1007" s="73">
        <v>1610</v>
      </c>
      <c r="C1007" s="73">
        <f>Balance[[#This Row],[COST]]/147</f>
        <v>10.952380952380953</v>
      </c>
      <c r="D1007" s="1" t="s">
        <v>259</v>
      </c>
      <c r="E1007" s="27" t="s">
        <v>265</v>
      </c>
      <c r="F1007" s="2">
        <v>45376</v>
      </c>
      <c r="G1007" t="str">
        <f t="shared" si="32"/>
        <v>Mar</v>
      </c>
      <c r="H1007" t="str">
        <f t="shared" si="33"/>
        <v>2024</v>
      </c>
    </row>
    <row r="1008" spans="1:8" x14ac:dyDescent="0.35">
      <c r="A1008" t="s">
        <v>527</v>
      </c>
      <c r="B1008" s="73">
        <v>4800</v>
      </c>
      <c r="C1008" s="73">
        <f>Balance[[#This Row],[COST]]/147</f>
        <v>32.653061224489797</v>
      </c>
      <c r="D1008" s="1" t="s">
        <v>689</v>
      </c>
      <c r="E1008" s="27" t="s">
        <v>275</v>
      </c>
      <c r="F1008" s="2">
        <v>45377</v>
      </c>
      <c r="G1008" t="str">
        <f t="shared" si="32"/>
        <v>Mar</v>
      </c>
      <c r="H1008" t="str">
        <f t="shared" si="33"/>
        <v>2024</v>
      </c>
    </row>
    <row r="1009" spans="1:8" x14ac:dyDescent="0.35">
      <c r="A1009" t="s">
        <v>528</v>
      </c>
      <c r="B1009" s="73">
        <v>2000</v>
      </c>
      <c r="C1009" s="73">
        <f>Balance[[#This Row],[COST]]/147</f>
        <v>13.605442176870747</v>
      </c>
      <c r="D1009" s="1" t="s">
        <v>689</v>
      </c>
      <c r="E1009" s="27" t="s">
        <v>275</v>
      </c>
      <c r="F1009" s="2">
        <v>45377</v>
      </c>
      <c r="G1009" t="str">
        <f t="shared" si="32"/>
        <v>Mar</v>
      </c>
      <c r="H1009" t="str">
        <f t="shared" si="33"/>
        <v>2024</v>
      </c>
    </row>
    <row r="1010" spans="1:8" hidden="1" x14ac:dyDescent="0.35">
      <c r="A1010" t="s">
        <v>490</v>
      </c>
      <c r="B1010" s="73">
        <v>950</v>
      </c>
      <c r="C1010" s="73">
        <f>Balance[[#This Row],[COST]]/147</f>
        <v>6.4625850340136051</v>
      </c>
      <c r="D1010" s="1" t="s">
        <v>259</v>
      </c>
      <c r="E1010" s="27" t="s">
        <v>265</v>
      </c>
      <c r="F1010" s="2">
        <v>45377</v>
      </c>
      <c r="G1010" t="str">
        <f t="shared" si="32"/>
        <v>Mar</v>
      </c>
      <c r="H1010" t="str">
        <f t="shared" si="33"/>
        <v>2024</v>
      </c>
    </row>
    <row r="1011" spans="1:8" x14ac:dyDescent="0.35">
      <c r="A1011" t="s">
        <v>425</v>
      </c>
      <c r="B1011" s="73">
        <v>1050</v>
      </c>
      <c r="C1011" s="73">
        <f>Balance[[#This Row],[COST]]/147</f>
        <v>7.1428571428571432</v>
      </c>
      <c r="D1011" s="1" t="s">
        <v>689</v>
      </c>
      <c r="E1011" s="27" t="s">
        <v>275</v>
      </c>
      <c r="F1011" s="2">
        <v>45377</v>
      </c>
      <c r="G1011" t="str">
        <f t="shared" si="32"/>
        <v>Mar</v>
      </c>
      <c r="H1011" t="str">
        <f t="shared" si="33"/>
        <v>2024</v>
      </c>
    </row>
    <row r="1012" spans="1:8" hidden="1" x14ac:dyDescent="0.35">
      <c r="A1012" t="s">
        <v>202</v>
      </c>
      <c r="B1012" s="73">
        <v>350</v>
      </c>
      <c r="C1012" s="73">
        <f>Balance[[#This Row],[COST]]/147</f>
        <v>2.3809523809523809</v>
      </c>
      <c r="D1012" s="1" t="s">
        <v>259</v>
      </c>
      <c r="E1012" s="27" t="s">
        <v>265</v>
      </c>
      <c r="F1012" s="2">
        <v>45378</v>
      </c>
      <c r="G1012" t="str">
        <f t="shared" si="32"/>
        <v>Mar</v>
      </c>
      <c r="H1012" t="str">
        <f t="shared" si="33"/>
        <v>2024</v>
      </c>
    </row>
    <row r="1013" spans="1:8" hidden="1" x14ac:dyDescent="0.35">
      <c r="A1013" t="s">
        <v>183</v>
      </c>
      <c r="B1013" s="73">
        <v>3000</v>
      </c>
      <c r="C1013" s="73">
        <f>Balance[[#This Row],[COST]]/147</f>
        <v>20.408163265306122</v>
      </c>
      <c r="D1013" s="1" t="s">
        <v>259</v>
      </c>
      <c r="E1013" s="27" t="s">
        <v>4</v>
      </c>
      <c r="F1013" s="2">
        <v>45378</v>
      </c>
      <c r="G1013" t="str">
        <f t="shared" si="32"/>
        <v>Mar</v>
      </c>
      <c r="H1013" t="str">
        <f t="shared" si="33"/>
        <v>2024</v>
      </c>
    </row>
    <row r="1014" spans="1:8" hidden="1" x14ac:dyDescent="0.35">
      <c r="A1014" t="s">
        <v>529</v>
      </c>
      <c r="B1014" s="73">
        <v>1120</v>
      </c>
      <c r="C1014" s="73">
        <f>Balance[[#This Row],[COST]]/147</f>
        <v>7.6190476190476186</v>
      </c>
      <c r="D1014" s="1" t="s">
        <v>259</v>
      </c>
      <c r="E1014" s="27" t="s">
        <v>265</v>
      </c>
      <c r="F1014" s="2">
        <v>45378</v>
      </c>
      <c r="G1014" t="str">
        <f t="shared" si="32"/>
        <v>Mar</v>
      </c>
      <c r="H1014" t="str">
        <f t="shared" si="33"/>
        <v>2024</v>
      </c>
    </row>
    <row r="1015" spans="1:8" hidden="1" x14ac:dyDescent="0.35">
      <c r="A1015" t="s">
        <v>520</v>
      </c>
      <c r="B1015" s="73">
        <v>344</v>
      </c>
      <c r="C1015" s="73">
        <f>Balance[[#This Row],[COST]]/147</f>
        <v>2.3401360544217686</v>
      </c>
      <c r="D1015" s="1" t="s">
        <v>259</v>
      </c>
      <c r="E1015" s="27" t="s">
        <v>265</v>
      </c>
      <c r="F1015" s="2">
        <v>45378</v>
      </c>
      <c r="G1015" t="str">
        <f t="shared" si="32"/>
        <v>Mar</v>
      </c>
      <c r="H1015" t="str">
        <f t="shared" si="33"/>
        <v>2024</v>
      </c>
    </row>
    <row r="1016" spans="1:8" x14ac:dyDescent="0.35">
      <c r="A1016" t="s">
        <v>425</v>
      </c>
      <c r="B1016" s="73">
        <v>1050</v>
      </c>
      <c r="C1016" s="73">
        <f>Balance[[#This Row],[COST]]/147</f>
        <v>7.1428571428571432</v>
      </c>
      <c r="D1016" s="1" t="s">
        <v>689</v>
      </c>
      <c r="E1016" s="27" t="s">
        <v>275</v>
      </c>
      <c r="F1016" s="2">
        <v>45378</v>
      </c>
      <c r="G1016" t="str">
        <f t="shared" si="32"/>
        <v>Mar</v>
      </c>
      <c r="H1016" t="str">
        <f t="shared" si="33"/>
        <v>2024</v>
      </c>
    </row>
    <row r="1017" spans="1:8" hidden="1" x14ac:dyDescent="0.35">
      <c r="A1017" t="s">
        <v>532</v>
      </c>
      <c r="B1017" s="73">
        <v>8000</v>
      </c>
      <c r="C1017" s="73">
        <f>Balance[[#This Row],[COST]]/147</f>
        <v>54.42176870748299</v>
      </c>
      <c r="D1017" s="1" t="s">
        <v>259</v>
      </c>
      <c r="E1017" s="27" t="s">
        <v>267</v>
      </c>
      <c r="F1017" s="2">
        <v>45379</v>
      </c>
      <c r="G1017" t="str">
        <f t="shared" si="32"/>
        <v>Mar</v>
      </c>
      <c r="H1017" t="str">
        <f t="shared" si="33"/>
        <v>2024</v>
      </c>
    </row>
    <row r="1018" spans="1:8" hidden="1" x14ac:dyDescent="0.35">
      <c r="A1018" t="s">
        <v>42</v>
      </c>
      <c r="B1018" s="73">
        <v>7884</v>
      </c>
      <c r="C1018" s="73">
        <f>Balance[[#This Row],[COST]]/147</f>
        <v>53.632653061224488</v>
      </c>
      <c r="D1018" s="73" t="s">
        <v>42</v>
      </c>
      <c r="E1018" s="27" t="s">
        <v>270</v>
      </c>
      <c r="F1018" s="2">
        <v>45379</v>
      </c>
      <c r="G1018" t="str">
        <f t="shared" si="32"/>
        <v>Mar</v>
      </c>
      <c r="H1018" t="str">
        <f t="shared" si="33"/>
        <v>2024</v>
      </c>
    </row>
    <row r="1019" spans="1:8" x14ac:dyDescent="0.35">
      <c r="A1019" t="s">
        <v>530</v>
      </c>
      <c r="B1019" s="73">
        <v>10000</v>
      </c>
      <c r="C1019" s="73">
        <f>Balance[[#This Row],[COST]]/147</f>
        <v>68.027210884353735</v>
      </c>
      <c r="D1019" s="1" t="s">
        <v>689</v>
      </c>
      <c r="E1019" s="27" t="s">
        <v>275</v>
      </c>
      <c r="F1019" s="2">
        <v>45381</v>
      </c>
      <c r="G1019" t="str">
        <f t="shared" si="32"/>
        <v>Mar</v>
      </c>
      <c r="H1019" t="str">
        <f t="shared" si="33"/>
        <v>2024</v>
      </c>
    </row>
    <row r="1020" spans="1:8" x14ac:dyDescent="0.35">
      <c r="A1020" t="s">
        <v>538</v>
      </c>
      <c r="B1020" s="73">
        <v>35000</v>
      </c>
      <c r="C1020" s="73">
        <f>Balance[[#This Row],[COST]]/147</f>
        <v>238.0952380952381</v>
      </c>
      <c r="D1020" s="1" t="s">
        <v>689</v>
      </c>
      <c r="E1020" s="27" t="s">
        <v>275</v>
      </c>
      <c r="F1020" s="2">
        <v>45381</v>
      </c>
      <c r="G1020" t="str">
        <f t="shared" si="32"/>
        <v>Mar</v>
      </c>
      <c r="H1020" t="str">
        <f t="shared" si="33"/>
        <v>2024</v>
      </c>
    </row>
    <row r="1021" spans="1:8" x14ac:dyDescent="0.35">
      <c r="A1021" t="s">
        <v>531</v>
      </c>
      <c r="B1021" s="73">
        <v>2500</v>
      </c>
      <c r="C1021" s="73">
        <f>Balance[[#This Row],[COST]]/147</f>
        <v>17.006802721088434</v>
      </c>
      <c r="D1021" s="1" t="s">
        <v>689</v>
      </c>
      <c r="E1021" s="27" t="s">
        <v>275</v>
      </c>
      <c r="F1021" s="2">
        <v>45381</v>
      </c>
      <c r="G1021" t="str">
        <f t="shared" si="32"/>
        <v>Mar</v>
      </c>
      <c r="H1021" t="str">
        <f t="shared" si="33"/>
        <v>2024</v>
      </c>
    </row>
    <row r="1022" spans="1:8" hidden="1" x14ac:dyDescent="0.35">
      <c r="A1022" t="s">
        <v>183</v>
      </c>
      <c r="B1022" s="73">
        <v>3000</v>
      </c>
      <c r="C1022" s="73">
        <f>Balance[[#This Row],[COST]]/147</f>
        <v>20.408163265306122</v>
      </c>
      <c r="D1022" s="1" t="s">
        <v>259</v>
      </c>
      <c r="E1022" s="27" t="s">
        <v>4</v>
      </c>
      <c r="F1022" s="2">
        <v>45381</v>
      </c>
      <c r="G1022" t="str">
        <f t="shared" si="32"/>
        <v>Mar</v>
      </c>
      <c r="H1022" t="str">
        <f t="shared" si="33"/>
        <v>2024</v>
      </c>
    </row>
    <row r="1023" spans="1:8" hidden="1" x14ac:dyDescent="0.35">
      <c r="A1023" t="s">
        <v>114</v>
      </c>
      <c r="B1023" s="73">
        <v>1150</v>
      </c>
      <c r="C1023" s="73">
        <f>Balance[[#This Row],[COST]]/147</f>
        <v>7.8231292517006805</v>
      </c>
      <c r="D1023" s="1" t="s">
        <v>259</v>
      </c>
      <c r="E1023" s="27" t="s">
        <v>265</v>
      </c>
      <c r="F1023" s="2">
        <v>45381</v>
      </c>
      <c r="G1023" t="str">
        <f t="shared" si="32"/>
        <v>Mar</v>
      </c>
      <c r="H1023" t="str">
        <f t="shared" si="33"/>
        <v>2024</v>
      </c>
    </row>
    <row r="1024" spans="1:8" hidden="1" x14ac:dyDescent="0.35">
      <c r="A1024" t="s">
        <v>490</v>
      </c>
      <c r="B1024" s="73">
        <v>680</v>
      </c>
      <c r="C1024" s="73">
        <f>Balance[[#This Row],[COST]]/147</f>
        <v>4.6258503401360542</v>
      </c>
      <c r="D1024" s="1" t="s">
        <v>259</v>
      </c>
      <c r="E1024" s="27" t="s">
        <v>265</v>
      </c>
      <c r="F1024" s="2">
        <v>45382</v>
      </c>
      <c r="G1024" t="str">
        <f t="shared" si="32"/>
        <v>Mar</v>
      </c>
      <c r="H1024" t="str">
        <f t="shared" si="33"/>
        <v>2024</v>
      </c>
    </row>
    <row r="1025" spans="1:8" hidden="1" x14ac:dyDescent="0.35">
      <c r="A1025" t="s">
        <v>523</v>
      </c>
      <c r="B1025" s="73">
        <v>670</v>
      </c>
      <c r="C1025" s="73">
        <f>Balance[[#This Row],[COST]]/147</f>
        <v>4.5578231292517009</v>
      </c>
      <c r="D1025" s="1" t="s">
        <v>259</v>
      </c>
      <c r="E1025" s="27" t="s">
        <v>4</v>
      </c>
      <c r="F1025" s="2">
        <v>45382</v>
      </c>
      <c r="G1025" t="str">
        <f t="shared" si="32"/>
        <v>Mar</v>
      </c>
      <c r="H1025" t="str">
        <f t="shared" si="33"/>
        <v>2024</v>
      </c>
    </row>
    <row r="1026" spans="1:8" hidden="1" x14ac:dyDescent="0.35">
      <c r="A1026" t="s">
        <v>196</v>
      </c>
      <c r="B1026" s="73">
        <v>800</v>
      </c>
      <c r="C1026" s="73">
        <f>Balance[[#This Row],[COST]]/147</f>
        <v>5.4421768707482991</v>
      </c>
      <c r="D1026" s="1" t="s">
        <v>259</v>
      </c>
      <c r="E1026" s="27" t="s">
        <v>268</v>
      </c>
      <c r="F1026" s="2">
        <v>45383</v>
      </c>
      <c r="G1026" t="str">
        <f t="shared" si="32"/>
        <v>Apr</v>
      </c>
      <c r="H1026" t="str">
        <f t="shared" si="33"/>
        <v>2024</v>
      </c>
    </row>
    <row r="1027" spans="1:8" hidden="1" x14ac:dyDescent="0.35">
      <c r="A1027" t="s">
        <v>481</v>
      </c>
      <c r="B1027" s="73">
        <v>160</v>
      </c>
      <c r="C1027" s="73">
        <f>Balance[[#This Row],[COST]]/147</f>
        <v>1.08843537414966</v>
      </c>
      <c r="D1027" s="1" t="s">
        <v>259</v>
      </c>
      <c r="E1027" s="27" t="s">
        <v>265</v>
      </c>
      <c r="F1027" s="2">
        <v>45383</v>
      </c>
      <c r="G1027" t="str">
        <f t="shared" si="32"/>
        <v>Apr</v>
      </c>
      <c r="H1027" t="str">
        <f t="shared" si="33"/>
        <v>2024</v>
      </c>
    </row>
    <row r="1028" spans="1:8" x14ac:dyDescent="0.35">
      <c r="A1028" t="s">
        <v>391</v>
      </c>
      <c r="B1028" s="73">
        <v>701</v>
      </c>
      <c r="C1028" s="73">
        <f>Balance[[#This Row],[COST]]/147</f>
        <v>4.7687074829931975</v>
      </c>
      <c r="D1028" s="1" t="s">
        <v>689</v>
      </c>
      <c r="E1028" s="27" t="s">
        <v>275</v>
      </c>
      <c r="F1028" s="2">
        <v>45383</v>
      </c>
      <c r="G1028" t="str">
        <f t="shared" si="32"/>
        <v>Apr</v>
      </c>
      <c r="H1028" t="str">
        <f t="shared" si="33"/>
        <v>2024</v>
      </c>
    </row>
    <row r="1029" spans="1:8" hidden="1" x14ac:dyDescent="0.35">
      <c r="A1029" t="s">
        <v>185</v>
      </c>
      <c r="B1029" s="73">
        <v>4000</v>
      </c>
      <c r="C1029" s="73">
        <f>Balance[[#This Row],[COST]]/147</f>
        <v>27.210884353741495</v>
      </c>
      <c r="D1029" s="1" t="s">
        <v>259</v>
      </c>
      <c r="E1029" s="27" t="s">
        <v>267</v>
      </c>
      <c r="F1029" s="2">
        <v>45383</v>
      </c>
      <c r="G1029" t="str">
        <f t="shared" si="32"/>
        <v>Apr</v>
      </c>
      <c r="H1029" t="str">
        <f t="shared" si="33"/>
        <v>2024</v>
      </c>
    </row>
    <row r="1030" spans="1:8" x14ac:dyDescent="0.35">
      <c r="A1030" t="s">
        <v>39</v>
      </c>
      <c r="B1030" s="73">
        <v>3000</v>
      </c>
      <c r="C1030" s="73">
        <f>Balance[[#This Row],[COST]]/147</f>
        <v>20.408163265306122</v>
      </c>
      <c r="D1030" s="1" t="s">
        <v>689</v>
      </c>
      <c r="E1030" s="27" t="s">
        <v>275</v>
      </c>
      <c r="F1030" s="2">
        <v>45384</v>
      </c>
      <c r="G1030" t="str">
        <f t="shared" si="32"/>
        <v>Apr</v>
      </c>
      <c r="H1030" t="str">
        <f t="shared" si="33"/>
        <v>2024</v>
      </c>
    </row>
    <row r="1031" spans="1:8" x14ac:dyDescent="0.35">
      <c r="A1031" t="s">
        <v>40</v>
      </c>
      <c r="B1031" s="73">
        <v>3200</v>
      </c>
      <c r="C1031" s="73">
        <f>Balance[[#This Row],[COST]]/147</f>
        <v>21.768707482993197</v>
      </c>
      <c r="D1031" s="1" t="s">
        <v>689</v>
      </c>
      <c r="E1031" s="27" t="s">
        <v>275</v>
      </c>
      <c r="F1031" s="2">
        <v>45384</v>
      </c>
      <c r="G1031" t="str">
        <f t="shared" si="32"/>
        <v>Apr</v>
      </c>
      <c r="H1031" t="str">
        <f t="shared" si="33"/>
        <v>2024</v>
      </c>
    </row>
    <row r="1032" spans="1:8" hidden="1" x14ac:dyDescent="0.35">
      <c r="A1032" t="s">
        <v>67</v>
      </c>
      <c r="B1032" s="73">
        <v>700</v>
      </c>
      <c r="C1032" s="73">
        <f>Balance[[#This Row],[COST]]/147</f>
        <v>4.7619047619047619</v>
      </c>
      <c r="D1032" s="1" t="s">
        <v>259</v>
      </c>
      <c r="E1032" s="27" t="s">
        <v>265</v>
      </c>
      <c r="F1032" s="2">
        <v>45384</v>
      </c>
      <c r="G1032" t="str">
        <f t="shared" si="32"/>
        <v>Apr</v>
      </c>
      <c r="H1032" t="str">
        <f t="shared" si="33"/>
        <v>2024</v>
      </c>
    </row>
    <row r="1033" spans="1:8" x14ac:dyDescent="0.35">
      <c r="A1033" t="s">
        <v>433</v>
      </c>
      <c r="B1033" s="73">
        <v>200</v>
      </c>
      <c r="C1033" s="73">
        <f>Balance[[#This Row],[COST]]/147</f>
        <v>1.3605442176870748</v>
      </c>
      <c r="D1033" s="1" t="s">
        <v>689</v>
      </c>
      <c r="E1033" s="27" t="s">
        <v>275</v>
      </c>
      <c r="F1033" s="2">
        <v>45384</v>
      </c>
      <c r="G1033" t="str">
        <f t="shared" si="32"/>
        <v>Apr</v>
      </c>
      <c r="H1033" t="str">
        <f t="shared" si="33"/>
        <v>2024</v>
      </c>
    </row>
    <row r="1034" spans="1:8" hidden="1" x14ac:dyDescent="0.35">
      <c r="A1034" t="s">
        <v>510</v>
      </c>
      <c r="B1034" s="73">
        <v>2850</v>
      </c>
      <c r="C1034" s="73">
        <f>Balance[[#This Row],[COST]]/147</f>
        <v>19.387755102040817</v>
      </c>
      <c r="D1034" s="1" t="s">
        <v>259</v>
      </c>
      <c r="E1034" s="27" t="s">
        <v>268</v>
      </c>
      <c r="F1034" s="2">
        <v>45385</v>
      </c>
      <c r="G1034" t="str">
        <f t="shared" si="32"/>
        <v>Apr</v>
      </c>
      <c r="H1034" t="str">
        <f t="shared" si="33"/>
        <v>2024</v>
      </c>
    </row>
    <row r="1035" spans="1:8" hidden="1" x14ac:dyDescent="0.35">
      <c r="A1035" t="s">
        <v>533</v>
      </c>
      <c r="B1035" s="73">
        <v>2100</v>
      </c>
      <c r="C1035" s="73">
        <f>Balance[[#This Row],[COST]]/147</f>
        <v>14.285714285714286</v>
      </c>
      <c r="D1035" s="1" t="s">
        <v>259</v>
      </c>
      <c r="E1035" s="27" t="s">
        <v>265</v>
      </c>
      <c r="F1035" s="2">
        <v>45385</v>
      </c>
      <c r="G1035" t="str">
        <f t="shared" si="32"/>
        <v>Apr</v>
      </c>
      <c r="H1035" t="str">
        <f t="shared" si="33"/>
        <v>2024</v>
      </c>
    </row>
    <row r="1036" spans="1:8" hidden="1" x14ac:dyDescent="0.35">
      <c r="A1036" t="s">
        <v>498</v>
      </c>
      <c r="B1036" s="73">
        <v>1000</v>
      </c>
      <c r="C1036" s="73">
        <f>Balance[[#This Row],[COST]]/147</f>
        <v>6.8027210884353737</v>
      </c>
      <c r="D1036" s="1" t="s">
        <v>259</v>
      </c>
      <c r="E1036" s="27" t="s">
        <v>265</v>
      </c>
      <c r="F1036" s="2">
        <v>45385</v>
      </c>
      <c r="G1036" t="str">
        <f t="shared" si="32"/>
        <v>Apr</v>
      </c>
      <c r="H1036" t="str">
        <f t="shared" si="33"/>
        <v>2024</v>
      </c>
    </row>
    <row r="1037" spans="1:8" hidden="1" x14ac:dyDescent="0.35">
      <c r="A1037" t="s">
        <v>535</v>
      </c>
      <c r="B1037" s="73">
        <v>3000</v>
      </c>
      <c r="C1037" s="73">
        <f>Balance[[#This Row],[COST]]/147</f>
        <v>20.408163265306122</v>
      </c>
      <c r="D1037" s="1" t="s">
        <v>259</v>
      </c>
      <c r="E1037" s="27" t="s">
        <v>265</v>
      </c>
      <c r="F1037" s="2">
        <v>45385</v>
      </c>
      <c r="G1037" t="str">
        <f t="shared" si="32"/>
        <v>Apr</v>
      </c>
      <c r="H1037" t="str">
        <f t="shared" si="33"/>
        <v>2024</v>
      </c>
    </row>
    <row r="1038" spans="1:8" hidden="1" x14ac:dyDescent="0.35">
      <c r="A1038" t="s">
        <v>534</v>
      </c>
      <c r="B1038" s="73">
        <v>2100</v>
      </c>
      <c r="C1038" s="73">
        <f>Balance[[#This Row],[COST]]/147</f>
        <v>14.285714285714286</v>
      </c>
      <c r="D1038" s="1" t="s">
        <v>259</v>
      </c>
      <c r="E1038" s="27" t="s">
        <v>265</v>
      </c>
      <c r="F1038" s="2">
        <v>45385</v>
      </c>
      <c r="G1038" t="str">
        <f t="shared" si="32"/>
        <v>Apr</v>
      </c>
      <c r="H1038" t="str">
        <f t="shared" si="33"/>
        <v>2024</v>
      </c>
    </row>
    <row r="1039" spans="1:8" x14ac:dyDescent="0.35">
      <c r="A1039" t="s">
        <v>433</v>
      </c>
      <c r="B1039" s="73">
        <v>700</v>
      </c>
      <c r="C1039" s="73">
        <f>Balance[[#This Row],[COST]]/147</f>
        <v>4.7619047619047619</v>
      </c>
      <c r="D1039" s="1" t="s">
        <v>689</v>
      </c>
      <c r="E1039" s="27" t="s">
        <v>275</v>
      </c>
      <c r="F1039" s="2">
        <v>45385</v>
      </c>
      <c r="G1039" t="str">
        <f t="shared" si="32"/>
        <v>Apr</v>
      </c>
      <c r="H1039" t="str">
        <f t="shared" si="33"/>
        <v>2024</v>
      </c>
    </row>
    <row r="1040" spans="1:8" x14ac:dyDescent="0.35">
      <c r="A1040" t="s">
        <v>536</v>
      </c>
      <c r="B1040" s="73">
        <v>440</v>
      </c>
      <c r="C1040" s="73">
        <f>Balance[[#This Row],[COST]]/147</f>
        <v>2.9931972789115648</v>
      </c>
      <c r="D1040" s="1" t="s">
        <v>689</v>
      </c>
      <c r="E1040" s="27" t="s">
        <v>275</v>
      </c>
      <c r="F1040" s="2">
        <v>45386</v>
      </c>
      <c r="G1040" t="str">
        <f t="shared" si="32"/>
        <v>Apr</v>
      </c>
      <c r="H1040" t="str">
        <f t="shared" si="33"/>
        <v>2024</v>
      </c>
    </row>
    <row r="1041" spans="1:8" x14ac:dyDescent="0.35">
      <c r="A1041" t="s">
        <v>492</v>
      </c>
      <c r="B1041" s="73">
        <v>700</v>
      </c>
      <c r="C1041" s="73">
        <f>Balance[[#This Row],[COST]]/147</f>
        <v>4.7619047619047619</v>
      </c>
      <c r="D1041" s="1" t="s">
        <v>689</v>
      </c>
      <c r="E1041" s="27" t="s">
        <v>275</v>
      </c>
      <c r="F1041" s="2">
        <v>45386</v>
      </c>
      <c r="G1041" t="str">
        <f t="shared" si="32"/>
        <v>Apr</v>
      </c>
      <c r="H1041" t="str">
        <f t="shared" si="33"/>
        <v>2024</v>
      </c>
    </row>
    <row r="1042" spans="1:8" x14ac:dyDescent="0.35">
      <c r="A1042" t="s">
        <v>537</v>
      </c>
      <c r="B1042" s="73">
        <v>150</v>
      </c>
      <c r="C1042" s="73">
        <f>Balance[[#This Row],[COST]]/147</f>
        <v>1.0204081632653061</v>
      </c>
      <c r="D1042" s="1" t="s">
        <v>689</v>
      </c>
      <c r="E1042" s="27" t="s">
        <v>275</v>
      </c>
      <c r="F1042" s="2">
        <v>45386</v>
      </c>
      <c r="G1042" t="str">
        <f t="shared" si="32"/>
        <v>Apr</v>
      </c>
      <c r="H1042" t="str">
        <f t="shared" si="33"/>
        <v>2024</v>
      </c>
    </row>
    <row r="1043" spans="1:8" x14ac:dyDescent="0.35">
      <c r="A1043" t="s">
        <v>465</v>
      </c>
      <c r="B1043" s="73">
        <v>350</v>
      </c>
      <c r="C1043" s="73">
        <f>Balance[[#This Row],[COST]]/147</f>
        <v>2.3809523809523809</v>
      </c>
      <c r="D1043" s="1" t="s">
        <v>689</v>
      </c>
      <c r="E1043" s="27" t="s">
        <v>275</v>
      </c>
      <c r="F1043" s="2">
        <v>45386</v>
      </c>
      <c r="G1043" t="str">
        <f t="shared" si="32"/>
        <v>Apr</v>
      </c>
      <c r="H1043" t="str">
        <f t="shared" si="33"/>
        <v>2024</v>
      </c>
    </row>
    <row r="1044" spans="1:8" x14ac:dyDescent="0.35">
      <c r="A1044" t="s">
        <v>491</v>
      </c>
      <c r="B1044" s="73">
        <v>140</v>
      </c>
      <c r="C1044" s="73">
        <f>Balance[[#This Row],[COST]]/147</f>
        <v>0.95238095238095233</v>
      </c>
      <c r="D1044" s="1" t="s">
        <v>689</v>
      </c>
      <c r="E1044" s="27" t="s">
        <v>275</v>
      </c>
      <c r="F1044" s="2">
        <v>45386</v>
      </c>
      <c r="G1044" t="str">
        <f t="shared" si="32"/>
        <v>Apr</v>
      </c>
      <c r="H1044" t="str">
        <f t="shared" si="33"/>
        <v>2024</v>
      </c>
    </row>
    <row r="1045" spans="1:8" hidden="1" x14ac:dyDescent="0.35">
      <c r="A1045" t="s">
        <v>517</v>
      </c>
      <c r="B1045" s="73">
        <v>480</v>
      </c>
      <c r="C1045" s="73">
        <f>Balance[[#This Row],[COST]]/147</f>
        <v>3.2653061224489797</v>
      </c>
      <c r="D1045" s="1" t="s">
        <v>259</v>
      </c>
      <c r="E1045" s="27" t="s">
        <v>265</v>
      </c>
      <c r="F1045" s="2">
        <v>45389</v>
      </c>
      <c r="G1045" t="str">
        <f t="shared" si="32"/>
        <v>Apr</v>
      </c>
      <c r="H1045" t="str">
        <f t="shared" si="33"/>
        <v>2024</v>
      </c>
    </row>
    <row r="1046" spans="1:8" hidden="1" x14ac:dyDescent="0.35">
      <c r="A1046" t="s">
        <v>497</v>
      </c>
      <c r="B1046" s="73">
        <v>134</v>
      </c>
      <c r="C1046" s="73">
        <f>Balance[[#This Row],[COST]]/147</f>
        <v>0.91156462585034015</v>
      </c>
      <c r="D1046" s="1" t="s">
        <v>259</v>
      </c>
      <c r="E1046" s="27" t="s">
        <v>265</v>
      </c>
      <c r="F1046" s="2">
        <v>45389</v>
      </c>
      <c r="G1046" t="str">
        <f t="shared" si="32"/>
        <v>Apr</v>
      </c>
      <c r="H1046" t="str">
        <f t="shared" si="33"/>
        <v>2024</v>
      </c>
    </row>
    <row r="1047" spans="1:8" x14ac:dyDescent="0.35">
      <c r="A1047" t="s">
        <v>539</v>
      </c>
      <c r="B1047" s="73">
        <v>12000</v>
      </c>
      <c r="C1047" s="73">
        <f>Balance[[#This Row],[COST]]/147</f>
        <v>81.632653061224488</v>
      </c>
      <c r="D1047" s="1" t="s">
        <v>689</v>
      </c>
      <c r="E1047" s="27" t="s">
        <v>275</v>
      </c>
      <c r="F1047" s="2">
        <v>45390</v>
      </c>
      <c r="G1047" t="str">
        <f t="shared" si="32"/>
        <v>Apr</v>
      </c>
      <c r="H1047" t="str">
        <f t="shared" si="33"/>
        <v>2024</v>
      </c>
    </row>
    <row r="1048" spans="1:8" hidden="1" x14ac:dyDescent="0.35">
      <c r="A1048" t="s">
        <v>540</v>
      </c>
      <c r="B1048" s="73">
        <v>120</v>
      </c>
      <c r="C1048" s="73">
        <f>Balance[[#This Row],[COST]]/147</f>
        <v>0.81632653061224492</v>
      </c>
      <c r="D1048" s="1" t="s">
        <v>259</v>
      </c>
      <c r="E1048" s="27" t="s">
        <v>265</v>
      </c>
      <c r="F1048" s="2">
        <v>45390</v>
      </c>
      <c r="G1048" t="str">
        <f t="shared" si="32"/>
        <v>Apr</v>
      </c>
      <c r="H1048" t="str">
        <f t="shared" si="33"/>
        <v>2024</v>
      </c>
    </row>
    <row r="1049" spans="1:8" hidden="1" x14ac:dyDescent="0.35">
      <c r="A1049" t="s">
        <v>541</v>
      </c>
      <c r="B1049" s="73">
        <v>60</v>
      </c>
      <c r="C1049" s="73">
        <f>Balance[[#This Row],[COST]]/147</f>
        <v>0.40816326530612246</v>
      </c>
      <c r="D1049" s="1" t="s">
        <v>259</v>
      </c>
      <c r="E1049" s="27" t="s">
        <v>265</v>
      </c>
      <c r="F1049" s="2">
        <v>45390</v>
      </c>
      <c r="G1049" t="str">
        <f t="shared" si="32"/>
        <v>Apr</v>
      </c>
      <c r="H1049" t="str">
        <f t="shared" si="33"/>
        <v>2024</v>
      </c>
    </row>
    <row r="1050" spans="1:8" hidden="1" x14ac:dyDescent="0.35">
      <c r="A1050" t="s">
        <v>517</v>
      </c>
      <c r="B1050" s="73">
        <v>180</v>
      </c>
      <c r="C1050" s="73">
        <f>Balance[[#This Row],[COST]]/147</f>
        <v>1.2244897959183674</v>
      </c>
      <c r="D1050" s="1" t="s">
        <v>259</v>
      </c>
      <c r="E1050" s="27" t="s">
        <v>265</v>
      </c>
      <c r="F1050" s="2">
        <v>45390</v>
      </c>
      <c r="G1050" t="str">
        <f t="shared" si="32"/>
        <v>Apr</v>
      </c>
      <c r="H1050" t="str">
        <f t="shared" si="33"/>
        <v>2024</v>
      </c>
    </row>
    <row r="1051" spans="1:8" hidden="1" x14ac:dyDescent="0.35">
      <c r="A1051" t="s">
        <v>497</v>
      </c>
      <c r="B1051" s="73">
        <v>134</v>
      </c>
      <c r="C1051" s="73">
        <f>Balance[[#This Row],[COST]]/147</f>
        <v>0.91156462585034015</v>
      </c>
      <c r="D1051" s="1" t="s">
        <v>259</v>
      </c>
      <c r="E1051" s="27" t="s">
        <v>265</v>
      </c>
      <c r="F1051" s="2">
        <v>45390</v>
      </c>
      <c r="G1051" t="str">
        <f t="shared" si="32"/>
        <v>Apr</v>
      </c>
      <c r="H1051" t="str">
        <f t="shared" si="33"/>
        <v>2024</v>
      </c>
    </row>
    <row r="1052" spans="1:8" hidden="1" x14ac:dyDescent="0.35">
      <c r="A1052" t="s">
        <v>542</v>
      </c>
      <c r="B1052" s="73">
        <v>5000</v>
      </c>
      <c r="C1052" s="73">
        <f>Balance[[#This Row],[COST]]/147</f>
        <v>34.013605442176868</v>
      </c>
      <c r="D1052" s="1" t="s">
        <v>259</v>
      </c>
      <c r="E1052" s="27" t="s">
        <v>265</v>
      </c>
      <c r="F1052" s="2">
        <v>45390</v>
      </c>
      <c r="G1052" t="str">
        <f t="shared" si="32"/>
        <v>Apr</v>
      </c>
      <c r="H1052" t="str">
        <f t="shared" si="33"/>
        <v>2024</v>
      </c>
    </row>
    <row r="1053" spans="1:8" x14ac:dyDescent="0.35">
      <c r="A1053" t="s">
        <v>538</v>
      </c>
      <c r="B1053" s="73">
        <v>15000</v>
      </c>
      <c r="C1053" s="73">
        <f>Balance[[#This Row],[COST]]/147</f>
        <v>102.04081632653062</v>
      </c>
      <c r="D1053" s="1" t="s">
        <v>689</v>
      </c>
      <c r="E1053" s="27" t="s">
        <v>275</v>
      </c>
      <c r="F1053" s="2">
        <v>45392</v>
      </c>
      <c r="G1053" t="str">
        <f t="shared" si="32"/>
        <v>Apr</v>
      </c>
      <c r="H1053" t="str">
        <f t="shared" si="33"/>
        <v>2024</v>
      </c>
    </row>
    <row r="1054" spans="1:8" hidden="1" x14ac:dyDescent="0.35">
      <c r="A1054" t="s">
        <v>425</v>
      </c>
      <c r="B1054" s="73">
        <v>1100</v>
      </c>
      <c r="C1054" s="73">
        <f>Balance[[#This Row],[COST]]/147</f>
        <v>7.4829931972789119</v>
      </c>
      <c r="D1054" s="1" t="s">
        <v>259</v>
      </c>
      <c r="E1054" s="27" t="s">
        <v>265</v>
      </c>
      <c r="F1054" s="2">
        <v>45392</v>
      </c>
      <c r="G1054" t="str">
        <f t="shared" si="32"/>
        <v>Apr</v>
      </c>
      <c r="H1054" t="str">
        <f t="shared" si="33"/>
        <v>2024</v>
      </c>
    </row>
    <row r="1055" spans="1:8" hidden="1" x14ac:dyDescent="0.35">
      <c r="A1055" t="s">
        <v>543</v>
      </c>
      <c r="B1055" s="73">
        <v>390</v>
      </c>
      <c r="C1055" s="73">
        <f>Balance[[#This Row],[COST]]/147</f>
        <v>2.6530612244897958</v>
      </c>
      <c r="D1055" s="1" t="s">
        <v>259</v>
      </c>
      <c r="E1055" s="27" t="s">
        <v>265</v>
      </c>
      <c r="F1055" s="2">
        <v>45392</v>
      </c>
      <c r="G1055" t="str">
        <f t="shared" ref="G1055:G1118" si="34">TEXT(F1055,"mmm")</f>
        <v>Apr</v>
      </c>
      <c r="H1055" t="str">
        <f t="shared" ref="H1055:H1118" si="35">TEXT(F1055,"yyy")</f>
        <v>2024</v>
      </c>
    </row>
    <row r="1056" spans="1:8" hidden="1" x14ac:dyDescent="0.35">
      <c r="A1056" t="s">
        <v>543</v>
      </c>
      <c r="B1056" s="73">
        <v>390</v>
      </c>
      <c r="C1056" s="73">
        <f>Balance[[#This Row],[COST]]/147</f>
        <v>2.6530612244897958</v>
      </c>
      <c r="D1056" s="1" t="s">
        <v>259</v>
      </c>
      <c r="E1056" s="27" t="s">
        <v>265</v>
      </c>
      <c r="F1056" s="2">
        <v>45392</v>
      </c>
      <c r="G1056" t="str">
        <f t="shared" si="34"/>
        <v>Apr</v>
      </c>
      <c r="H1056" t="str">
        <f t="shared" si="35"/>
        <v>2024</v>
      </c>
    </row>
    <row r="1057" spans="1:8" hidden="1" x14ac:dyDescent="0.35">
      <c r="A1057" t="s">
        <v>406</v>
      </c>
      <c r="B1057" s="73">
        <v>200</v>
      </c>
      <c r="C1057" s="73">
        <f>Balance[[#This Row],[COST]]/147</f>
        <v>1.3605442176870748</v>
      </c>
      <c r="D1057" s="1" t="s">
        <v>259</v>
      </c>
      <c r="E1057" s="27" t="s">
        <v>265</v>
      </c>
      <c r="F1057" s="2">
        <v>45392</v>
      </c>
      <c r="G1057" t="str">
        <f t="shared" si="34"/>
        <v>Apr</v>
      </c>
      <c r="H1057" t="str">
        <f t="shared" si="35"/>
        <v>2024</v>
      </c>
    </row>
    <row r="1058" spans="1:8" hidden="1" x14ac:dyDescent="0.35">
      <c r="A1058" t="s">
        <v>129</v>
      </c>
      <c r="B1058" s="73">
        <v>1700</v>
      </c>
      <c r="C1058" s="73">
        <f>Balance[[#This Row],[COST]]/147</f>
        <v>11.564625850340136</v>
      </c>
      <c r="D1058" s="1" t="s">
        <v>259</v>
      </c>
      <c r="E1058" s="27" t="s">
        <v>265</v>
      </c>
      <c r="F1058" s="2">
        <v>45393</v>
      </c>
      <c r="G1058" t="str">
        <f t="shared" si="34"/>
        <v>Apr</v>
      </c>
      <c r="H1058" t="str">
        <f t="shared" si="35"/>
        <v>2024</v>
      </c>
    </row>
    <row r="1059" spans="1:8" x14ac:dyDescent="0.35">
      <c r="A1059" t="s">
        <v>391</v>
      </c>
      <c r="B1059" s="73">
        <v>701</v>
      </c>
      <c r="C1059" s="73">
        <f>Balance[[#This Row],[COST]]/147</f>
        <v>4.7687074829931975</v>
      </c>
      <c r="D1059" s="1" t="s">
        <v>689</v>
      </c>
      <c r="E1059" s="27" t="s">
        <v>275</v>
      </c>
      <c r="F1059" s="2">
        <v>45394</v>
      </c>
      <c r="G1059" t="str">
        <f t="shared" si="34"/>
        <v>Apr</v>
      </c>
      <c r="H1059" t="str">
        <f t="shared" si="35"/>
        <v>2024</v>
      </c>
    </row>
    <row r="1060" spans="1:8" hidden="1" x14ac:dyDescent="0.35">
      <c r="A1060" t="s">
        <v>517</v>
      </c>
      <c r="B1060" s="73">
        <v>800</v>
      </c>
      <c r="C1060" s="73">
        <f>Balance[[#This Row],[COST]]/147</f>
        <v>5.4421768707482991</v>
      </c>
      <c r="D1060" s="1" t="s">
        <v>259</v>
      </c>
      <c r="E1060" s="27" t="s">
        <v>265</v>
      </c>
      <c r="F1060" s="2">
        <v>45394</v>
      </c>
      <c r="G1060" t="str">
        <f t="shared" si="34"/>
        <v>Apr</v>
      </c>
      <c r="H1060" t="str">
        <f t="shared" si="35"/>
        <v>2024</v>
      </c>
    </row>
    <row r="1061" spans="1:8" hidden="1" x14ac:dyDescent="0.35">
      <c r="A1061" t="s">
        <v>457</v>
      </c>
      <c r="B1061" s="73">
        <v>8500</v>
      </c>
      <c r="C1061" s="73">
        <f>Balance[[#This Row],[COST]]/147</f>
        <v>57.823129251700678</v>
      </c>
      <c r="D1061" s="1" t="s">
        <v>259</v>
      </c>
      <c r="E1061" s="27" t="s">
        <v>265</v>
      </c>
      <c r="F1061" s="2">
        <v>45394</v>
      </c>
      <c r="G1061" t="str">
        <f t="shared" si="34"/>
        <v>Apr</v>
      </c>
      <c r="H1061" t="str">
        <f t="shared" si="35"/>
        <v>2024</v>
      </c>
    </row>
    <row r="1062" spans="1:8" hidden="1" x14ac:dyDescent="0.35">
      <c r="A1062" t="s">
        <v>133</v>
      </c>
      <c r="B1062" s="73">
        <v>10000</v>
      </c>
      <c r="C1062" s="73">
        <f>Balance[[#This Row],[COST]]/147</f>
        <v>68.027210884353735</v>
      </c>
      <c r="D1062" s="1" t="s">
        <v>259</v>
      </c>
      <c r="E1062" s="27" t="s">
        <v>265</v>
      </c>
      <c r="F1062" s="2">
        <v>45394</v>
      </c>
      <c r="G1062" t="str">
        <f t="shared" si="34"/>
        <v>Apr</v>
      </c>
      <c r="H1062" t="str">
        <f t="shared" si="35"/>
        <v>2024</v>
      </c>
    </row>
    <row r="1063" spans="1:8" hidden="1" x14ac:dyDescent="0.35">
      <c r="A1063" t="s">
        <v>481</v>
      </c>
      <c r="B1063" s="73">
        <v>160</v>
      </c>
      <c r="C1063" s="73">
        <f>Balance[[#This Row],[COST]]/147</f>
        <v>1.08843537414966</v>
      </c>
      <c r="D1063" s="1" t="s">
        <v>259</v>
      </c>
      <c r="E1063" s="27" t="s">
        <v>265</v>
      </c>
      <c r="F1063" s="2">
        <v>45395</v>
      </c>
      <c r="G1063" t="str">
        <f t="shared" si="34"/>
        <v>Apr</v>
      </c>
      <c r="H1063" t="str">
        <f t="shared" si="35"/>
        <v>2024</v>
      </c>
    </row>
    <row r="1064" spans="1:8" hidden="1" x14ac:dyDescent="0.35">
      <c r="A1064" t="s">
        <v>497</v>
      </c>
      <c r="B1064" s="73">
        <v>171</v>
      </c>
      <c r="C1064" s="73">
        <f>Balance[[#This Row],[COST]]/147</f>
        <v>1.1632653061224489</v>
      </c>
      <c r="D1064" s="1" t="s">
        <v>259</v>
      </c>
      <c r="E1064" s="27" t="s">
        <v>265</v>
      </c>
      <c r="F1064" s="2">
        <v>45395</v>
      </c>
      <c r="G1064" t="str">
        <f t="shared" si="34"/>
        <v>Apr</v>
      </c>
      <c r="H1064" t="str">
        <f t="shared" si="35"/>
        <v>2024</v>
      </c>
    </row>
    <row r="1065" spans="1:8" hidden="1" x14ac:dyDescent="0.35">
      <c r="A1065" t="s">
        <v>544</v>
      </c>
      <c r="B1065" s="73">
        <v>112</v>
      </c>
      <c r="C1065" s="73">
        <f>Balance[[#This Row],[COST]]/147</f>
        <v>0.76190476190476186</v>
      </c>
      <c r="D1065" s="1" t="s">
        <v>259</v>
      </c>
      <c r="E1065" s="27" t="s">
        <v>265</v>
      </c>
      <c r="F1065" s="2">
        <v>45395</v>
      </c>
      <c r="G1065" t="str">
        <f t="shared" si="34"/>
        <v>Apr</v>
      </c>
      <c r="H1065" t="str">
        <f t="shared" si="35"/>
        <v>2024</v>
      </c>
    </row>
    <row r="1066" spans="1:8" x14ac:dyDescent="0.35">
      <c r="A1066" t="s">
        <v>545</v>
      </c>
      <c r="B1066" s="73">
        <v>2500</v>
      </c>
      <c r="C1066" s="73">
        <f>Balance[[#This Row],[COST]]/147</f>
        <v>17.006802721088434</v>
      </c>
      <c r="D1066" s="1" t="s">
        <v>689</v>
      </c>
      <c r="E1066" s="27" t="s">
        <v>275</v>
      </c>
      <c r="F1066" s="2">
        <v>45395</v>
      </c>
      <c r="G1066" t="str">
        <f t="shared" si="34"/>
        <v>Apr</v>
      </c>
      <c r="H1066" t="str">
        <f t="shared" si="35"/>
        <v>2024</v>
      </c>
    </row>
    <row r="1067" spans="1:8" hidden="1" x14ac:dyDescent="0.35">
      <c r="A1067" t="s">
        <v>375</v>
      </c>
      <c r="B1067" s="73">
        <v>1300</v>
      </c>
      <c r="C1067" s="73">
        <f>Balance[[#This Row],[COST]]/147</f>
        <v>8.8435374149659864</v>
      </c>
      <c r="D1067" s="1" t="s">
        <v>259</v>
      </c>
      <c r="E1067" s="27" t="s">
        <v>265</v>
      </c>
      <c r="F1067" s="2">
        <v>45397</v>
      </c>
      <c r="G1067" t="str">
        <f t="shared" si="34"/>
        <v>Apr</v>
      </c>
      <c r="H1067" t="str">
        <f t="shared" si="35"/>
        <v>2024</v>
      </c>
    </row>
    <row r="1068" spans="1:8" hidden="1" x14ac:dyDescent="0.35">
      <c r="A1068" t="s">
        <v>229</v>
      </c>
      <c r="B1068" s="73">
        <f>Balance[[#This Row],[Cost USD]]*157</f>
        <v>940.43000000000006</v>
      </c>
      <c r="C1068" s="73">
        <v>5.99</v>
      </c>
      <c r="D1068" s="73" t="s">
        <v>259</v>
      </c>
      <c r="E1068" s="27" t="s">
        <v>267</v>
      </c>
      <c r="F1068" s="2">
        <v>45397</v>
      </c>
      <c r="G1068" t="str">
        <f t="shared" si="34"/>
        <v>Apr</v>
      </c>
      <c r="H1068" t="str">
        <f t="shared" si="35"/>
        <v>2024</v>
      </c>
    </row>
    <row r="1069" spans="1:8" hidden="1" x14ac:dyDescent="0.35">
      <c r="A1069" t="s">
        <v>497</v>
      </c>
      <c r="B1069" s="73">
        <v>150</v>
      </c>
      <c r="C1069" s="73">
        <f>Balance[[#This Row],[COST]]/147</f>
        <v>1.0204081632653061</v>
      </c>
      <c r="D1069" s="1" t="s">
        <v>259</v>
      </c>
      <c r="E1069" s="27" t="s">
        <v>265</v>
      </c>
      <c r="F1069" s="2">
        <v>45398</v>
      </c>
      <c r="G1069" t="str">
        <f t="shared" si="34"/>
        <v>Apr</v>
      </c>
      <c r="H1069" t="str">
        <f t="shared" si="35"/>
        <v>2024</v>
      </c>
    </row>
    <row r="1070" spans="1:8" hidden="1" x14ac:dyDescent="0.35">
      <c r="A1070" t="s">
        <v>517</v>
      </c>
      <c r="B1070" s="73">
        <v>500</v>
      </c>
      <c r="C1070" s="73">
        <f>Balance[[#This Row],[COST]]/147</f>
        <v>3.4013605442176869</v>
      </c>
      <c r="D1070" s="1" t="s">
        <v>259</v>
      </c>
      <c r="E1070" s="27" t="s">
        <v>265</v>
      </c>
      <c r="F1070" s="2">
        <v>45398</v>
      </c>
      <c r="G1070" t="str">
        <f t="shared" si="34"/>
        <v>Apr</v>
      </c>
      <c r="H1070" t="str">
        <f t="shared" si="35"/>
        <v>2024</v>
      </c>
    </row>
    <row r="1071" spans="1:8" x14ac:dyDescent="0.35">
      <c r="A1071" t="s">
        <v>546</v>
      </c>
      <c r="B1071" s="73">
        <v>375</v>
      </c>
      <c r="C1071" s="73">
        <f>Balance[[#This Row],[COST]]/147</f>
        <v>2.5510204081632653</v>
      </c>
      <c r="D1071" s="1" t="s">
        <v>689</v>
      </c>
      <c r="E1071" s="27" t="s">
        <v>275</v>
      </c>
      <c r="F1071" s="2">
        <v>45399</v>
      </c>
      <c r="G1071" t="str">
        <f t="shared" si="34"/>
        <v>Apr</v>
      </c>
      <c r="H1071" t="str">
        <f t="shared" si="35"/>
        <v>2024</v>
      </c>
    </row>
    <row r="1072" spans="1:8" hidden="1" x14ac:dyDescent="0.35">
      <c r="A1072" t="s">
        <v>425</v>
      </c>
      <c r="B1072" s="73">
        <v>200</v>
      </c>
      <c r="C1072" s="73">
        <f>Balance[[#This Row],[COST]]/147</f>
        <v>1.3605442176870748</v>
      </c>
      <c r="D1072" s="1" t="s">
        <v>259</v>
      </c>
      <c r="E1072" s="27" t="s">
        <v>265</v>
      </c>
      <c r="F1072" s="2">
        <v>45399</v>
      </c>
      <c r="G1072" t="str">
        <f t="shared" si="34"/>
        <v>Apr</v>
      </c>
      <c r="H1072" t="str">
        <f t="shared" si="35"/>
        <v>2024</v>
      </c>
    </row>
    <row r="1073" spans="1:8" hidden="1" x14ac:dyDescent="0.35">
      <c r="A1073" t="s">
        <v>67</v>
      </c>
      <c r="B1073" s="73">
        <v>700</v>
      </c>
      <c r="C1073" s="73">
        <f>Balance[[#This Row],[COST]]/147</f>
        <v>4.7619047619047619</v>
      </c>
      <c r="D1073" s="1" t="s">
        <v>259</v>
      </c>
      <c r="E1073" s="27" t="s">
        <v>265</v>
      </c>
      <c r="F1073" s="2">
        <v>45399</v>
      </c>
      <c r="G1073" t="str">
        <f t="shared" si="34"/>
        <v>Apr</v>
      </c>
      <c r="H1073" t="str">
        <f t="shared" si="35"/>
        <v>2024</v>
      </c>
    </row>
    <row r="1074" spans="1:8" hidden="1" x14ac:dyDescent="0.35">
      <c r="A1074" t="s">
        <v>183</v>
      </c>
      <c r="B1074" s="73">
        <v>3000</v>
      </c>
      <c r="C1074" s="73">
        <f>Balance[[#This Row],[COST]]/147</f>
        <v>20.408163265306122</v>
      </c>
      <c r="D1074" s="1" t="s">
        <v>259</v>
      </c>
      <c r="E1074" s="27" t="s">
        <v>265</v>
      </c>
      <c r="F1074" s="2">
        <v>45399</v>
      </c>
      <c r="G1074" t="str">
        <f t="shared" si="34"/>
        <v>Apr</v>
      </c>
      <c r="H1074" t="str">
        <f t="shared" si="35"/>
        <v>2024</v>
      </c>
    </row>
    <row r="1075" spans="1:8" x14ac:dyDescent="0.35">
      <c r="A1075" t="s">
        <v>433</v>
      </c>
      <c r="B1075" s="1">
        <v>700</v>
      </c>
      <c r="C1075" s="73">
        <f>Balance[[#This Row],[COST]]/147</f>
        <v>4.7619047619047619</v>
      </c>
      <c r="D1075" s="1" t="s">
        <v>689</v>
      </c>
      <c r="E1075" s="27" t="s">
        <v>275</v>
      </c>
      <c r="F1075" s="2">
        <v>45400</v>
      </c>
      <c r="G1075" t="str">
        <f t="shared" si="34"/>
        <v>Apr</v>
      </c>
      <c r="H1075" t="str">
        <f t="shared" si="35"/>
        <v>2024</v>
      </c>
    </row>
    <row r="1076" spans="1:8" x14ac:dyDescent="0.35">
      <c r="A1076" t="s">
        <v>494</v>
      </c>
      <c r="B1076" s="1">
        <v>600</v>
      </c>
      <c r="C1076" s="73">
        <f>Balance[[#This Row],[COST]]/147</f>
        <v>4.0816326530612246</v>
      </c>
      <c r="D1076" s="1" t="s">
        <v>689</v>
      </c>
      <c r="E1076" s="27" t="s">
        <v>275</v>
      </c>
      <c r="F1076" s="2">
        <v>45400</v>
      </c>
      <c r="G1076" t="str">
        <f t="shared" si="34"/>
        <v>Apr</v>
      </c>
      <c r="H1076" t="str">
        <f t="shared" si="35"/>
        <v>2024</v>
      </c>
    </row>
    <row r="1077" spans="1:8" hidden="1" x14ac:dyDescent="0.35">
      <c r="A1077" t="s">
        <v>547</v>
      </c>
      <c r="B1077" s="73">
        <v>340</v>
      </c>
      <c r="C1077" s="73">
        <f>Balance[[#This Row],[COST]]/147</f>
        <v>2.3129251700680271</v>
      </c>
      <c r="D1077" s="1" t="s">
        <v>259</v>
      </c>
      <c r="E1077" s="27" t="s">
        <v>265</v>
      </c>
      <c r="F1077" s="2">
        <v>45401</v>
      </c>
      <c r="G1077" t="str">
        <f t="shared" si="34"/>
        <v>Apr</v>
      </c>
      <c r="H1077" t="str">
        <f t="shared" si="35"/>
        <v>2024</v>
      </c>
    </row>
    <row r="1078" spans="1:8" hidden="1" x14ac:dyDescent="0.35">
      <c r="A1078" t="s">
        <v>548</v>
      </c>
      <c r="B1078" s="73">
        <v>150</v>
      </c>
      <c r="C1078" s="73">
        <f>Balance[[#This Row],[COST]]/147</f>
        <v>1.0204081632653061</v>
      </c>
      <c r="D1078" s="1" t="s">
        <v>259</v>
      </c>
      <c r="E1078" s="27" t="s">
        <v>265</v>
      </c>
      <c r="F1078" s="2">
        <v>45401</v>
      </c>
      <c r="G1078" t="str">
        <f t="shared" si="34"/>
        <v>Apr</v>
      </c>
      <c r="H1078" t="str">
        <f t="shared" si="35"/>
        <v>2024</v>
      </c>
    </row>
    <row r="1079" spans="1:8" hidden="1" x14ac:dyDescent="0.35">
      <c r="A1079" t="s">
        <v>384</v>
      </c>
      <c r="B1079" s="73">
        <v>240</v>
      </c>
      <c r="C1079" s="73">
        <f>Balance[[#This Row],[COST]]/147</f>
        <v>1.6326530612244898</v>
      </c>
      <c r="D1079" s="1" t="s">
        <v>259</v>
      </c>
      <c r="E1079" s="27" t="s">
        <v>265</v>
      </c>
      <c r="F1079" s="2">
        <v>45401</v>
      </c>
      <c r="G1079" t="str">
        <f t="shared" si="34"/>
        <v>Apr</v>
      </c>
      <c r="H1079" t="str">
        <f t="shared" si="35"/>
        <v>2024</v>
      </c>
    </row>
    <row r="1080" spans="1:8" hidden="1" x14ac:dyDescent="0.35">
      <c r="A1080" t="s">
        <v>384</v>
      </c>
      <c r="B1080" s="73">
        <v>240</v>
      </c>
      <c r="C1080" s="73">
        <f>Balance[[#This Row],[COST]]/147</f>
        <v>1.6326530612244898</v>
      </c>
      <c r="D1080" s="1" t="s">
        <v>259</v>
      </c>
      <c r="E1080" s="27" t="s">
        <v>265</v>
      </c>
      <c r="F1080" s="2">
        <v>45401</v>
      </c>
      <c r="G1080" t="str">
        <f t="shared" si="34"/>
        <v>Apr</v>
      </c>
      <c r="H1080" t="str">
        <f t="shared" si="35"/>
        <v>2024</v>
      </c>
    </row>
    <row r="1081" spans="1:8" hidden="1" x14ac:dyDescent="0.35">
      <c r="A1081" t="s">
        <v>361</v>
      </c>
      <c r="B1081" s="73">
        <v>300</v>
      </c>
      <c r="C1081" s="73">
        <f>Balance[[#This Row],[COST]]/147</f>
        <v>2.0408163265306123</v>
      </c>
      <c r="D1081" s="1" t="s">
        <v>259</v>
      </c>
      <c r="E1081" s="27" t="s">
        <v>265</v>
      </c>
      <c r="F1081" s="2">
        <v>45401</v>
      </c>
      <c r="G1081" t="str">
        <f t="shared" si="34"/>
        <v>Apr</v>
      </c>
      <c r="H1081" t="str">
        <f t="shared" si="35"/>
        <v>2024</v>
      </c>
    </row>
    <row r="1082" spans="1:8" hidden="1" x14ac:dyDescent="0.35">
      <c r="A1082" t="s">
        <v>361</v>
      </c>
      <c r="B1082" s="73">
        <v>300</v>
      </c>
      <c r="C1082" s="73">
        <f>Balance[[#This Row],[COST]]/147</f>
        <v>2.0408163265306123</v>
      </c>
      <c r="D1082" s="1" t="s">
        <v>259</v>
      </c>
      <c r="E1082" s="27" t="s">
        <v>265</v>
      </c>
      <c r="F1082" s="2">
        <v>45401</v>
      </c>
      <c r="G1082" t="str">
        <f t="shared" si="34"/>
        <v>Apr</v>
      </c>
      <c r="H1082" t="str">
        <f t="shared" si="35"/>
        <v>2024</v>
      </c>
    </row>
    <row r="1083" spans="1:8" x14ac:dyDescent="0.35">
      <c r="A1083" t="s">
        <v>433</v>
      </c>
      <c r="B1083" s="1">
        <v>700</v>
      </c>
      <c r="C1083" s="73">
        <f>Balance[[#This Row],[COST]]/147</f>
        <v>4.7619047619047619</v>
      </c>
      <c r="D1083" s="1" t="s">
        <v>689</v>
      </c>
      <c r="E1083" s="27" t="s">
        <v>275</v>
      </c>
      <c r="F1083" s="2">
        <v>45401</v>
      </c>
      <c r="G1083" t="str">
        <f t="shared" si="34"/>
        <v>Apr</v>
      </c>
      <c r="H1083" t="str">
        <f t="shared" si="35"/>
        <v>2024</v>
      </c>
    </row>
    <row r="1084" spans="1:8" hidden="1" x14ac:dyDescent="0.35">
      <c r="A1084" t="s">
        <v>547</v>
      </c>
      <c r="B1084" s="73">
        <v>340</v>
      </c>
      <c r="C1084" s="73">
        <f>Balance[[#This Row],[COST]]/147</f>
        <v>2.3129251700680271</v>
      </c>
      <c r="D1084" s="1" t="s">
        <v>259</v>
      </c>
      <c r="E1084" s="27" t="s">
        <v>265</v>
      </c>
      <c r="F1084" s="2">
        <v>45402</v>
      </c>
      <c r="G1084" t="str">
        <f t="shared" si="34"/>
        <v>Apr</v>
      </c>
      <c r="H1084" t="str">
        <f t="shared" si="35"/>
        <v>2024</v>
      </c>
    </row>
    <row r="1085" spans="1:8" x14ac:dyDescent="0.35">
      <c r="A1085" t="s">
        <v>549</v>
      </c>
      <c r="B1085" s="75">
        <v>30000</v>
      </c>
      <c r="C1085" s="73">
        <f>Balance[[#This Row],[COST]]/147</f>
        <v>204.08163265306123</v>
      </c>
      <c r="D1085" s="1" t="s">
        <v>689</v>
      </c>
      <c r="E1085" s="27" t="s">
        <v>275</v>
      </c>
      <c r="F1085" s="2">
        <v>45402</v>
      </c>
      <c r="G1085" t="str">
        <f t="shared" si="34"/>
        <v>Apr</v>
      </c>
      <c r="H1085" t="str">
        <f t="shared" si="35"/>
        <v>2024</v>
      </c>
    </row>
    <row r="1086" spans="1:8" hidden="1" x14ac:dyDescent="0.35">
      <c r="A1086" t="s">
        <v>242</v>
      </c>
      <c r="B1086" s="75">
        <v>980</v>
      </c>
      <c r="C1086" s="73">
        <f>Balance[[#This Row],[COST]]/147</f>
        <v>6.666666666666667</v>
      </c>
      <c r="D1086" s="1" t="s">
        <v>259</v>
      </c>
      <c r="E1086" s="27" t="s">
        <v>265</v>
      </c>
      <c r="F1086" s="2">
        <v>45404</v>
      </c>
      <c r="G1086" t="str">
        <f t="shared" si="34"/>
        <v>Apr</v>
      </c>
      <c r="H1086" t="str">
        <f t="shared" si="35"/>
        <v>2024</v>
      </c>
    </row>
    <row r="1087" spans="1:8" hidden="1" x14ac:dyDescent="0.35">
      <c r="A1087" t="s">
        <v>242</v>
      </c>
      <c r="B1087" s="75">
        <v>2165</v>
      </c>
      <c r="C1087" s="73">
        <f>Balance[[#This Row],[COST]]/147</f>
        <v>14.727891156462585</v>
      </c>
      <c r="D1087" s="1" t="s">
        <v>259</v>
      </c>
      <c r="E1087" s="27" t="s">
        <v>265</v>
      </c>
      <c r="F1087" s="2">
        <v>45406</v>
      </c>
      <c r="G1087" t="str">
        <f t="shared" si="34"/>
        <v>Apr</v>
      </c>
      <c r="H1087" t="str">
        <f t="shared" si="35"/>
        <v>2024</v>
      </c>
    </row>
    <row r="1088" spans="1:8" hidden="1" x14ac:dyDescent="0.35">
      <c r="A1088" t="s">
        <v>550</v>
      </c>
      <c r="B1088" s="75">
        <v>470</v>
      </c>
      <c r="C1088" s="73">
        <f>Balance[[#This Row],[COST]]/147</f>
        <v>3.1972789115646258</v>
      </c>
      <c r="D1088" s="1" t="s">
        <v>259</v>
      </c>
      <c r="E1088" s="27" t="s">
        <v>265</v>
      </c>
      <c r="F1088" s="2">
        <v>45406</v>
      </c>
      <c r="G1088" t="str">
        <f t="shared" si="34"/>
        <v>Apr</v>
      </c>
      <c r="H1088" t="str">
        <f t="shared" si="35"/>
        <v>2024</v>
      </c>
    </row>
    <row r="1089" spans="1:8" hidden="1" x14ac:dyDescent="0.35">
      <c r="A1089" t="s">
        <v>361</v>
      </c>
      <c r="B1089" s="75">
        <v>370</v>
      </c>
      <c r="C1089" s="73">
        <f>Balance[[#This Row],[COST]]/147</f>
        <v>2.5170068027210886</v>
      </c>
      <c r="D1089" s="1" t="s">
        <v>259</v>
      </c>
      <c r="E1089" s="27" t="s">
        <v>265</v>
      </c>
      <c r="F1089" s="2">
        <v>45406</v>
      </c>
      <c r="G1089" t="str">
        <f t="shared" si="34"/>
        <v>Apr</v>
      </c>
      <c r="H1089" t="str">
        <f t="shared" si="35"/>
        <v>2024</v>
      </c>
    </row>
    <row r="1090" spans="1:8" hidden="1" x14ac:dyDescent="0.35">
      <c r="A1090" t="s">
        <v>416</v>
      </c>
      <c r="B1090" s="75">
        <v>290</v>
      </c>
      <c r="C1090" s="73">
        <f>Balance[[#This Row],[COST]]/147</f>
        <v>1.9727891156462585</v>
      </c>
      <c r="D1090" s="1" t="s">
        <v>259</v>
      </c>
      <c r="E1090" s="27" t="s">
        <v>265</v>
      </c>
      <c r="F1090" s="2">
        <v>45406</v>
      </c>
      <c r="G1090" t="str">
        <f t="shared" si="34"/>
        <v>Apr</v>
      </c>
      <c r="H1090" t="str">
        <f t="shared" si="35"/>
        <v>2024</v>
      </c>
    </row>
    <row r="1091" spans="1:8" hidden="1" x14ac:dyDescent="0.35">
      <c r="A1091" t="s">
        <v>552</v>
      </c>
      <c r="B1091" s="75">
        <v>19000</v>
      </c>
      <c r="C1091" s="73">
        <f>Balance[[#This Row],[COST]]/147</f>
        <v>129.25170068027211</v>
      </c>
      <c r="D1091" s="1" t="s">
        <v>259</v>
      </c>
      <c r="E1091" s="44" t="s">
        <v>554</v>
      </c>
      <c r="F1091" s="2">
        <v>45406</v>
      </c>
      <c r="G1091" t="str">
        <f t="shared" si="34"/>
        <v>Apr</v>
      </c>
      <c r="H1091" t="str">
        <f t="shared" si="35"/>
        <v>2024</v>
      </c>
    </row>
    <row r="1092" spans="1:8" hidden="1" x14ac:dyDescent="0.35">
      <c r="A1092" t="s">
        <v>49</v>
      </c>
      <c r="B1092" s="75">
        <v>25000</v>
      </c>
      <c r="C1092" s="75">
        <f>Balance[[#This Row],[COST]]/147</f>
        <v>170.06802721088437</v>
      </c>
      <c r="D1092" s="75" t="s">
        <v>263</v>
      </c>
      <c r="E1092" s="27" t="s">
        <v>274</v>
      </c>
      <c r="F1092" s="2">
        <v>45406</v>
      </c>
      <c r="G1092" t="str">
        <f t="shared" si="34"/>
        <v>Apr</v>
      </c>
      <c r="H1092" t="str">
        <f t="shared" si="35"/>
        <v>2024</v>
      </c>
    </row>
    <row r="1093" spans="1:8" hidden="1" x14ac:dyDescent="0.35">
      <c r="A1093" t="s">
        <v>283</v>
      </c>
      <c r="B1093" s="75">
        <v>57040</v>
      </c>
      <c r="C1093" s="75">
        <f>Balance[[#This Row],[COST]]/147</f>
        <v>388.02721088435374</v>
      </c>
      <c r="D1093" s="75" t="s">
        <v>15</v>
      </c>
      <c r="E1093" s="27" t="s">
        <v>269</v>
      </c>
      <c r="F1093" s="2">
        <v>45406</v>
      </c>
      <c r="G1093" t="str">
        <f t="shared" si="34"/>
        <v>Apr</v>
      </c>
      <c r="H1093" t="str">
        <f t="shared" si="35"/>
        <v>2024</v>
      </c>
    </row>
    <row r="1094" spans="1:8" hidden="1" x14ac:dyDescent="0.35">
      <c r="A1094" t="s">
        <v>369</v>
      </c>
      <c r="B1094" s="76">
        <v>3200</v>
      </c>
      <c r="C1094" s="76">
        <f>Balance[[#This Row],[COST]]/147</f>
        <v>21.768707482993197</v>
      </c>
      <c r="D1094" s="76" t="s">
        <v>259</v>
      </c>
      <c r="E1094" s="27" t="s">
        <v>267</v>
      </c>
      <c r="F1094" s="2">
        <v>45406</v>
      </c>
      <c r="G1094" t="str">
        <f t="shared" si="34"/>
        <v>Apr</v>
      </c>
      <c r="H1094" t="str">
        <f t="shared" si="35"/>
        <v>2024</v>
      </c>
    </row>
    <row r="1095" spans="1:8" x14ac:dyDescent="0.35">
      <c r="A1095" t="s">
        <v>433</v>
      </c>
      <c r="B1095" s="75">
        <v>600</v>
      </c>
      <c r="C1095" s="73">
        <f>Balance[[#This Row],[COST]]/147</f>
        <v>4.0816326530612246</v>
      </c>
      <c r="D1095" s="1" t="s">
        <v>689</v>
      </c>
      <c r="E1095" s="27" t="s">
        <v>275</v>
      </c>
      <c r="F1095" s="2">
        <v>45407</v>
      </c>
      <c r="G1095" t="str">
        <f t="shared" si="34"/>
        <v>Apr</v>
      </c>
      <c r="H1095" t="str">
        <f t="shared" si="35"/>
        <v>2024</v>
      </c>
    </row>
    <row r="1096" spans="1:8" x14ac:dyDescent="0.35">
      <c r="A1096" t="s">
        <v>551</v>
      </c>
      <c r="B1096" s="75">
        <v>200</v>
      </c>
      <c r="C1096" s="73">
        <f>Balance[[#This Row],[COST]]/147</f>
        <v>1.3605442176870748</v>
      </c>
      <c r="D1096" s="1" t="s">
        <v>689</v>
      </c>
      <c r="E1096" s="27" t="s">
        <v>275</v>
      </c>
      <c r="F1096" s="2">
        <v>45407</v>
      </c>
      <c r="G1096" t="str">
        <f t="shared" si="34"/>
        <v>Apr</v>
      </c>
      <c r="H1096" t="str">
        <f t="shared" si="35"/>
        <v>2024</v>
      </c>
    </row>
    <row r="1097" spans="1:8" hidden="1" x14ac:dyDescent="0.35">
      <c r="A1097" t="s">
        <v>553</v>
      </c>
      <c r="B1097" s="75">
        <f>Balance[[#This Row],[Cost USD]]*147</f>
        <v>3822</v>
      </c>
      <c r="C1097" s="75">
        <v>26</v>
      </c>
      <c r="D1097" s="1" t="s">
        <v>260</v>
      </c>
      <c r="E1097" s="27" t="s">
        <v>273</v>
      </c>
      <c r="F1097" s="2">
        <v>45407</v>
      </c>
      <c r="G1097" t="str">
        <f t="shared" si="34"/>
        <v>Apr</v>
      </c>
      <c r="H1097" t="str">
        <f t="shared" si="35"/>
        <v>2024</v>
      </c>
    </row>
    <row r="1098" spans="1:8" hidden="1" x14ac:dyDescent="0.35">
      <c r="A1098" t="s">
        <v>480</v>
      </c>
      <c r="B1098" s="75">
        <v>200</v>
      </c>
      <c r="C1098" s="73">
        <f>Balance[[#This Row],[COST]]/147</f>
        <v>1.3605442176870748</v>
      </c>
      <c r="D1098" s="1" t="s">
        <v>259</v>
      </c>
      <c r="E1098" s="27" t="s">
        <v>265</v>
      </c>
      <c r="F1098" s="2">
        <v>45407</v>
      </c>
      <c r="G1098" t="str">
        <f t="shared" si="34"/>
        <v>Apr</v>
      </c>
      <c r="H1098" t="str">
        <f t="shared" si="35"/>
        <v>2024</v>
      </c>
    </row>
    <row r="1099" spans="1:8" hidden="1" x14ac:dyDescent="0.35">
      <c r="A1099" t="s">
        <v>183</v>
      </c>
      <c r="B1099" s="75">
        <v>3000</v>
      </c>
      <c r="C1099" s="73">
        <f>Balance[[#This Row],[COST]]/147</f>
        <v>20.408163265306122</v>
      </c>
      <c r="D1099" s="1" t="s">
        <v>259</v>
      </c>
      <c r="E1099" s="27" t="s">
        <v>4</v>
      </c>
      <c r="F1099" s="2">
        <v>45408</v>
      </c>
      <c r="G1099" t="str">
        <f t="shared" si="34"/>
        <v>Apr</v>
      </c>
      <c r="H1099" t="str">
        <f t="shared" si="35"/>
        <v>2024</v>
      </c>
    </row>
    <row r="1100" spans="1:8" hidden="1" x14ac:dyDescent="0.35">
      <c r="A1100" t="s">
        <v>555</v>
      </c>
      <c r="B1100" s="75">
        <v>4865</v>
      </c>
      <c r="C1100" s="73">
        <f>Balance[[#This Row],[COST]]/147</f>
        <v>33.095238095238095</v>
      </c>
      <c r="D1100" s="1" t="s">
        <v>259</v>
      </c>
      <c r="E1100" s="27" t="s">
        <v>265</v>
      </c>
      <c r="F1100" s="2">
        <v>45409</v>
      </c>
      <c r="G1100" t="str">
        <f t="shared" si="34"/>
        <v>Apr</v>
      </c>
      <c r="H1100" t="str">
        <f t="shared" si="35"/>
        <v>2024</v>
      </c>
    </row>
    <row r="1101" spans="1:8" hidden="1" x14ac:dyDescent="0.35">
      <c r="A1101" t="s">
        <v>556</v>
      </c>
      <c r="B1101" s="75">
        <v>459</v>
      </c>
      <c r="C1101" s="73">
        <f>Balance[[#This Row],[COST]]/147</f>
        <v>3.1224489795918369</v>
      </c>
      <c r="D1101" s="1" t="s">
        <v>259</v>
      </c>
      <c r="E1101" s="27" t="s">
        <v>265</v>
      </c>
      <c r="F1101" s="2">
        <v>45409</v>
      </c>
      <c r="G1101" t="str">
        <f t="shared" si="34"/>
        <v>Apr</v>
      </c>
      <c r="H1101" t="str">
        <f t="shared" si="35"/>
        <v>2024</v>
      </c>
    </row>
    <row r="1102" spans="1:8" hidden="1" x14ac:dyDescent="0.35">
      <c r="A1102" t="s">
        <v>557</v>
      </c>
      <c r="B1102" s="75">
        <v>315</v>
      </c>
      <c r="C1102" s="73">
        <f>Balance[[#This Row],[COST]]/147</f>
        <v>2.1428571428571428</v>
      </c>
      <c r="D1102" s="1" t="s">
        <v>259</v>
      </c>
      <c r="E1102" s="27" t="s">
        <v>265</v>
      </c>
      <c r="F1102" s="2">
        <v>45409</v>
      </c>
      <c r="G1102" t="str">
        <f t="shared" si="34"/>
        <v>Apr</v>
      </c>
      <c r="H1102" t="str">
        <f t="shared" si="35"/>
        <v>2024</v>
      </c>
    </row>
    <row r="1103" spans="1:8" hidden="1" x14ac:dyDescent="0.35">
      <c r="A1103" t="s">
        <v>558</v>
      </c>
      <c r="B1103" s="75">
        <v>7500</v>
      </c>
      <c r="C1103" s="73">
        <f>Balance[[#This Row],[COST]]/147</f>
        <v>51.020408163265309</v>
      </c>
      <c r="D1103" s="1" t="s">
        <v>259</v>
      </c>
      <c r="E1103" s="27" t="s">
        <v>265</v>
      </c>
      <c r="F1103" s="2">
        <v>45409</v>
      </c>
      <c r="G1103" t="str">
        <f t="shared" si="34"/>
        <v>Apr</v>
      </c>
      <c r="H1103" t="str">
        <f t="shared" si="35"/>
        <v>2024</v>
      </c>
    </row>
    <row r="1104" spans="1:8" hidden="1" x14ac:dyDescent="0.35">
      <c r="A1104" t="s">
        <v>558</v>
      </c>
      <c r="B1104" s="75">
        <v>7500</v>
      </c>
      <c r="C1104" s="73">
        <f>Balance[[#This Row],[COST]]/147</f>
        <v>51.020408163265309</v>
      </c>
      <c r="D1104" s="1" t="s">
        <v>259</v>
      </c>
      <c r="E1104" s="27" t="s">
        <v>265</v>
      </c>
      <c r="F1104" s="2">
        <v>45409</v>
      </c>
      <c r="G1104" t="str">
        <f t="shared" si="34"/>
        <v>Apr</v>
      </c>
      <c r="H1104" t="str">
        <f t="shared" si="35"/>
        <v>2024</v>
      </c>
    </row>
    <row r="1105" spans="1:8" hidden="1" x14ac:dyDescent="0.35">
      <c r="A1105" t="s">
        <v>559</v>
      </c>
      <c r="B1105" s="75">
        <v>9200</v>
      </c>
      <c r="C1105" s="73">
        <f>Balance[[#This Row],[COST]]/147</f>
        <v>62.585034013605444</v>
      </c>
      <c r="D1105" s="1" t="s">
        <v>259</v>
      </c>
      <c r="E1105" s="27" t="s">
        <v>265</v>
      </c>
      <c r="F1105" s="2">
        <v>45409</v>
      </c>
      <c r="G1105" t="str">
        <f t="shared" si="34"/>
        <v>Apr</v>
      </c>
      <c r="H1105" t="str">
        <f t="shared" si="35"/>
        <v>2024</v>
      </c>
    </row>
    <row r="1106" spans="1:8" x14ac:dyDescent="0.35">
      <c r="A1106" t="s">
        <v>507</v>
      </c>
      <c r="B1106" s="75">
        <v>815</v>
      </c>
      <c r="C1106" s="73">
        <f>Balance[[#This Row],[COST]]/147</f>
        <v>5.5442176870748296</v>
      </c>
      <c r="D1106" s="1" t="s">
        <v>689</v>
      </c>
      <c r="E1106" s="27" t="s">
        <v>275</v>
      </c>
      <c r="F1106" s="2">
        <v>45409</v>
      </c>
      <c r="G1106" t="str">
        <f t="shared" si="34"/>
        <v>Apr</v>
      </c>
      <c r="H1106" t="str">
        <f t="shared" si="35"/>
        <v>2024</v>
      </c>
    </row>
    <row r="1107" spans="1:8" x14ac:dyDescent="0.35">
      <c r="A1107" t="s">
        <v>560</v>
      </c>
      <c r="B1107" s="75">
        <v>520</v>
      </c>
      <c r="C1107" s="73">
        <f>Balance[[#This Row],[COST]]/147</f>
        <v>3.5374149659863945</v>
      </c>
      <c r="D1107" s="1" t="s">
        <v>689</v>
      </c>
      <c r="E1107" s="27" t="s">
        <v>275</v>
      </c>
      <c r="F1107" s="2">
        <v>45409</v>
      </c>
      <c r="G1107" t="str">
        <f t="shared" si="34"/>
        <v>Apr</v>
      </c>
      <c r="H1107" t="str">
        <f t="shared" si="35"/>
        <v>2024</v>
      </c>
    </row>
    <row r="1108" spans="1:8" x14ac:dyDescent="0.35">
      <c r="A1108" t="s">
        <v>560</v>
      </c>
      <c r="B1108" s="75">
        <v>520</v>
      </c>
      <c r="C1108" s="73">
        <f>Balance[[#This Row],[COST]]/147</f>
        <v>3.5374149659863945</v>
      </c>
      <c r="D1108" s="1" t="s">
        <v>689</v>
      </c>
      <c r="E1108" s="27" t="s">
        <v>275</v>
      </c>
      <c r="F1108" s="2">
        <v>45409</v>
      </c>
      <c r="G1108" t="str">
        <f t="shared" si="34"/>
        <v>Apr</v>
      </c>
      <c r="H1108" t="str">
        <f t="shared" si="35"/>
        <v>2024</v>
      </c>
    </row>
    <row r="1109" spans="1:8" hidden="1" x14ac:dyDescent="0.35">
      <c r="A1109" t="s">
        <v>114</v>
      </c>
      <c r="B1109" s="75">
        <v>880</v>
      </c>
      <c r="C1109" s="73">
        <f>Balance[[#This Row],[COST]]/147</f>
        <v>5.9863945578231297</v>
      </c>
      <c r="D1109" s="1" t="s">
        <v>259</v>
      </c>
      <c r="E1109" s="27" t="s">
        <v>265</v>
      </c>
      <c r="F1109" s="2">
        <v>45409</v>
      </c>
      <c r="G1109" t="str">
        <f t="shared" si="34"/>
        <v>Apr</v>
      </c>
      <c r="H1109" t="str">
        <f t="shared" si="35"/>
        <v>2024</v>
      </c>
    </row>
    <row r="1110" spans="1:8" x14ac:dyDescent="0.35">
      <c r="A1110" t="s">
        <v>561</v>
      </c>
      <c r="B1110" s="75">
        <v>550</v>
      </c>
      <c r="C1110" s="73">
        <f>Balance[[#This Row],[COST]]/147</f>
        <v>3.7414965986394559</v>
      </c>
      <c r="D1110" s="1" t="s">
        <v>689</v>
      </c>
      <c r="E1110" s="27" t="s">
        <v>275</v>
      </c>
      <c r="F1110" s="2">
        <v>45409</v>
      </c>
      <c r="G1110" t="str">
        <f t="shared" si="34"/>
        <v>Apr</v>
      </c>
      <c r="H1110" t="str">
        <f t="shared" si="35"/>
        <v>2024</v>
      </c>
    </row>
    <row r="1111" spans="1:8" hidden="1" x14ac:dyDescent="0.35">
      <c r="A1111" t="s">
        <v>562</v>
      </c>
      <c r="B1111" s="75">
        <v>330</v>
      </c>
      <c r="C1111" s="73">
        <f>Balance[[#This Row],[COST]]/147</f>
        <v>2.2448979591836733</v>
      </c>
      <c r="D1111" s="1" t="s">
        <v>259</v>
      </c>
      <c r="E1111" s="27" t="s">
        <v>265</v>
      </c>
      <c r="F1111" s="2">
        <v>45409</v>
      </c>
      <c r="G1111" t="str">
        <f t="shared" si="34"/>
        <v>Apr</v>
      </c>
      <c r="H1111" t="str">
        <f t="shared" si="35"/>
        <v>2024</v>
      </c>
    </row>
    <row r="1112" spans="1:8" hidden="1" x14ac:dyDescent="0.35">
      <c r="A1112" t="s">
        <v>563</v>
      </c>
      <c r="B1112" s="75">
        <v>180</v>
      </c>
      <c r="C1112" s="73">
        <f>Balance[[#This Row],[COST]]/147</f>
        <v>1.2244897959183674</v>
      </c>
      <c r="D1112" s="1" t="s">
        <v>259</v>
      </c>
      <c r="E1112" s="27" t="s">
        <v>265</v>
      </c>
      <c r="F1112" s="2">
        <v>45409</v>
      </c>
      <c r="G1112" t="str">
        <f t="shared" si="34"/>
        <v>Apr</v>
      </c>
      <c r="H1112" t="str">
        <f t="shared" si="35"/>
        <v>2024</v>
      </c>
    </row>
    <row r="1113" spans="1:8" hidden="1" x14ac:dyDescent="0.35">
      <c r="A1113" t="s">
        <v>183</v>
      </c>
      <c r="B1113" s="75">
        <v>4000</v>
      </c>
      <c r="C1113" s="73">
        <f>Balance[[#This Row],[COST]]/147</f>
        <v>27.210884353741495</v>
      </c>
      <c r="D1113" s="1" t="s">
        <v>259</v>
      </c>
      <c r="E1113" s="27" t="s">
        <v>4</v>
      </c>
      <c r="F1113" s="2">
        <v>45410</v>
      </c>
      <c r="G1113" t="str">
        <f t="shared" si="34"/>
        <v>Apr</v>
      </c>
      <c r="H1113" t="str">
        <f t="shared" si="35"/>
        <v>2024</v>
      </c>
    </row>
    <row r="1114" spans="1:8" x14ac:dyDescent="0.35">
      <c r="A1114" t="s">
        <v>561</v>
      </c>
      <c r="B1114" s="75">
        <v>500</v>
      </c>
      <c r="C1114" s="73">
        <f>Balance[[#This Row],[COST]]/147</f>
        <v>3.4013605442176869</v>
      </c>
      <c r="D1114" s="1" t="s">
        <v>689</v>
      </c>
      <c r="E1114" s="27" t="s">
        <v>275</v>
      </c>
      <c r="F1114" s="2">
        <v>45410</v>
      </c>
      <c r="G1114" t="str">
        <f t="shared" si="34"/>
        <v>Apr</v>
      </c>
      <c r="H1114" t="str">
        <f t="shared" si="35"/>
        <v>2024</v>
      </c>
    </row>
    <row r="1115" spans="1:8" hidden="1" x14ac:dyDescent="0.35">
      <c r="A1115" t="s">
        <v>42</v>
      </c>
      <c r="B1115" s="75">
        <v>7884</v>
      </c>
      <c r="C1115" s="75">
        <f>Balance[[#This Row],[COST]]/147</f>
        <v>53.632653061224488</v>
      </c>
      <c r="D1115" s="75" t="s">
        <v>42</v>
      </c>
      <c r="E1115" s="27" t="s">
        <v>270</v>
      </c>
      <c r="F1115" s="2">
        <v>45410</v>
      </c>
      <c r="G1115" t="str">
        <f t="shared" si="34"/>
        <v>Apr</v>
      </c>
      <c r="H1115" t="str">
        <f t="shared" si="35"/>
        <v>2024</v>
      </c>
    </row>
    <row r="1116" spans="1:8" x14ac:dyDescent="0.35">
      <c r="A1116" t="s">
        <v>471</v>
      </c>
      <c r="B1116" s="75">
        <v>400</v>
      </c>
      <c r="C1116" s="73">
        <f>Balance[[#This Row],[COST]]/147</f>
        <v>2.7210884353741496</v>
      </c>
      <c r="D1116" s="1" t="s">
        <v>689</v>
      </c>
      <c r="E1116" s="27" t="s">
        <v>275</v>
      </c>
      <c r="F1116" s="2">
        <v>45411</v>
      </c>
      <c r="G1116" t="str">
        <f t="shared" si="34"/>
        <v>Apr</v>
      </c>
      <c r="H1116" t="str">
        <f t="shared" si="35"/>
        <v>2024</v>
      </c>
    </row>
    <row r="1117" spans="1:8" x14ac:dyDescent="0.35">
      <c r="A1117" t="s">
        <v>467</v>
      </c>
      <c r="B1117" s="75">
        <v>100</v>
      </c>
      <c r="C1117" s="73">
        <f>Balance[[#This Row],[COST]]/147</f>
        <v>0.68027210884353739</v>
      </c>
      <c r="D1117" s="1" t="s">
        <v>689</v>
      </c>
      <c r="E1117" s="27" t="s">
        <v>275</v>
      </c>
      <c r="F1117" s="2">
        <v>45411</v>
      </c>
      <c r="G1117" t="str">
        <f t="shared" si="34"/>
        <v>Apr</v>
      </c>
      <c r="H1117" t="str">
        <f t="shared" si="35"/>
        <v>2024</v>
      </c>
    </row>
    <row r="1118" spans="1:8" x14ac:dyDescent="0.35">
      <c r="A1118" t="s">
        <v>491</v>
      </c>
      <c r="B1118" s="75">
        <v>500</v>
      </c>
      <c r="C1118" s="73">
        <f>Balance[[#This Row],[COST]]/147</f>
        <v>3.4013605442176869</v>
      </c>
      <c r="D1118" s="1" t="s">
        <v>689</v>
      </c>
      <c r="E1118" s="27" t="s">
        <v>275</v>
      </c>
      <c r="F1118" s="2">
        <v>45411</v>
      </c>
      <c r="G1118" t="str">
        <f t="shared" si="34"/>
        <v>Apr</v>
      </c>
      <c r="H1118" t="str">
        <f t="shared" si="35"/>
        <v>2024</v>
      </c>
    </row>
    <row r="1119" spans="1:8" x14ac:dyDescent="0.35">
      <c r="A1119" t="s">
        <v>494</v>
      </c>
      <c r="B1119" s="75">
        <v>600</v>
      </c>
      <c r="C1119" s="73">
        <f>Balance[[#This Row],[COST]]/147</f>
        <v>4.0816326530612246</v>
      </c>
      <c r="D1119" s="1" t="s">
        <v>689</v>
      </c>
      <c r="E1119" s="27" t="s">
        <v>275</v>
      </c>
      <c r="F1119" s="2">
        <v>45411</v>
      </c>
      <c r="G1119" t="str">
        <f t="shared" ref="G1119:G1182" si="36">TEXT(F1119,"mmm")</f>
        <v>Apr</v>
      </c>
      <c r="H1119" t="str">
        <f t="shared" ref="H1119:H1182" si="37">TEXT(F1119,"yyy")</f>
        <v>2024</v>
      </c>
    </row>
    <row r="1120" spans="1:8" x14ac:dyDescent="0.35">
      <c r="A1120" t="s">
        <v>536</v>
      </c>
      <c r="B1120" s="75">
        <v>250</v>
      </c>
      <c r="C1120" s="73">
        <f>Balance[[#This Row],[COST]]/147</f>
        <v>1.7006802721088434</v>
      </c>
      <c r="D1120" s="1" t="s">
        <v>689</v>
      </c>
      <c r="E1120" s="27" t="s">
        <v>275</v>
      </c>
      <c r="F1120" s="2">
        <v>45411</v>
      </c>
      <c r="G1120" t="str">
        <f t="shared" si="36"/>
        <v>Apr</v>
      </c>
      <c r="H1120" t="str">
        <f t="shared" si="37"/>
        <v>2024</v>
      </c>
    </row>
    <row r="1121" spans="1:8" x14ac:dyDescent="0.35">
      <c r="A1121" t="s">
        <v>480</v>
      </c>
      <c r="B1121" s="75">
        <v>1200</v>
      </c>
      <c r="C1121" s="73">
        <f>Balance[[#This Row],[COST]]/147</f>
        <v>8.1632653061224492</v>
      </c>
      <c r="D1121" s="1" t="s">
        <v>689</v>
      </c>
      <c r="E1121" s="27" t="s">
        <v>275</v>
      </c>
      <c r="F1121" s="2">
        <v>45411</v>
      </c>
      <c r="G1121" t="str">
        <f t="shared" si="36"/>
        <v>Apr</v>
      </c>
      <c r="H1121" t="str">
        <f t="shared" si="37"/>
        <v>2024</v>
      </c>
    </row>
    <row r="1122" spans="1:8" hidden="1" x14ac:dyDescent="0.35">
      <c r="A1122" t="s">
        <v>202</v>
      </c>
      <c r="B1122" s="75">
        <v>300</v>
      </c>
      <c r="C1122" s="73">
        <f>Balance[[#This Row],[COST]]/147</f>
        <v>2.0408163265306123</v>
      </c>
      <c r="D1122" s="1" t="s">
        <v>259</v>
      </c>
      <c r="E1122" s="27" t="s">
        <v>265</v>
      </c>
      <c r="F1122" s="2">
        <v>45411</v>
      </c>
      <c r="G1122" t="str">
        <f t="shared" si="36"/>
        <v>Apr</v>
      </c>
      <c r="H1122" t="str">
        <f t="shared" si="37"/>
        <v>2024</v>
      </c>
    </row>
    <row r="1123" spans="1:8" hidden="1" x14ac:dyDescent="0.35">
      <c r="A1123" t="s">
        <v>565</v>
      </c>
      <c r="B1123" s="75">
        <v>87000</v>
      </c>
      <c r="C1123" s="73">
        <f>Balance[[#This Row],[COST]]/147</f>
        <v>591.83673469387759</v>
      </c>
      <c r="D1123" s="1" t="s">
        <v>259</v>
      </c>
      <c r="E1123" s="27" t="s">
        <v>268</v>
      </c>
      <c r="F1123" s="2">
        <v>45411</v>
      </c>
      <c r="G1123" t="str">
        <f t="shared" si="36"/>
        <v>Apr</v>
      </c>
      <c r="H1123" t="str">
        <f t="shared" si="37"/>
        <v>2024</v>
      </c>
    </row>
    <row r="1124" spans="1:8" hidden="1" x14ac:dyDescent="0.35">
      <c r="A1124" t="s">
        <v>323</v>
      </c>
      <c r="B1124" s="75">
        <v>3750</v>
      </c>
      <c r="C1124" s="75">
        <f>Balance[[#This Row],[COST]]/147</f>
        <v>25.510204081632654</v>
      </c>
      <c r="D1124" s="75" t="s">
        <v>259</v>
      </c>
      <c r="E1124" s="27" t="s">
        <v>267</v>
      </c>
      <c r="F1124" s="2">
        <v>45411</v>
      </c>
      <c r="G1124" t="str">
        <f t="shared" si="36"/>
        <v>Apr</v>
      </c>
      <c r="H1124" t="str">
        <f t="shared" si="37"/>
        <v>2024</v>
      </c>
    </row>
    <row r="1125" spans="1:8" x14ac:dyDescent="0.35">
      <c r="A1125" t="s">
        <v>494</v>
      </c>
      <c r="B1125" s="75">
        <v>300</v>
      </c>
      <c r="C1125" s="73">
        <f>Balance[[#This Row],[COST]]/147</f>
        <v>2.0408163265306123</v>
      </c>
      <c r="D1125" s="1" t="s">
        <v>689</v>
      </c>
      <c r="E1125" s="27" t="s">
        <v>275</v>
      </c>
      <c r="F1125" s="2">
        <v>45412</v>
      </c>
      <c r="G1125" t="str">
        <f t="shared" si="36"/>
        <v>Apr</v>
      </c>
      <c r="H1125" t="str">
        <f t="shared" si="37"/>
        <v>2024</v>
      </c>
    </row>
    <row r="1126" spans="1:8" x14ac:dyDescent="0.35">
      <c r="A1126" t="s">
        <v>475</v>
      </c>
      <c r="B1126" s="75">
        <v>700</v>
      </c>
      <c r="C1126" s="73">
        <f>Balance[[#This Row],[COST]]/147</f>
        <v>4.7619047619047619</v>
      </c>
      <c r="D1126" s="1" t="s">
        <v>689</v>
      </c>
      <c r="E1126" s="27" t="s">
        <v>275</v>
      </c>
      <c r="F1126" s="2">
        <v>45412</v>
      </c>
      <c r="G1126" t="str">
        <f t="shared" si="36"/>
        <v>Apr</v>
      </c>
      <c r="H1126" t="str">
        <f t="shared" si="37"/>
        <v>2024</v>
      </c>
    </row>
    <row r="1127" spans="1:8" x14ac:dyDescent="0.35">
      <c r="A1127" t="s">
        <v>462</v>
      </c>
      <c r="B1127" s="75">
        <v>300</v>
      </c>
      <c r="C1127" s="73">
        <f>Balance[[#This Row],[COST]]/147</f>
        <v>2.0408163265306123</v>
      </c>
      <c r="D1127" s="1" t="s">
        <v>689</v>
      </c>
      <c r="E1127" s="27" t="s">
        <v>275</v>
      </c>
      <c r="F1127" s="2">
        <v>45412</v>
      </c>
      <c r="G1127" t="str">
        <f t="shared" si="36"/>
        <v>Apr</v>
      </c>
      <c r="H1127" t="str">
        <f t="shared" si="37"/>
        <v>2024</v>
      </c>
    </row>
    <row r="1128" spans="1:8" hidden="1" x14ac:dyDescent="0.35">
      <c r="A1128" t="s">
        <v>566</v>
      </c>
      <c r="B1128" s="75">
        <v>1689</v>
      </c>
      <c r="C1128" s="73">
        <f>Balance[[#This Row],[COST]]/147</f>
        <v>11.489795918367347</v>
      </c>
      <c r="D1128" s="1" t="s">
        <v>259</v>
      </c>
      <c r="E1128" s="27" t="s">
        <v>265</v>
      </c>
      <c r="F1128" s="2">
        <v>45413</v>
      </c>
      <c r="G1128" t="str">
        <f t="shared" si="36"/>
        <v>May</v>
      </c>
      <c r="H1128" t="str">
        <f t="shared" si="37"/>
        <v>2024</v>
      </c>
    </row>
    <row r="1129" spans="1:8" hidden="1" x14ac:dyDescent="0.35">
      <c r="A1129" t="s">
        <v>567</v>
      </c>
      <c r="B1129" s="75">
        <v>1529</v>
      </c>
      <c r="C1129" s="73">
        <f>Balance[[#This Row],[COST]]/147</f>
        <v>10.401360544217686</v>
      </c>
      <c r="D1129" s="1" t="s">
        <v>259</v>
      </c>
      <c r="E1129" s="27" t="s">
        <v>265</v>
      </c>
      <c r="F1129" s="2">
        <v>45413</v>
      </c>
      <c r="G1129" t="str">
        <f t="shared" si="36"/>
        <v>May</v>
      </c>
      <c r="H1129" t="str">
        <f t="shared" si="37"/>
        <v>2024</v>
      </c>
    </row>
    <row r="1130" spans="1:8" hidden="1" x14ac:dyDescent="0.35">
      <c r="A1130" t="s">
        <v>568</v>
      </c>
      <c r="B1130" s="75">
        <v>1499</v>
      </c>
      <c r="C1130" s="73">
        <f>Balance[[#This Row],[COST]]/147</f>
        <v>10.197278911564625</v>
      </c>
      <c r="D1130" s="1" t="s">
        <v>259</v>
      </c>
      <c r="E1130" s="27" t="s">
        <v>265</v>
      </c>
      <c r="F1130" s="2">
        <v>45413</v>
      </c>
      <c r="G1130" t="str">
        <f t="shared" si="36"/>
        <v>May</v>
      </c>
      <c r="H1130" t="str">
        <f t="shared" si="37"/>
        <v>2024</v>
      </c>
    </row>
    <row r="1131" spans="1:8" hidden="1" x14ac:dyDescent="0.35">
      <c r="A1131" t="s">
        <v>569</v>
      </c>
      <c r="B1131" s="75">
        <v>2499</v>
      </c>
      <c r="C1131" s="73">
        <f>Balance[[#This Row],[COST]]/147</f>
        <v>17</v>
      </c>
      <c r="D1131" s="1" t="s">
        <v>259</v>
      </c>
      <c r="E1131" s="27" t="s">
        <v>4</v>
      </c>
      <c r="F1131" s="2">
        <v>45413</v>
      </c>
      <c r="G1131" t="str">
        <f t="shared" si="36"/>
        <v>May</v>
      </c>
      <c r="H1131" t="str">
        <f t="shared" si="37"/>
        <v>2024</v>
      </c>
    </row>
    <row r="1132" spans="1:8" hidden="1" x14ac:dyDescent="0.35">
      <c r="A1132" t="s">
        <v>570</v>
      </c>
      <c r="B1132" s="75">
        <v>1149</v>
      </c>
      <c r="C1132" s="73">
        <f>Balance[[#This Row],[COST]]/147</f>
        <v>7.8163265306122449</v>
      </c>
      <c r="D1132" s="1" t="s">
        <v>259</v>
      </c>
      <c r="E1132" s="27" t="s">
        <v>265</v>
      </c>
      <c r="F1132" s="2">
        <v>45413</v>
      </c>
      <c r="G1132" t="str">
        <f t="shared" si="36"/>
        <v>May</v>
      </c>
      <c r="H1132" t="str">
        <f t="shared" si="37"/>
        <v>2024</v>
      </c>
    </row>
    <row r="1133" spans="1:8" hidden="1" x14ac:dyDescent="0.35">
      <c r="A1133" t="s">
        <v>571</v>
      </c>
      <c r="B1133" s="75">
        <v>4799</v>
      </c>
      <c r="C1133" s="73">
        <f>Balance[[#This Row],[COST]]/147</f>
        <v>32.646258503401363</v>
      </c>
      <c r="D1133" s="1" t="s">
        <v>259</v>
      </c>
      <c r="E1133" s="27" t="s">
        <v>265</v>
      </c>
      <c r="F1133" s="2">
        <v>45413</v>
      </c>
      <c r="G1133" t="str">
        <f t="shared" si="36"/>
        <v>May</v>
      </c>
      <c r="H1133" t="str">
        <f t="shared" si="37"/>
        <v>2024</v>
      </c>
    </row>
    <row r="1134" spans="1:8" x14ac:dyDescent="0.35">
      <c r="A1134" t="s">
        <v>572</v>
      </c>
      <c r="B1134" s="75">
        <v>5818</v>
      </c>
      <c r="C1134" s="73">
        <f>Balance[[#This Row],[COST]]/147</f>
        <v>39.57823129251701</v>
      </c>
      <c r="D1134" s="1" t="s">
        <v>689</v>
      </c>
      <c r="E1134" s="27" t="s">
        <v>275</v>
      </c>
      <c r="F1134" s="2">
        <v>45413</v>
      </c>
      <c r="G1134" t="str">
        <f t="shared" si="36"/>
        <v>May</v>
      </c>
      <c r="H1134" t="str">
        <f t="shared" si="37"/>
        <v>2024</v>
      </c>
    </row>
    <row r="1135" spans="1:8" hidden="1" x14ac:dyDescent="0.35">
      <c r="A1135" t="s">
        <v>573</v>
      </c>
      <c r="B1135" s="75">
        <v>191</v>
      </c>
      <c r="C1135" s="73">
        <f>Balance[[#This Row],[COST]]/147</f>
        <v>1.2993197278911566</v>
      </c>
      <c r="D1135" s="1" t="s">
        <v>259</v>
      </c>
      <c r="E1135" s="27" t="s">
        <v>265</v>
      </c>
      <c r="F1135" s="2">
        <v>45413</v>
      </c>
      <c r="G1135" t="str">
        <f t="shared" si="36"/>
        <v>May</v>
      </c>
      <c r="H1135" t="str">
        <f t="shared" si="37"/>
        <v>2024</v>
      </c>
    </row>
    <row r="1136" spans="1:8" hidden="1" x14ac:dyDescent="0.35">
      <c r="A1136" t="s">
        <v>497</v>
      </c>
      <c r="B1136" s="75">
        <v>171</v>
      </c>
      <c r="C1136" s="73">
        <f>Balance[[#This Row],[COST]]/147</f>
        <v>1.1632653061224489</v>
      </c>
      <c r="D1136" s="1" t="s">
        <v>259</v>
      </c>
      <c r="E1136" s="27" t="s">
        <v>265</v>
      </c>
      <c r="F1136" s="2">
        <v>45413</v>
      </c>
      <c r="G1136" t="str">
        <f t="shared" si="36"/>
        <v>May</v>
      </c>
      <c r="H1136" t="str">
        <f t="shared" si="37"/>
        <v>2024</v>
      </c>
    </row>
    <row r="1137" spans="1:8" hidden="1" x14ac:dyDescent="0.35">
      <c r="A1137" t="s">
        <v>129</v>
      </c>
      <c r="B1137" s="75">
        <v>1000</v>
      </c>
      <c r="C1137" s="73">
        <f>Balance[[#This Row],[COST]]/147</f>
        <v>6.8027210884353737</v>
      </c>
      <c r="D1137" s="1" t="s">
        <v>259</v>
      </c>
      <c r="E1137" s="27" t="s">
        <v>265</v>
      </c>
      <c r="F1137" s="2">
        <v>45413</v>
      </c>
      <c r="G1137" t="str">
        <f t="shared" si="36"/>
        <v>May</v>
      </c>
      <c r="H1137" t="str">
        <f t="shared" si="37"/>
        <v>2024</v>
      </c>
    </row>
    <row r="1138" spans="1:8" x14ac:dyDescent="0.35">
      <c r="A1138" t="s">
        <v>433</v>
      </c>
      <c r="B1138" s="75">
        <v>500</v>
      </c>
      <c r="C1138" s="73">
        <f>Balance[[#This Row],[COST]]/147</f>
        <v>3.4013605442176869</v>
      </c>
      <c r="D1138" s="1" t="s">
        <v>689</v>
      </c>
      <c r="E1138" s="27" t="s">
        <v>275</v>
      </c>
      <c r="F1138" s="2">
        <v>45414</v>
      </c>
      <c r="G1138" t="str">
        <f t="shared" si="36"/>
        <v>May</v>
      </c>
      <c r="H1138" t="str">
        <f t="shared" si="37"/>
        <v>2024</v>
      </c>
    </row>
    <row r="1139" spans="1:8" x14ac:dyDescent="0.35">
      <c r="A1139" t="s">
        <v>525</v>
      </c>
      <c r="B1139" s="75">
        <v>300</v>
      </c>
      <c r="C1139" s="73">
        <f>Balance[[#This Row],[COST]]/147</f>
        <v>2.0408163265306123</v>
      </c>
      <c r="D1139" s="1" t="s">
        <v>689</v>
      </c>
      <c r="E1139" s="27" t="s">
        <v>275</v>
      </c>
      <c r="F1139" s="2">
        <v>45414</v>
      </c>
      <c r="G1139" t="str">
        <f t="shared" si="36"/>
        <v>May</v>
      </c>
      <c r="H1139" t="str">
        <f t="shared" si="37"/>
        <v>2024</v>
      </c>
    </row>
    <row r="1140" spans="1:8" x14ac:dyDescent="0.35">
      <c r="A1140" t="s">
        <v>465</v>
      </c>
      <c r="B1140" s="75">
        <v>300</v>
      </c>
      <c r="C1140" s="73">
        <f>Balance[[#This Row],[COST]]/147</f>
        <v>2.0408163265306123</v>
      </c>
      <c r="D1140" s="1" t="s">
        <v>689</v>
      </c>
      <c r="E1140" s="27" t="s">
        <v>275</v>
      </c>
      <c r="F1140" s="2">
        <v>45414</v>
      </c>
      <c r="G1140" t="str">
        <f t="shared" si="36"/>
        <v>May</v>
      </c>
      <c r="H1140" t="str">
        <f t="shared" si="37"/>
        <v>2024</v>
      </c>
    </row>
    <row r="1141" spans="1:8" x14ac:dyDescent="0.35">
      <c r="A1141" t="s">
        <v>474</v>
      </c>
      <c r="B1141" s="75">
        <v>400</v>
      </c>
      <c r="C1141" s="73">
        <f>Balance[[#This Row],[COST]]/147</f>
        <v>2.7210884353741496</v>
      </c>
      <c r="D1141" s="1" t="s">
        <v>689</v>
      </c>
      <c r="E1141" s="27" t="s">
        <v>275</v>
      </c>
      <c r="F1141" s="2">
        <v>45414</v>
      </c>
      <c r="G1141" t="str">
        <f t="shared" si="36"/>
        <v>May</v>
      </c>
      <c r="H1141" t="str">
        <f t="shared" si="37"/>
        <v>2024</v>
      </c>
    </row>
    <row r="1142" spans="1:8" x14ac:dyDescent="0.35">
      <c r="A1142" t="s">
        <v>464</v>
      </c>
      <c r="B1142" s="75">
        <v>200</v>
      </c>
      <c r="C1142" s="73">
        <f>Balance[[#This Row],[COST]]/147</f>
        <v>1.3605442176870748</v>
      </c>
      <c r="D1142" s="1" t="s">
        <v>689</v>
      </c>
      <c r="E1142" s="27" t="s">
        <v>275</v>
      </c>
      <c r="F1142" s="2">
        <v>45414</v>
      </c>
      <c r="G1142" t="str">
        <f t="shared" si="36"/>
        <v>May</v>
      </c>
      <c r="H1142" t="str">
        <f t="shared" si="37"/>
        <v>2024</v>
      </c>
    </row>
    <row r="1143" spans="1:8" x14ac:dyDescent="0.35">
      <c r="A1143" t="s">
        <v>469</v>
      </c>
      <c r="B1143" s="75">
        <v>500</v>
      </c>
      <c r="C1143" s="73">
        <f>Balance[[#This Row],[COST]]/147</f>
        <v>3.4013605442176869</v>
      </c>
      <c r="D1143" s="1" t="s">
        <v>689</v>
      </c>
      <c r="E1143" s="27" t="s">
        <v>275</v>
      </c>
      <c r="F1143" s="2">
        <v>45414</v>
      </c>
      <c r="G1143" t="str">
        <f t="shared" si="36"/>
        <v>May</v>
      </c>
      <c r="H1143" t="str">
        <f t="shared" si="37"/>
        <v>2024</v>
      </c>
    </row>
    <row r="1144" spans="1:8" hidden="1" x14ac:dyDescent="0.35">
      <c r="A1144" t="s">
        <v>296</v>
      </c>
      <c r="B1144" s="75">
        <v>800</v>
      </c>
      <c r="C1144" s="75">
        <f>Balance[[#This Row],[COST]]/147</f>
        <v>5.4421768707482991</v>
      </c>
      <c r="D1144" s="1" t="s">
        <v>259</v>
      </c>
      <c r="E1144" s="27" t="s">
        <v>265</v>
      </c>
      <c r="F1144" s="2">
        <v>45415</v>
      </c>
      <c r="G1144" t="str">
        <f t="shared" si="36"/>
        <v>May</v>
      </c>
      <c r="H1144" t="str">
        <f t="shared" si="37"/>
        <v>2024</v>
      </c>
    </row>
    <row r="1145" spans="1:8" hidden="1" x14ac:dyDescent="0.35">
      <c r="A1145" t="s">
        <v>574</v>
      </c>
      <c r="B1145" s="75">
        <v>27500</v>
      </c>
      <c r="C1145" s="75">
        <f>Balance[[#This Row],[COST]]/147</f>
        <v>187.0748299319728</v>
      </c>
      <c r="D1145" s="1" t="s">
        <v>259</v>
      </c>
      <c r="E1145" s="44" t="s">
        <v>554</v>
      </c>
      <c r="F1145" s="2">
        <v>45416</v>
      </c>
      <c r="G1145" t="str">
        <f t="shared" si="36"/>
        <v>May</v>
      </c>
      <c r="H1145" t="str">
        <f t="shared" si="37"/>
        <v>2024</v>
      </c>
    </row>
    <row r="1146" spans="1:8" hidden="1" x14ac:dyDescent="0.35">
      <c r="A1146" t="s">
        <v>284</v>
      </c>
      <c r="B1146" s="75">
        <v>750</v>
      </c>
      <c r="C1146" s="75">
        <f>Balance[[#This Row],[COST]]/147</f>
        <v>5.1020408163265305</v>
      </c>
      <c r="D1146" s="1" t="s">
        <v>259</v>
      </c>
      <c r="E1146" s="27" t="s">
        <v>265</v>
      </c>
      <c r="F1146" s="2">
        <v>45416</v>
      </c>
      <c r="G1146" t="str">
        <f t="shared" si="36"/>
        <v>May</v>
      </c>
      <c r="H1146" t="str">
        <f t="shared" si="37"/>
        <v>2024</v>
      </c>
    </row>
    <row r="1147" spans="1:8" hidden="1" x14ac:dyDescent="0.35">
      <c r="A1147" t="s">
        <v>575</v>
      </c>
      <c r="B1147" s="75">
        <v>1000</v>
      </c>
      <c r="C1147" s="75">
        <f>Balance[[#This Row],[COST]]/147</f>
        <v>6.8027210884353737</v>
      </c>
      <c r="D1147" s="1" t="s">
        <v>259</v>
      </c>
      <c r="E1147" s="27" t="s">
        <v>265</v>
      </c>
      <c r="F1147" s="2">
        <v>45416</v>
      </c>
      <c r="G1147" t="str">
        <f t="shared" si="36"/>
        <v>May</v>
      </c>
      <c r="H1147" t="str">
        <f t="shared" si="37"/>
        <v>2024</v>
      </c>
    </row>
    <row r="1148" spans="1:8" x14ac:dyDescent="0.35">
      <c r="A1148" t="s">
        <v>578</v>
      </c>
      <c r="B1148" s="75">
        <v>1810</v>
      </c>
      <c r="C1148" s="75">
        <f>Balance[[#This Row],[COST]]/147</f>
        <v>12.312925170068027</v>
      </c>
      <c r="D1148" s="1" t="s">
        <v>689</v>
      </c>
      <c r="E1148" s="27" t="s">
        <v>275</v>
      </c>
      <c r="F1148" s="2">
        <v>45417</v>
      </c>
      <c r="G1148" t="str">
        <f t="shared" si="36"/>
        <v>May</v>
      </c>
      <c r="H1148" t="str">
        <f t="shared" si="37"/>
        <v>2024</v>
      </c>
    </row>
    <row r="1149" spans="1:8" hidden="1" x14ac:dyDescent="0.35">
      <c r="A1149" t="s">
        <v>242</v>
      </c>
      <c r="B1149" s="75">
        <v>1600</v>
      </c>
      <c r="C1149" s="75">
        <f>Balance[[#This Row],[COST]]/147</f>
        <v>10.884353741496598</v>
      </c>
      <c r="D1149" s="1" t="s">
        <v>259</v>
      </c>
      <c r="E1149" s="27" t="s">
        <v>265</v>
      </c>
      <c r="F1149" s="2">
        <v>45417</v>
      </c>
      <c r="G1149" t="str">
        <f t="shared" si="36"/>
        <v>May</v>
      </c>
      <c r="H1149" t="str">
        <f t="shared" si="37"/>
        <v>2024</v>
      </c>
    </row>
    <row r="1150" spans="1:8" x14ac:dyDescent="0.35">
      <c r="A1150" t="s">
        <v>433</v>
      </c>
      <c r="B1150" s="75">
        <v>500</v>
      </c>
      <c r="C1150" s="75">
        <f>Balance[[#This Row],[COST]]/147</f>
        <v>3.4013605442176869</v>
      </c>
      <c r="D1150" s="1" t="s">
        <v>689</v>
      </c>
      <c r="E1150" s="27" t="s">
        <v>275</v>
      </c>
      <c r="F1150" s="2">
        <v>45419</v>
      </c>
      <c r="G1150" t="str">
        <f t="shared" si="36"/>
        <v>May</v>
      </c>
      <c r="H1150" t="str">
        <f t="shared" si="37"/>
        <v>2024</v>
      </c>
    </row>
    <row r="1151" spans="1:8" x14ac:dyDescent="0.35">
      <c r="A1151" t="s">
        <v>474</v>
      </c>
      <c r="B1151" s="75">
        <v>500</v>
      </c>
      <c r="C1151" s="75">
        <f>Balance[[#This Row],[COST]]/147</f>
        <v>3.4013605442176869</v>
      </c>
      <c r="D1151" s="1" t="s">
        <v>689</v>
      </c>
      <c r="E1151" s="27" t="s">
        <v>275</v>
      </c>
      <c r="F1151" s="2">
        <v>45419</v>
      </c>
      <c r="G1151" t="str">
        <f t="shared" si="36"/>
        <v>May</v>
      </c>
      <c r="H1151" t="str">
        <f t="shared" si="37"/>
        <v>2024</v>
      </c>
    </row>
    <row r="1152" spans="1:8" hidden="1" x14ac:dyDescent="0.35">
      <c r="A1152" t="s">
        <v>494</v>
      </c>
      <c r="B1152" s="75">
        <v>600</v>
      </c>
      <c r="C1152" s="75">
        <f>Balance[[#This Row],[COST]]/147</f>
        <v>4.0816326530612246</v>
      </c>
      <c r="D1152" s="1" t="s">
        <v>259</v>
      </c>
      <c r="E1152" s="27" t="s">
        <v>265</v>
      </c>
      <c r="F1152" s="2">
        <v>45419</v>
      </c>
      <c r="G1152" t="str">
        <f t="shared" si="36"/>
        <v>May</v>
      </c>
      <c r="H1152" t="str">
        <f t="shared" si="37"/>
        <v>2024</v>
      </c>
    </row>
    <row r="1153" spans="1:8" hidden="1" x14ac:dyDescent="0.35">
      <c r="A1153" t="s">
        <v>238</v>
      </c>
      <c r="B1153" s="75">
        <v>1050</v>
      </c>
      <c r="C1153" s="75">
        <f>Balance[[#This Row],[COST]]/147</f>
        <v>7.1428571428571432</v>
      </c>
      <c r="D1153" s="1" t="s">
        <v>259</v>
      </c>
      <c r="E1153" s="27" t="s">
        <v>265</v>
      </c>
      <c r="F1153" s="2">
        <v>45419</v>
      </c>
      <c r="G1153" t="str">
        <f t="shared" si="36"/>
        <v>May</v>
      </c>
      <c r="H1153" t="str">
        <f t="shared" si="37"/>
        <v>2024</v>
      </c>
    </row>
    <row r="1154" spans="1:8" hidden="1" x14ac:dyDescent="0.35">
      <c r="A1154" t="s">
        <v>183</v>
      </c>
      <c r="B1154" s="75">
        <v>2000</v>
      </c>
      <c r="C1154" s="75">
        <f>Balance[[#This Row],[COST]]/147</f>
        <v>13.605442176870747</v>
      </c>
      <c r="D1154" s="1" t="s">
        <v>259</v>
      </c>
      <c r="E1154" s="27" t="s">
        <v>4</v>
      </c>
      <c r="F1154" s="2">
        <v>45420</v>
      </c>
      <c r="G1154" t="str">
        <f t="shared" si="36"/>
        <v>May</v>
      </c>
      <c r="H1154" t="str">
        <f t="shared" si="37"/>
        <v>2024</v>
      </c>
    </row>
    <row r="1155" spans="1:8" x14ac:dyDescent="0.35">
      <c r="A1155" t="s">
        <v>54</v>
      </c>
      <c r="B1155" s="75">
        <f>2600+(2600*0.15)</f>
        <v>2990</v>
      </c>
      <c r="C1155" s="75">
        <f>Balance[[#This Row],[COST]]/147</f>
        <v>20.34013605442177</v>
      </c>
      <c r="D1155" s="1" t="s">
        <v>689</v>
      </c>
      <c r="E1155" s="27" t="s">
        <v>275</v>
      </c>
      <c r="F1155" s="2">
        <v>45420</v>
      </c>
      <c r="G1155" t="str">
        <f t="shared" si="36"/>
        <v>May</v>
      </c>
      <c r="H1155" t="str">
        <f t="shared" si="37"/>
        <v>2024</v>
      </c>
    </row>
    <row r="1156" spans="1:8" x14ac:dyDescent="0.35">
      <c r="A1156" t="s">
        <v>504</v>
      </c>
      <c r="B1156" s="75">
        <f>1350+(1350*0.15)</f>
        <v>1552.5</v>
      </c>
      <c r="C1156" s="75">
        <f>Balance[[#This Row],[COST]]/147</f>
        <v>10.561224489795919</v>
      </c>
      <c r="D1156" s="1" t="s">
        <v>689</v>
      </c>
      <c r="E1156" s="27" t="s">
        <v>275</v>
      </c>
      <c r="F1156" s="2">
        <v>45420</v>
      </c>
      <c r="G1156" t="str">
        <f t="shared" si="36"/>
        <v>May</v>
      </c>
      <c r="H1156" t="str">
        <f t="shared" si="37"/>
        <v>2024</v>
      </c>
    </row>
    <row r="1157" spans="1:8" x14ac:dyDescent="0.35">
      <c r="A1157" t="s">
        <v>576</v>
      </c>
      <c r="B1157" s="75">
        <f>2250+(2250*0.15)</f>
        <v>2587.5</v>
      </c>
      <c r="C1157" s="75">
        <f>Balance[[#This Row],[COST]]/147</f>
        <v>17.602040816326532</v>
      </c>
      <c r="D1157" s="1" t="s">
        <v>689</v>
      </c>
      <c r="E1157" s="27" t="s">
        <v>275</v>
      </c>
      <c r="F1157" s="2">
        <v>45420</v>
      </c>
      <c r="G1157" t="str">
        <f t="shared" si="36"/>
        <v>May</v>
      </c>
      <c r="H1157" t="str">
        <f t="shared" si="37"/>
        <v>2024</v>
      </c>
    </row>
    <row r="1158" spans="1:8" x14ac:dyDescent="0.35">
      <c r="A1158" t="s">
        <v>577</v>
      </c>
      <c r="B1158" s="75">
        <f>1650+(1650*0.15)</f>
        <v>1897.5</v>
      </c>
      <c r="C1158" s="75">
        <f>Balance[[#This Row],[COST]]/147</f>
        <v>12.908163265306122</v>
      </c>
      <c r="D1158" s="1" t="s">
        <v>689</v>
      </c>
      <c r="E1158" s="27" t="s">
        <v>275</v>
      </c>
      <c r="F1158" s="2">
        <v>45420</v>
      </c>
      <c r="G1158" t="str">
        <f t="shared" si="36"/>
        <v>May</v>
      </c>
      <c r="H1158" t="str">
        <f t="shared" si="37"/>
        <v>2024</v>
      </c>
    </row>
    <row r="1159" spans="1:8" hidden="1" x14ac:dyDescent="0.35">
      <c r="A1159" t="s">
        <v>510</v>
      </c>
      <c r="B1159" s="75">
        <v>2250</v>
      </c>
      <c r="C1159" s="75">
        <f>Balance[[#This Row],[COST]]/147</f>
        <v>15.306122448979592</v>
      </c>
      <c r="D1159" s="1" t="s">
        <v>259</v>
      </c>
      <c r="E1159" s="27" t="s">
        <v>268</v>
      </c>
      <c r="F1159" s="2">
        <v>45420</v>
      </c>
      <c r="G1159" t="str">
        <f t="shared" si="36"/>
        <v>May</v>
      </c>
      <c r="H1159" t="str">
        <f t="shared" si="37"/>
        <v>2024</v>
      </c>
    </row>
    <row r="1160" spans="1:8" hidden="1" x14ac:dyDescent="0.35">
      <c r="A1160" t="s">
        <v>474</v>
      </c>
      <c r="B1160" s="75">
        <v>1000</v>
      </c>
      <c r="C1160" s="75">
        <f>Balance[[#This Row],[COST]]/147</f>
        <v>6.8027210884353737</v>
      </c>
      <c r="D1160" s="1" t="s">
        <v>259</v>
      </c>
      <c r="E1160" s="27" t="s">
        <v>265</v>
      </c>
      <c r="F1160" s="2">
        <v>45421</v>
      </c>
      <c r="G1160" t="str">
        <f t="shared" si="36"/>
        <v>May</v>
      </c>
      <c r="H1160" t="str">
        <f t="shared" si="37"/>
        <v>2024</v>
      </c>
    </row>
    <row r="1161" spans="1:8" x14ac:dyDescent="0.35">
      <c r="A1161" t="s">
        <v>462</v>
      </c>
      <c r="B1161" s="75">
        <v>200</v>
      </c>
      <c r="C1161" s="75">
        <f>Balance[[#This Row],[COST]]/147</f>
        <v>1.3605442176870748</v>
      </c>
      <c r="D1161" s="1" t="s">
        <v>689</v>
      </c>
      <c r="E1161" s="27" t="s">
        <v>275</v>
      </c>
      <c r="F1161" s="2">
        <v>45421</v>
      </c>
      <c r="G1161" t="str">
        <f t="shared" si="36"/>
        <v>May</v>
      </c>
      <c r="H1161" t="str">
        <f t="shared" si="37"/>
        <v>2024</v>
      </c>
    </row>
    <row r="1162" spans="1:8" x14ac:dyDescent="0.35">
      <c r="A1162" t="s">
        <v>465</v>
      </c>
      <c r="B1162" s="75">
        <v>250</v>
      </c>
      <c r="C1162" s="75">
        <f>Balance[[#This Row],[COST]]/147</f>
        <v>1.7006802721088434</v>
      </c>
      <c r="D1162" s="1" t="s">
        <v>689</v>
      </c>
      <c r="E1162" s="27" t="s">
        <v>275</v>
      </c>
      <c r="F1162" s="2">
        <v>45421</v>
      </c>
      <c r="G1162" t="str">
        <f t="shared" si="36"/>
        <v>May</v>
      </c>
      <c r="H1162" t="str">
        <f t="shared" si="37"/>
        <v>2024</v>
      </c>
    </row>
    <row r="1163" spans="1:8" x14ac:dyDescent="0.35">
      <c r="A1163" t="s">
        <v>491</v>
      </c>
      <c r="B1163" s="75">
        <v>800</v>
      </c>
      <c r="C1163" s="75">
        <f>Balance[[#This Row],[COST]]/147</f>
        <v>5.4421768707482991</v>
      </c>
      <c r="D1163" s="1" t="s">
        <v>689</v>
      </c>
      <c r="E1163" s="27" t="s">
        <v>275</v>
      </c>
      <c r="F1163" s="2">
        <v>45421</v>
      </c>
      <c r="G1163" t="str">
        <f t="shared" si="36"/>
        <v>May</v>
      </c>
      <c r="H1163" t="str">
        <f t="shared" si="37"/>
        <v>2024</v>
      </c>
    </row>
    <row r="1164" spans="1:8" x14ac:dyDescent="0.35">
      <c r="A1164" t="s">
        <v>480</v>
      </c>
      <c r="B1164" s="75">
        <v>500</v>
      </c>
      <c r="C1164" s="75">
        <f>Balance[[#This Row],[COST]]/147</f>
        <v>3.4013605442176869</v>
      </c>
      <c r="D1164" s="1" t="s">
        <v>689</v>
      </c>
      <c r="E1164" s="27" t="s">
        <v>275</v>
      </c>
      <c r="F1164" s="2">
        <v>45421</v>
      </c>
      <c r="G1164" t="str">
        <f t="shared" si="36"/>
        <v>May</v>
      </c>
      <c r="H1164" t="str">
        <f t="shared" si="37"/>
        <v>2024</v>
      </c>
    </row>
    <row r="1165" spans="1:8" x14ac:dyDescent="0.35">
      <c r="A1165" t="s">
        <v>471</v>
      </c>
      <c r="B1165" s="75">
        <v>600</v>
      </c>
      <c r="C1165" s="75">
        <f>Balance[[#This Row],[COST]]/147</f>
        <v>4.0816326530612246</v>
      </c>
      <c r="D1165" s="1" t="s">
        <v>689</v>
      </c>
      <c r="E1165" s="27" t="s">
        <v>275</v>
      </c>
      <c r="F1165" s="2">
        <v>45421</v>
      </c>
      <c r="G1165" t="str">
        <f t="shared" si="36"/>
        <v>May</v>
      </c>
      <c r="H1165" t="str">
        <f t="shared" si="37"/>
        <v>2024</v>
      </c>
    </row>
    <row r="1166" spans="1:8" x14ac:dyDescent="0.35">
      <c r="A1166" t="s">
        <v>551</v>
      </c>
      <c r="B1166" s="75">
        <v>120</v>
      </c>
      <c r="C1166" s="75">
        <f>Balance[[#This Row],[COST]]/147</f>
        <v>0.81632653061224492</v>
      </c>
      <c r="D1166" s="1" t="s">
        <v>689</v>
      </c>
      <c r="E1166" s="27" t="s">
        <v>275</v>
      </c>
      <c r="F1166" s="2">
        <v>45421</v>
      </c>
      <c r="G1166" t="str">
        <f t="shared" si="36"/>
        <v>May</v>
      </c>
      <c r="H1166" t="str">
        <f t="shared" si="37"/>
        <v>2024</v>
      </c>
    </row>
    <row r="1167" spans="1:8" hidden="1" x14ac:dyDescent="0.35">
      <c r="A1167" t="s">
        <v>437</v>
      </c>
      <c r="B1167" s="75">
        <v>280</v>
      </c>
      <c r="C1167" s="75">
        <f>Balance[[#This Row],[COST]]/147</f>
        <v>1.9047619047619047</v>
      </c>
      <c r="D1167" s="1" t="s">
        <v>259</v>
      </c>
      <c r="E1167" s="27" t="s">
        <v>268</v>
      </c>
      <c r="F1167" s="2">
        <v>45422</v>
      </c>
      <c r="G1167" t="str">
        <f t="shared" si="36"/>
        <v>May</v>
      </c>
      <c r="H1167" t="str">
        <f t="shared" si="37"/>
        <v>2024</v>
      </c>
    </row>
    <row r="1168" spans="1:8" hidden="1" x14ac:dyDescent="0.35">
      <c r="A1168" t="s">
        <v>517</v>
      </c>
      <c r="B1168" s="75">
        <v>70</v>
      </c>
      <c r="C1168" s="75">
        <f>Balance[[#This Row],[COST]]/147</f>
        <v>0.47619047619047616</v>
      </c>
      <c r="D1168" s="1" t="s">
        <v>259</v>
      </c>
      <c r="E1168" s="27" t="s">
        <v>265</v>
      </c>
      <c r="F1168" s="2">
        <v>45422</v>
      </c>
      <c r="G1168" t="str">
        <f t="shared" si="36"/>
        <v>May</v>
      </c>
      <c r="H1168" t="str">
        <f t="shared" si="37"/>
        <v>2024</v>
      </c>
    </row>
    <row r="1169" spans="1:8" hidden="1" x14ac:dyDescent="0.35">
      <c r="A1169" t="s">
        <v>438</v>
      </c>
      <c r="B1169" s="75">
        <v>650</v>
      </c>
      <c r="C1169" s="75">
        <f>Balance[[#This Row],[COST]]/147</f>
        <v>4.4217687074829932</v>
      </c>
      <c r="D1169" s="1" t="s">
        <v>259</v>
      </c>
      <c r="E1169" s="27" t="s">
        <v>265</v>
      </c>
      <c r="F1169" s="2">
        <v>45422</v>
      </c>
      <c r="G1169" t="str">
        <f t="shared" si="36"/>
        <v>May</v>
      </c>
      <c r="H1169" t="str">
        <f t="shared" si="37"/>
        <v>2024</v>
      </c>
    </row>
    <row r="1170" spans="1:8" hidden="1" x14ac:dyDescent="0.35">
      <c r="A1170" t="s">
        <v>497</v>
      </c>
      <c r="B1170" s="75">
        <v>2300</v>
      </c>
      <c r="C1170" s="75">
        <f>Balance[[#This Row],[COST]]/147</f>
        <v>15.646258503401361</v>
      </c>
      <c r="D1170" s="1" t="s">
        <v>259</v>
      </c>
      <c r="E1170" s="27" t="s">
        <v>265</v>
      </c>
      <c r="F1170" s="2">
        <v>45422</v>
      </c>
      <c r="G1170" t="str">
        <f t="shared" si="36"/>
        <v>May</v>
      </c>
      <c r="H1170" t="str">
        <f t="shared" si="37"/>
        <v>2024</v>
      </c>
    </row>
    <row r="1171" spans="1:8" hidden="1" x14ac:dyDescent="0.35">
      <c r="A1171" t="s">
        <v>581</v>
      </c>
      <c r="B1171" s="75">
        <v>1900</v>
      </c>
      <c r="C1171" s="75">
        <f>Balance[[#This Row],[COST]]/147</f>
        <v>12.92517006802721</v>
      </c>
      <c r="D1171" s="1" t="s">
        <v>259</v>
      </c>
      <c r="E1171" s="27" t="s">
        <v>268</v>
      </c>
      <c r="F1171" s="2">
        <v>45422</v>
      </c>
      <c r="G1171" t="str">
        <f t="shared" si="36"/>
        <v>May</v>
      </c>
      <c r="H1171" t="str">
        <f t="shared" si="37"/>
        <v>2024</v>
      </c>
    </row>
    <row r="1172" spans="1:8" hidden="1" x14ac:dyDescent="0.35">
      <c r="A1172" t="s">
        <v>183</v>
      </c>
      <c r="B1172" s="75">
        <v>4000</v>
      </c>
      <c r="C1172" s="75">
        <f>Balance[[#This Row],[COST]]/147</f>
        <v>27.210884353741495</v>
      </c>
      <c r="D1172" s="1" t="s">
        <v>259</v>
      </c>
      <c r="E1172" s="27" t="s">
        <v>4</v>
      </c>
      <c r="F1172" s="2">
        <v>45422</v>
      </c>
      <c r="G1172" t="str">
        <f t="shared" si="36"/>
        <v>May</v>
      </c>
      <c r="H1172" t="str">
        <f t="shared" si="37"/>
        <v>2024</v>
      </c>
    </row>
    <row r="1173" spans="1:8" hidden="1" x14ac:dyDescent="0.35">
      <c r="A1173" t="s">
        <v>242</v>
      </c>
      <c r="B1173" s="75">
        <v>1500</v>
      </c>
      <c r="C1173" s="75">
        <f>Balance[[#This Row],[COST]]/147</f>
        <v>10.204081632653061</v>
      </c>
      <c r="D1173" s="1" t="s">
        <v>259</v>
      </c>
      <c r="E1173" s="27" t="s">
        <v>265</v>
      </c>
      <c r="F1173" s="2">
        <v>45422</v>
      </c>
      <c r="G1173" t="str">
        <f t="shared" si="36"/>
        <v>May</v>
      </c>
      <c r="H1173" t="str">
        <f t="shared" si="37"/>
        <v>2024</v>
      </c>
    </row>
    <row r="1174" spans="1:8" hidden="1" x14ac:dyDescent="0.35">
      <c r="A1174" t="s">
        <v>114</v>
      </c>
      <c r="B1174" s="75">
        <v>1400</v>
      </c>
      <c r="C1174" s="75">
        <f>Balance[[#This Row],[COST]]/147</f>
        <v>9.5238095238095237</v>
      </c>
      <c r="D1174" s="1" t="s">
        <v>259</v>
      </c>
      <c r="E1174" s="27" t="s">
        <v>265</v>
      </c>
      <c r="F1174" s="2">
        <v>45424</v>
      </c>
      <c r="G1174" t="str">
        <f t="shared" si="36"/>
        <v>May</v>
      </c>
      <c r="H1174" t="str">
        <f t="shared" si="37"/>
        <v>2024</v>
      </c>
    </row>
    <row r="1175" spans="1:8" hidden="1" x14ac:dyDescent="0.35">
      <c r="A1175" t="s">
        <v>183</v>
      </c>
      <c r="B1175" s="75">
        <v>3000</v>
      </c>
      <c r="C1175" s="75">
        <f>Balance[[#This Row],[COST]]/147</f>
        <v>20.408163265306122</v>
      </c>
      <c r="D1175" s="1" t="s">
        <v>259</v>
      </c>
      <c r="E1175" s="27" t="s">
        <v>4</v>
      </c>
      <c r="F1175" s="2">
        <v>45424</v>
      </c>
      <c r="G1175" t="str">
        <f t="shared" si="36"/>
        <v>May</v>
      </c>
      <c r="H1175" t="str">
        <f t="shared" si="37"/>
        <v>2024</v>
      </c>
    </row>
    <row r="1176" spans="1:8" hidden="1" x14ac:dyDescent="0.35">
      <c r="A1176" t="s">
        <v>337</v>
      </c>
      <c r="B1176" s="76">
        <v>10000</v>
      </c>
      <c r="C1176" s="63">
        <f>Balance[[#This Row],[COST]]/147</f>
        <v>68.027210884353735</v>
      </c>
      <c r="D1176" s="1" t="s">
        <v>263</v>
      </c>
      <c r="E1176" s="27" t="s">
        <v>274</v>
      </c>
      <c r="F1176" s="2">
        <v>45425</v>
      </c>
      <c r="G1176" t="str">
        <f t="shared" si="36"/>
        <v>May</v>
      </c>
      <c r="H1176" t="str">
        <f t="shared" si="37"/>
        <v>2024</v>
      </c>
    </row>
    <row r="1177" spans="1:8" x14ac:dyDescent="0.35">
      <c r="A1177" t="s">
        <v>425</v>
      </c>
      <c r="B1177" s="75">
        <v>1070</v>
      </c>
      <c r="C1177" s="75">
        <f>Balance[[#This Row],[COST]]/147</f>
        <v>7.27891156462585</v>
      </c>
      <c r="D1177" s="1" t="s">
        <v>689</v>
      </c>
      <c r="E1177" s="27" t="s">
        <v>275</v>
      </c>
      <c r="F1177" s="2">
        <v>45426</v>
      </c>
      <c r="G1177" t="str">
        <f t="shared" si="36"/>
        <v>May</v>
      </c>
      <c r="H1177" t="str">
        <f t="shared" si="37"/>
        <v>2024</v>
      </c>
    </row>
    <row r="1178" spans="1:8" x14ac:dyDescent="0.35">
      <c r="A1178" t="s">
        <v>425</v>
      </c>
      <c r="B1178" s="75">
        <v>1070</v>
      </c>
      <c r="C1178" s="75">
        <f>Balance[[#This Row],[COST]]/147</f>
        <v>7.27891156462585</v>
      </c>
      <c r="D1178" s="1" t="s">
        <v>689</v>
      </c>
      <c r="E1178" s="27" t="s">
        <v>275</v>
      </c>
      <c r="F1178" s="2">
        <v>45426</v>
      </c>
      <c r="G1178" t="str">
        <f t="shared" si="36"/>
        <v>May</v>
      </c>
      <c r="H1178" t="str">
        <f t="shared" si="37"/>
        <v>2024</v>
      </c>
    </row>
    <row r="1179" spans="1:8" x14ac:dyDescent="0.35">
      <c r="A1179" t="s">
        <v>582</v>
      </c>
      <c r="B1179" s="75">
        <v>300</v>
      </c>
      <c r="C1179" s="75">
        <f>Balance[[#This Row],[COST]]/147</f>
        <v>2.0408163265306123</v>
      </c>
      <c r="D1179" s="1" t="s">
        <v>689</v>
      </c>
      <c r="E1179" s="27" t="s">
        <v>275</v>
      </c>
      <c r="F1179" s="2">
        <v>45426</v>
      </c>
      <c r="G1179" t="str">
        <f t="shared" si="36"/>
        <v>May</v>
      </c>
      <c r="H1179" t="str">
        <f t="shared" si="37"/>
        <v>2024</v>
      </c>
    </row>
    <row r="1180" spans="1:8" hidden="1" x14ac:dyDescent="0.35">
      <c r="A1180" t="s">
        <v>457</v>
      </c>
      <c r="B1180" s="75">
        <f>4800+1500</f>
        <v>6300</v>
      </c>
      <c r="C1180" s="75">
        <f>Balance[[#This Row],[COST]]/147</f>
        <v>42.857142857142854</v>
      </c>
      <c r="D1180" s="1" t="s">
        <v>259</v>
      </c>
      <c r="E1180" s="27" t="s">
        <v>265</v>
      </c>
      <c r="F1180" s="2">
        <v>45426</v>
      </c>
      <c r="G1180" t="str">
        <f t="shared" si="36"/>
        <v>May</v>
      </c>
      <c r="H1180" t="str">
        <f t="shared" si="37"/>
        <v>2024</v>
      </c>
    </row>
    <row r="1181" spans="1:8" hidden="1" x14ac:dyDescent="0.35">
      <c r="A1181" t="s">
        <v>299</v>
      </c>
      <c r="B1181" s="75">
        <v>1300</v>
      </c>
      <c r="C1181" s="75">
        <f>Balance[[#This Row],[COST]]/147</f>
        <v>8.8435374149659864</v>
      </c>
      <c r="D1181" s="1" t="s">
        <v>259</v>
      </c>
      <c r="E1181" s="27" t="s">
        <v>265</v>
      </c>
      <c r="F1181" s="2">
        <v>45426</v>
      </c>
      <c r="G1181" t="str">
        <f t="shared" si="36"/>
        <v>May</v>
      </c>
      <c r="H1181" t="str">
        <f t="shared" si="37"/>
        <v>2024</v>
      </c>
    </row>
    <row r="1182" spans="1:8" hidden="1" x14ac:dyDescent="0.35">
      <c r="A1182" t="s">
        <v>238</v>
      </c>
      <c r="B1182" s="75">
        <v>900</v>
      </c>
      <c r="C1182" s="75">
        <f>Balance[[#This Row],[COST]]/147</f>
        <v>6.1224489795918364</v>
      </c>
      <c r="D1182" s="1" t="s">
        <v>259</v>
      </c>
      <c r="E1182" s="27" t="s">
        <v>265</v>
      </c>
      <c r="F1182" s="2">
        <v>45427</v>
      </c>
      <c r="G1182" t="str">
        <f t="shared" si="36"/>
        <v>May</v>
      </c>
      <c r="H1182" t="str">
        <f t="shared" si="37"/>
        <v>2024</v>
      </c>
    </row>
    <row r="1183" spans="1:8" hidden="1" x14ac:dyDescent="0.35">
      <c r="A1183" t="s">
        <v>202</v>
      </c>
      <c r="B1183" s="75">
        <v>800</v>
      </c>
      <c r="C1183" s="75">
        <f>Balance[[#This Row],[COST]]/147</f>
        <v>5.4421768707482991</v>
      </c>
      <c r="D1183" s="1" t="s">
        <v>259</v>
      </c>
      <c r="E1183" s="27" t="s">
        <v>265</v>
      </c>
      <c r="F1183" s="2">
        <v>45427</v>
      </c>
      <c r="G1183" t="str">
        <f t="shared" ref="G1183:G1246" si="38">TEXT(F1183,"mmm")</f>
        <v>May</v>
      </c>
      <c r="H1183" t="str">
        <f t="shared" ref="H1183:H1246" si="39">TEXT(F1183,"yyy")</f>
        <v>2024</v>
      </c>
    </row>
    <row r="1184" spans="1:8" hidden="1" x14ac:dyDescent="0.35">
      <c r="A1184" t="s">
        <v>229</v>
      </c>
      <c r="B1184" s="76">
        <f>Balance[[#This Row],[Cost USD]]*157</f>
        <v>940.43000000000006</v>
      </c>
      <c r="C1184" s="76">
        <v>5.99</v>
      </c>
      <c r="D1184" s="76" t="s">
        <v>259</v>
      </c>
      <c r="E1184" s="27" t="s">
        <v>267</v>
      </c>
      <c r="F1184" s="2">
        <v>45427</v>
      </c>
      <c r="G1184" t="str">
        <f t="shared" si="38"/>
        <v>May</v>
      </c>
      <c r="H1184" t="str">
        <f t="shared" si="39"/>
        <v>2024</v>
      </c>
    </row>
    <row r="1185" spans="1:8" x14ac:dyDescent="0.35">
      <c r="A1185" t="s">
        <v>491</v>
      </c>
      <c r="B1185" s="75">
        <v>960</v>
      </c>
      <c r="C1185" s="75">
        <f>Balance[[#This Row],[COST]]/147</f>
        <v>6.5306122448979593</v>
      </c>
      <c r="D1185" s="1" t="s">
        <v>689</v>
      </c>
      <c r="E1185" s="27" t="s">
        <v>275</v>
      </c>
      <c r="F1185" s="2">
        <v>45428</v>
      </c>
      <c r="G1185" t="str">
        <f t="shared" si="38"/>
        <v>May</v>
      </c>
      <c r="H1185" t="str">
        <f t="shared" si="39"/>
        <v>2024</v>
      </c>
    </row>
    <row r="1186" spans="1:8" x14ac:dyDescent="0.35">
      <c r="A1186" t="s">
        <v>469</v>
      </c>
      <c r="B1186" s="75">
        <v>600</v>
      </c>
      <c r="C1186" s="75">
        <f>Balance[[#This Row],[COST]]/147</f>
        <v>4.0816326530612246</v>
      </c>
      <c r="D1186" s="1" t="s">
        <v>689</v>
      </c>
      <c r="E1186" s="27" t="s">
        <v>275</v>
      </c>
      <c r="F1186" s="2">
        <v>45428</v>
      </c>
      <c r="G1186" t="str">
        <f t="shared" si="38"/>
        <v>May</v>
      </c>
      <c r="H1186" t="str">
        <f t="shared" si="39"/>
        <v>2024</v>
      </c>
    </row>
    <row r="1187" spans="1:8" x14ac:dyDescent="0.35">
      <c r="A1187" t="s">
        <v>471</v>
      </c>
      <c r="B1187" s="75">
        <v>600</v>
      </c>
      <c r="C1187" s="75">
        <f>Balance[[#This Row],[COST]]/147</f>
        <v>4.0816326530612246</v>
      </c>
      <c r="D1187" s="1" t="s">
        <v>689</v>
      </c>
      <c r="E1187" s="27" t="s">
        <v>275</v>
      </c>
      <c r="F1187" s="2">
        <v>45428</v>
      </c>
      <c r="G1187" t="str">
        <f t="shared" si="38"/>
        <v>May</v>
      </c>
      <c r="H1187" t="str">
        <f t="shared" si="39"/>
        <v>2024</v>
      </c>
    </row>
    <row r="1188" spans="1:8" x14ac:dyDescent="0.35">
      <c r="A1188" t="s">
        <v>462</v>
      </c>
      <c r="B1188" s="75">
        <v>210</v>
      </c>
      <c r="C1188" s="75">
        <f>Balance[[#This Row],[COST]]/147</f>
        <v>1.4285714285714286</v>
      </c>
      <c r="D1188" s="1" t="s">
        <v>689</v>
      </c>
      <c r="E1188" s="27" t="s">
        <v>275</v>
      </c>
      <c r="F1188" s="2">
        <v>45428</v>
      </c>
      <c r="G1188" t="str">
        <f t="shared" si="38"/>
        <v>May</v>
      </c>
      <c r="H1188" t="str">
        <f t="shared" si="39"/>
        <v>2024</v>
      </c>
    </row>
    <row r="1189" spans="1:8" x14ac:dyDescent="0.35">
      <c r="A1189" t="s">
        <v>465</v>
      </c>
      <c r="B1189" s="75">
        <v>500</v>
      </c>
      <c r="C1189" s="75">
        <f>Balance[[#This Row],[COST]]/147</f>
        <v>3.4013605442176869</v>
      </c>
      <c r="D1189" s="1" t="s">
        <v>689</v>
      </c>
      <c r="E1189" s="27" t="s">
        <v>275</v>
      </c>
      <c r="F1189" s="2">
        <v>45428</v>
      </c>
      <c r="G1189" t="str">
        <f t="shared" si="38"/>
        <v>May</v>
      </c>
      <c r="H1189" t="str">
        <f t="shared" si="39"/>
        <v>2024</v>
      </c>
    </row>
    <row r="1190" spans="1:8" x14ac:dyDescent="0.35">
      <c r="A1190" t="s">
        <v>474</v>
      </c>
      <c r="B1190" s="75">
        <v>900</v>
      </c>
      <c r="C1190" s="75">
        <f>Balance[[#This Row],[COST]]/147</f>
        <v>6.1224489795918364</v>
      </c>
      <c r="D1190" s="1" t="s">
        <v>689</v>
      </c>
      <c r="E1190" s="27" t="s">
        <v>275</v>
      </c>
      <c r="F1190" s="2">
        <v>45428</v>
      </c>
      <c r="G1190" t="str">
        <f t="shared" si="38"/>
        <v>May</v>
      </c>
      <c r="H1190" t="str">
        <f t="shared" si="39"/>
        <v>2024</v>
      </c>
    </row>
    <row r="1191" spans="1:8" x14ac:dyDescent="0.35">
      <c r="A1191" t="s">
        <v>583</v>
      </c>
      <c r="B1191" s="75">
        <v>100</v>
      </c>
      <c r="C1191" s="75">
        <f>Balance[[#This Row],[COST]]/147</f>
        <v>0.68027210884353739</v>
      </c>
      <c r="D1191" s="1" t="s">
        <v>689</v>
      </c>
      <c r="E1191" s="27" t="s">
        <v>275</v>
      </c>
      <c r="F1191" s="2">
        <v>45428</v>
      </c>
      <c r="G1191" t="str">
        <f t="shared" si="38"/>
        <v>May</v>
      </c>
      <c r="H1191" t="str">
        <f t="shared" si="39"/>
        <v>2024</v>
      </c>
    </row>
    <row r="1192" spans="1:8" x14ac:dyDescent="0.35">
      <c r="A1192" t="s">
        <v>584</v>
      </c>
      <c r="B1192" s="75">
        <v>50</v>
      </c>
      <c r="C1192" s="75">
        <f>Balance[[#This Row],[COST]]/147</f>
        <v>0.3401360544217687</v>
      </c>
      <c r="D1192" s="1" t="s">
        <v>689</v>
      </c>
      <c r="E1192" s="27" t="s">
        <v>275</v>
      </c>
      <c r="F1192" s="2">
        <v>45428</v>
      </c>
      <c r="G1192" t="str">
        <f t="shared" si="38"/>
        <v>May</v>
      </c>
      <c r="H1192" t="str">
        <f t="shared" si="39"/>
        <v>2024</v>
      </c>
    </row>
    <row r="1193" spans="1:8" x14ac:dyDescent="0.35">
      <c r="A1193" t="s">
        <v>536</v>
      </c>
      <c r="B1193" s="75">
        <v>500</v>
      </c>
      <c r="C1193" s="75">
        <f>Balance[[#This Row],[COST]]/147</f>
        <v>3.4013605442176869</v>
      </c>
      <c r="D1193" s="1" t="s">
        <v>689</v>
      </c>
      <c r="E1193" s="27" t="s">
        <v>275</v>
      </c>
      <c r="F1193" s="2">
        <v>45428</v>
      </c>
      <c r="G1193" t="str">
        <f t="shared" si="38"/>
        <v>May</v>
      </c>
      <c r="H1193" t="str">
        <f t="shared" si="39"/>
        <v>2024</v>
      </c>
    </row>
    <row r="1194" spans="1:8" x14ac:dyDescent="0.35">
      <c r="A1194" t="s">
        <v>585</v>
      </c>
      <c r="B1194" s="75">
        <v>200</v>
      </c>
      <c r="C1194" s="75">
        <f>Balance[[#This Row],[COST]]/147</f>
        <v>1.3605442176870748</v>
      </c>
      <c r="D1194" s="1" t="s">
        <v>689</v>
      </c>
      <c r="E1194" s="27" t="s">
        <v>275</v>
      </c>
      <c r="F1194" s="2">
        <v>45428</v>
      </c>
      <c r="G1194" t="str">
        <f t="shared" si="38"/>
        <v>May</v>
      </c>
      <c r="H1194" t="str">
        <f t="shared" si="39"/>
        <v>2024</v>
      </c>
    </row>
    <row r="1195" spans="1:8" hidden="1" x14ac:dyDescent="0.35">
      <c r="A1195" t="s">
        <v>49</v>
      </c>
      <c r="B1195" s="75">
        <v>25000</v>
      </c>
      <c r="C1195" s="75">
        <f>Balance[[#This Row],[COST]]/147</f>
        <v>170.06802721088437</v>
      </c>
      <c r="D1195" s="75" t="s">
        <v>263</v>
      </c>
      <c r="E1195" s="27" t="s">
        <v>274</v>
      </c>
      <c r="F1195" s="2">
        <v>45436</v>
      </c>
      <c r="G1195" t="str">
        <f t="shared" si="38"/>
        <v>May</v>
      </c>
      <c r="H1195" t="str">
        <f t="shared" si="39"/>
        <v>2024</v>
      </c>
    </row>
    <row r="1196" spans="1:8" hidden="1" x14ac:dyDescent="0.35">
      <c r="A1196" t="s">
        <v>283</v>
      </c>
      <c r="B1196" s="75">
        <v>57040</v>
      </c>
      <c r="C1196" s="75">
        <f>Balance[[#This Row],[COST]]/147</f>
        <v>388.02721088435374</v>
      </c>
      <c r="D1196" s="75" t="s">
        <v>15</v>
      </c>
      <c r="E1196" s="27" t="s">
        <v>269</v>
      </c>
      <c r="F1196" s="2">
        <v>45436</v>
      </c>
      <c r="G1196" t="str">
        <f t="shared" si="38"/>
        <v>May</v>
      </c>
      <c r="H1196" t="str">
        <f t="shared" si="39"/>
        <v>2024</v>
      </c>
    </row>
    <row r="1197" spans="1:8" hidden="1" x14ac:dyDescent="0.35">
      <c r="A1197" t="s">
        <v>369</v>
      </c>
      <c r="B1197" s="76">
        <v>20000</v>
      </c>
      <c r="C1197" s="75">
        <f>Balance[[#This Row],[COST]]/147</f>
        <v>136.05442176870747</v>
      </c>
      <c r="D1197" s="1" t="s">
        <v>259</v>
      </c>
      <c r="E1197" s="27" t="s">
        <v>267</v>
      </c>
      <c r="F1197" s="2">
        <v>45436</v>
      </c>
      <c r="G1197" t="str">
        <f t="shared" si="38"/>
        <v>May</v>
      </c>
      <c r="H1197" t="str">
        <f t="shared" si="39"/>
        <v>2024</v>
      </c>
    </row>
    <row r="1198" spans="1:8" hidden="1" x14ac:dyDescent="0.35">
      <c r="A1198" t="s">
        <v>183</v>
      </c>
      <c r="B1198" s="76">
        <v>3000</v>
      </c>
      <c r="C1198" s="75">
        <f>Balance[[#This Row],[COST]]/147</f>
        <v>20.408163265306122</v>
      </c>
      <c r="D1198" s="1" t="s">
        <v>259</v>
      </c>
      <c r="E1198" s="27" t="s">
        <v>4</v>
      </c>
      <c r="F1198" s="2">
        <v>45436</v>
      </c>
      <c r="G1198" t="str">
        <f t="shared" si="38"/>
        <v>May</v>
      </c>
      <c r="H1198" t="str">
        <f t="shared" si="39"/>
        <v>2024</v>
      </c>
    </row>
    <row r="1199" spans="1:8" hidden="1" x14ac:dyDescent="0.35">
      <c r="A1199" t="s">
        <v>564</v>
      </c>
      <c r="B1199" s="75">
        <v>19000</v>
      </c>
      <c r="C1199" s="73">
        <f>Balance[[#This Row],[COST]]/147</f>
        <v>129.25170068027211</v>
      </c>
      <c r="D1199" s="1" t="s">
        <v>515</v>
      </c>
      <c r="E1199" s="27" t="s">
        <v>514</v>
      </c>
      <c r="F1199" s="2">
        <v>45438</v>
      </c>
      <c r="G1199" t="str">
        <f t="shared" si="38"/>
        <v>May</v>
      </c>
      <c r="H1199" t="str">
        <f t="shared" si="39"/>
        <v>2024</v>
      </c>
    </row>
    <row r="1200" spans="1:8" hidden="1" x14ac:dyDescent="0.35">
      <c r="A1200" t="s">
        <v>361</v>
      </c>
      <c r="B1200" s="76">
        <v>366</v>
      </c>
      <c r="C1200" s="75">
        <f>Balance[[#This Row],[COST]]/147</f>
        <v>2.489795918367347</v>
      </c>
      <c r="D1200" s="1" t="s">
        <v>259</v>
      </c>
      <c r="E1200" s="27" t="s">
        <v>265</v>
      </c>
      <c r="F1200" s="2">
        <v>45438</v>
      </c>
      <c r="G1200" t="str">
        <f t="shared" si="38"/>
        <v>May</v>
      </c>
      <c r="H1200" t="str">
        <f t="shared" si="39"/>
        <v>2024</v>
      </c>
    </row>
    <row r="1201" spans="1:8" hidden="1" x14ac:dyDescent="0.35">
      <c r="A1201" t="s">
        <v>416</v>
      </c>
      <c r="B1201" s="76">
        <v>566</v>
      </c>
      <c r="C1201" s="75">
        <f>Balance[[#This Row],[COST]]/147</f>
        <v>3.8503401360544216</v>
      </c>
      <c r="D1201" s="1" t="s">
        <v>259</v>
      </c>
      <c r="E1201" s="27" t="s">
        <v>265</v>
      </c>
      <c r="F1201" s="2">
        <v>45438</v>
      </c>
      <c r="G1201" t="str">
        <f t="shared" si="38"/>
        <v>May</v>
      </c>
      <c r="H1201" t="str">
        <f t="shared" si="39"/>
        <v>2024</v>
      </c>
    </row>
    <row r="1202" spans="1:8" hidden="1" x14ac:dyDescent="0.35">
      <c r="A1202" t="s">
        <v>586</v>
      </c>
      <c r="B1202" s="76">
        <v>461</v>
      </c>
      <c r="C1202" s="75">
        <f>Balance[[#This Row],[COST]]/147</f>
        <v>3.1360544217687076</v>
      </c>
      <c r="D1202" s="1" t="s">
        <v>259</v>
      </c>
      <c r="E1202" s="27" t="s">
        <v>265</v>
      </c>
      <c r="F1202" s="2">
        <v>45438</v>
      </c>
      <c r="G1202" t="str">
        <f t="shared" si="38"/>
        <v>May</v>
      </c>
      <c r="H1202" t="str">
        <f t="shared" si="39"/>
        <v>2024</v>
      </c>
    </row>
    <row r="1203" spans="1:8" hidden="1" x14ac:dyDescent="0.35">
      <c r="A1203" t="s">
        <v>586</v>
      </c>
      <c r="B1203" s="76">
        <v>461</v>
      </c>
      <c r="C1203" s="75">
        <f>Balance[[#This Row],[COST]]/147</f>
        <v>3.1360544217687076</v>
      </c>
      <c r="D1203" s="1" t="s">
        <v>259</v>
      </c>
      <c r="E1203" s="27" t="s">
        <v>265</v>
      </c>
      <c r="F1203" s="2">
        <v>45438</v>
      </c>
      <c r="G1203" t="str">
        <f t="shared" si="38"/>
        <v>May</v>
      </c>
      <c r="H1203" t="str">
        <f t="shared" si="39"/>
        <v>2024</v>
      </c>
    </row>
    <row r="1204" spans="1:8" hidden="1" x14ac:dyDescent="0.35">
      <c r="A1204" t="s">
        <v>587</v>
      </c>
      <c r="B1204" s="76">
        <v>540</v>
      </c>
      <c r="C1204" s="75">
        <f>Balance[[#This Row],[COST]]/147</f>
        <v>3.6734693877551021</v>
      </c>
      <c r="D1204" s="1" t="s">
        <v>259</v>
      </c>
      <c r="E1204" s="27" t="s">
        <v>265</v>
      </c>
      <c r="F1204" s="2">
        <v>45438</v>
      </c>
      <c r="G1204" t="str">
        <f t="shared" si="38"/>
        <v>May</v>
      </c>
      <c r="H1204" t="str">
        <f t="shared" si="39"/>
        <v>2024</v>
      </c>
    </row>
    <row r="1205" spans="1:8" hidden="1" x14ac:dyDescent="0.35">
      <c r="A1205" t="s">
        <v>588</v>
      </c>
      <c r="B1205" s="76">
        <v>540</v>
      </c>
      <c r="C1205" s="75">
        <f>Balance[[#This Row],[COST]]/147</f>
        <v>3.6734693877551021</v>
      </c>
      <c r="D1205" s="1" t="s">
        <v>259</v>
      </c>
      <c r="E1205" s="27" t="s">
        <v>265</v>
      </c>
      <c r="F1205" s="2">
        <v>45438</v>
      </c>
      <c r="G1205" t="str">
        <f t="shared" si="38"/>
        <v>May</v>
      </c>
      <c r="H1205" t="str">
        <f t="shared" si="39"/>
        <v>2024</v>
      </c>
    </row>
    <row r="1206" spans="1:8" hidden="1" x14ac:dyDescent="0.35">
      <c r="A1206" t="s">
        <v>547</v>
      </c>
      <c r="B1206" s="76">
        <v>290</v>
      </c>
      <c r="C1206" s="75">
        <f>Balance[[#This Row],[COST]]/147</f>
        <v>1.9727891156462585</v>
      </c>
      <c r="D1206" s="1" t="s">
        <v>259</v>
      </c>
      <c r="E1206" s="27" t="s">
        <v>265</v>
      </c>
      <c r="F1206" s="2">
        <v>45438</v>
      </c>
      <c r="G1206" t="str">
        <f t="shared" si="38"/>
        <v>May</v>
      </c>
      <c r="H1206" t="str">
        <f t="shared" si="39"/>
        <v>2024</v>
      </c>
    </row>
    <row r="1207" spans="1:8" hidden="1" x14ac:dyDescent="0.35">
      <c r="A1207" t="s">
        <v>497</v>
      </c>
      <c r="B1207" s="76">
        <v>132</v>
      </c>
      <c r="C1207" s="75">
        <f>Balance[[#This Row],[COST]]/147</f>
        <v>0.89795918367346939</v>
      </c>
      <c r="D1207" s="1" t="s">
        <v>259</v>
      </c>
      <c r="E1207" s="27" t="s">
        <v>265</v>
      </c>
      <c r="F1207" s="2">
        <v>45438</v>
      </c>
      <c r="G1207" t="str">
        <f t="shared" si="38"/>
        <v>May</v>
      </c>
      <c r="H1207" t="str">
        <f t="shared" si="39"/>
        <v>2024</v>
      </c>
    </row>
    <row r="1208" spans="1:8" hidden="1" x14ac:dyDescent="0.35">
      <c r="A1208" t="s">
        <v>597</v>
      </c>
      <c r="B1208" s="76">
        <v>500</v>
      </c>
      <c r="C1208" s="75">
        <f>Balance[[#This Row],[COST]]/147</f>
        <v>3.4013605442176869</v>
      </c>
      <c r="D1208" s="1" t="s">
        <v>259</v>
      </c>
      <c r="E1208" s="27" t="s">
        <v>265</v>
      </c>
      <c r="F1208" s="2">
        <v>45438</v>
      </c>
      <c r="G1208" t="str">
        <f t="shared" si="38"/>
        <v>May</v>
      </c>
      <c r="H1208" t="str">
        <f t="shared" si="39"/>
        <v>2024</v>
      </c>
    </row>
    <row r="1209" spans="1:8" hidden="1" x14ac:dyDescent="0.35">
      <c r="A1209" t="s">
        <v>598</v>
      </c>
      <c r="B1209" s="76">
        <v>360</v>
      </c>
      <c r="C1209" s="75">
        <f>Balance[[#This Row],[COST]]/147</f>
        <v>2.4489795918367347</v>
      </c>
      <c r="D1209" s="1" t="s">
        <v>259</v>
      </c>
      <c r="E1209" s="27" t="s">
        <v>265</v>
      </c>
      <c r="F1209" s="2">
        <v>45438</v>
      </c>
      <c r="G1209" t="str">
        <f t="shared" si="38"/>
        <v>May</v>
      </c>
      <c r="H1209" t="str">
        <f t="shared" si="39"/>
        <v>2024</v>
      </c>
    </row>
    <row r="1210" spans="1:8" hidden="1" x14ac:dyDescent="0.35">
      <c r="A1210" t="s">
        <v>599</v>
      </c>
      <c r="B1210" s="76">
        <v>170</v>
      </c>
      <c r="C1210" s="75">
        <f>Balance[[#This Row],[COST]]/147</f>
        <v>1.1564625850340136</v>
      </c>
      <c r="D1210" s="1" t="s">
        <v>259</v>
      </c>
      <c r="E1210" s="27" t="s">
        <v>265</v>
      </c>
      <c r="F1210" s="2">
        <v>45438</v>
      </c>
      <c r="G1210" t="str">
        <f t="shared" si="38"/>
        <v>May</v>
      </c>
      <c r="H1210" t="str">
        <f t="shared" si="39"/>
        <v>2024</v>
      </c>
    </row>
    <row r="1211" spans="1:8" hidden="1" x14ac:dyDescent="0.35">
      <c r="A1211" t="s">
        <v>517</v>
      </c>
      <c r="B1211" s="76">
        <v>120</v>
      </c>
      <c r="C1211" s="75">
        <f>Balance[[#This Row],[COST]]/147</f>
        <v>0.81632653061224492</v>
      </c>
      <c r="D1211" s="1" t="s">
        <v>259</v>
      </c>
      <c r="E1211" s="27" t="s">
        <v>265</v>
      </c>
      <c r="F1211" s="2">
        <v>45438</v>
      </c>
      <c r="G1211" t="str">
        <f t="shared" si="38"/>
        <v>May</v>
      </c>
      <c r="H1211" t="str">
        <f t="shared" si="39"/>
        <v>2024</v>
      </c>
    </row>
    <row r="1212" spans="1:8" hidden="1" x14ac:dyDescent="0.35">
      <c r="A1212" t="s">
        <v>600</v>
      </c>
      <c r="B1212" s="76">
        <v>200</v>
      </c>
      <c r="C1212" s="75">
        <f>Balance[[#This Row],[COST]]/147</f>
        <v>1.3605442176870748</v>
      </c>
      <c r="D1212" s="1" t="s">
        <v>259</v>
      </c>
      <c r="E1212" s="27" t="s">
        <v>265</v>
      </c>
      <c r="F1212" s="2">
        <v>45438</v>
      </c>
      <c r="G1212" t="str">
        <f t="shared" si="38"/>
        <v>May</v>
      </c>
      <c r="H1212" t="str">
        <f t="shared" si="39"/>
        <v>2024</v>
      </c>
    </row>
    <row r="1213" spans="1:8" hidden="1" x14ac:dyDescent="0.35">
      <c r="A1213" t="s">
        <v>601</v>
      </c>
      <c r="B1213" s="76">
        <v>1000</v>
      </c>
      <c r="C1213" s="75">
        <f>Balance[[#This Row],[COST]]/147</f>
        <v>6.8027210884353737</v>
      </c>
      <c r="D1213" s="1" t="s">
        <v>259</v>
      </c>
      <c r="E1213" s="27" t="s">
        <v>265</v>
      </c>
      <c r="F1213" s="2">
        <v>45438</v>
      </c>
      <c r="G1213" t="str">
        <f t="shared" si="38"/>
        <v>May</v>
      </c>
      <c r="H1213" t="str">
        <f t="shared" si="39"/>
        <v>2024</v>
      </c>
    </row>
    <row r="1214" spans="1:8" hidden="1" x14ac:dyDescent="0.35">
      <c r="A1214" t="s">
        <v>238</v>
      </c>
      <c r="B1214" s="76">
        <v>1000</v>
      </c>
      <c r="C1214" s="75">
        <f>Balance[[#This Row],[COST]]/147</f>
        <v>6.8027210884353737</v>
      </c>
      <c r="D1214" s="1" t="s">
        <v>259</v>
      </c>
      <c r="E1214" s="27" t="s">
        <v>265</v>
      </c>
      <c r="F1214" s="2">
        <v>45438</v>
      </c>
      <c r="G1214" t="str">
        <f t="shared" si="38"/>
        <v>May</v>
      </c>
      <c r="H1214" t="str">
        <f t="shared" si="39"/>
        <v>2024</v>
      </c>
    </row>
    <row r="1215" spans="1:8" hidden="1" x14ac:dyDescent="0.35">
      <c r="A1215" t="s">
        <v>602</v>
      </c>
      <c r="B1215" s="76">
        <v>712</v>
      </c>
      <c r="C1215" s="75">
        <f>Balance[[#This Row],[COST]]/147</f>
        <v>4.8435374149659864</v>
      </c>
      <c r="D1215" s="1" t="s">
        <v>259</v>
      </c>
      <c r="E1215" s="27" t="s">
        <v>265</v>
      </c>
      <c r="F1215" s="2">
        <v>45438</v>
      </c>
      <c r="G1215" t="str">
        <f t="shared" si="38"/>
        <v>May</v>
      </c>
      <c r="H1215" t="str">
        <f t="shared" si="39"/>
        <v>2024</v>
      </c>
    </row>
    <row r="1216" spans="1:8" x14ac:dyDescent="0.35">
      <c r="A1216" t="s">
        <v>594</v>
      </c>
      <c r="B1216" s="76">
        <v>700</v>
      </c>
      <c r="C1216" s="75">
        <f>Balance[[#This Row],[COST]]/147</f>
        <v>4.7619047619047619</v>
      </c>
      <c r="D1216" s="1" t="s">
        <v>689</v>
      </c>
      <c r="E1216" s="27" t="s">
        <v>275</v>
      </c>
      <c r="F1216" s="2">
        <v>45439</v>
      </c>
      <c r="G1216" t="str">
        <f t="shared" si="38"/>
        <v>May</v>
      </c>
      <c r="H1216" t="str">
        <f t="shared" si="39"/>
        <v>2024</v>
      </c>
    </row>
    <row r="1217" spans="1:8" x14ac:dyDescent="0.35">
      <c r="A1217" t="s">
        <v>595</v>
      </c>
      <c r="B1217" s="76">
        <v>950</v>
      </c>
      <c r="C1217" s="75">
        <f>Balance[[#This Row],[COST]]/147</f>
        <v>6.4625850340136051</v>
      </c>
      <c r="D1217" s="1" t="s">
        <v>689</v>
      </c>
      <c r="E1217" s="27" t="s">
        <v>275</v>
      </c>
      <c r="F1217" s="2">
        <v>45439</v>
      </c>
      <c r="G1217" t="str">
        <f t="shared" si="38"/>
        <v>May</v>
      </c>
      <c r="H1217" t="str">
        <f t="shared" si="39"/>
        <v>2024</v>
      </c>
    </row>
    <row r="1218" spans="1:8" hidden="1" x14ac:dyDescent="0.35">
      <c r="A1218" t="s">
        <v>596</v>
      </c>
      <c r="B1218" s="76">
        <v>223</v>
      </c>
      <c r="C1218" s="75">
        <f>Balance[[#This Row],[COST]]/147</f>
        <v>1.5170068027210883</v>
      </c>
      <c r="D1218" s="1" t="s">
        <v>259</v>
      </c>
      <c r="E1218" s="27" t="s">
        <v>265</v>
      </c>
      <c r="F1218" s="2">
        <v>45439</v>
      </c>
      <c r="G1218" t="str">
        <f t="shared" si="38"/>
        <v>May</v>
      </c>
      <c r="H1218" t="str">
        <f t="shared" si="39"/>
        <v>2024</v>
      </c>
    </row>
    <row r="1219" spans="1:8" hidden="1" x14ac:dyDescent="0.35">
      <c r="A1219" t="s">
        <v>457</v>
      </c>
      <c r="B1219" s="76">
        <v>3630</v>
      </c>
      <c r="C1219" s="75">
        <f>Balance[[#This Row],[COST]]/147</f>
        <v>24.693877551020407</v>
      </c>
      <c r="D1219" s="1" t="s">
        <v>259</v>
      </c>
      <c r="E1219" s="27" t="s">
        <v>265</v>
      </c>
      <c r="F1219" s="2">
        <v>45439</v>
      </c>
      <c r="G1219" t="str">
        <f t="shared" si="38"/>
        <v>May</v>
      </c>
      <c r="H1219" t="str">
        <f t="shared" si="39"/>
        <v>2024</v>
      </c>
    </row>
    <row r="1220" spans="1:8" hidden="1" x14ac:dyDescent="0.35">
      <c r="A1220" t="s">
        <v>401</v>
      </c>
      <c r="B1220" s="76">
        <v>1660</v>
      </c>
      <c r="C1220" s="75">
        <f>Balance[[#This Row],[COST]]/147</f>
        <v>11.29251700680272</v>
      </c>
      <c r="D1220" s="1" t="s">
        <v>259</v>
      </c>
      <c r="E1220" s="27" t="s">
        <v>265</v>
      </c>
      <c r="F1220" s="2">
        <v>45440</v>
      </c>
      <c r="G1220" t="str">
        <f t="shared" si="38"/>
        <v>May</v>
      </c>
      <c r="H1220" t="str">
        <f t="shared" si="39"/>
        <v>2024</v>
      </c>
    </row>
    <row r="1221" spans="1:8" hidden="1" x14ac:dyDescent="0.35">
      <c r="A1221" t="s">
        <v>589</v>
      </c>
      <c r="B1221" s="76">
        <v>1920</v>
      </c>
      <c r="C1221" s="75">
        <f>Balance[[#This Row],[COST]]/147</f>
        <v>13.061224489795919</v>
      </c>
      <c r="D1221" s="1" t="s">
        <v>259</v>
      </c>
      <c r="E1221" s="27" t="s">
        <v>265</v>
      </c>
      <c r="F1221" s="2">
        <v>45440</v>
      </c>
      <c r="G1221" t="str">
        <f t="shared" si="38"/>
        <v>May</v>
      </c>
      <c r="H1221" t="str">
        <f t="shared" si="39"/>
        <v>2024</v>
      </c>
    </row>
    <row r="1222" spans="1:8" hidden="1" x14ac:dyDescent="0.35">
      <c r="A1222" t="s">
        <v>562</v>
      </c>
      <c r="B1222" s="76">
        <v>330</v>
      </c>
      <c r="C1222" s="75">
        <f>Balance[[#This Row],[COST]]/147</f>
        <v>2.2448979591836733</v>
      </c>
      <c r="D1222" s="1" t="s">
        <v>259</v>
      </c>
      <c r="E1222" s="27" t="s">
        <v>265</v>
      </c>
      <c r="F1222" s="2">
        <v>45440</v>
      </c>
      <c r="G1222" t="str">
        <f t="shared" si="38"/>
        <v>May</v>
      </c>
      <c r="H1222" t="str">
        <f t="shared" si="39"/>
        <v>2024</v>
      </c>
    </row>
    <row r="1223" spans="1:8" hidden="1" x14ac:dyDescent="0.35">
      <c r="A1223" t="s">
        <v>590</v>
      </c>
      <c r="B1223" s="76">
        <v>480</v>
      </c>
      <c r="C1223" s="75">
        <f>Balance[[#This Row],[COST]]/147</f>
        <v>3.2653061224489797</v>
      </c>
      <c r="D1223" s="1" t="s">
        <v>259</v>
      </c>
      <c r="E1223" s="27" t="s">
        <v>265</v>
      </c>
      <c r="F1223" s="2">
        <v>45440</v>
      </c>
      <c r="G1223" t="str">
        <f t="shared" si="38"/>
        <v>May</v>
      </c>
      <c r="H1223" t="str">
        <f t="shared" si="39"/>
        <v>2024</v>
      </c>
    </row>
    <row r="1224" spans="1:8" hidden="1" x14ac:dyDescent="0.35">
      <c r="A1224" t="s">
        <v>591</v>
      </c>
      <c r="B1224" s="76">
        <v>2400</v>
      </c>
      <c r="C1224" s="75">
        <f>Balance[[#This Row],[COST]]/147</f>
        <v>16.326530612244898</v>
      </c>
      <c r="D1224" s="1" t="s">
        <v>259</v>
      </c>
      <c r="E1224" s="27" t="s">
        <v>265</v>
      </c>
      <c r="F1224" s="2">
        <v>45440</v>
      </c>
      <c r="G1224" t="str">
        <f t="shared" si="38"/>
        <v>May</v>
      </c>
      <c r="H1224" t="str">
        <f t="shared" si="39"/>
        <v>2024</v>
      </c>
    </row>
    <row r="1225" spans="1:8" hidden="1" x14ac:dyDescent="0.35">
      <c r="A1225" t="s">
        <v>592</v>
      </c>
      <c r="B1225" s="76">
        <v>420</v>
      </c>
      <c r="C1225" s="75">
        <f>Balance[[#This Row],[COST]]/147</f>
        <v>2.8571428571428572</v>
      </c>
      <c r="D1225" s="1" t="s">
        <v>259</v>
      </c>
      <c r="E1225" s="27" t="s">
        <v>265</v>
      </c>
      <c r="F1225" s="2">
        <v>45440</v>
      </c>
      <c r="G1225" t="str">
        <f t="shared" si="38"/>
        <v>May</v>
      </c>
      <c r="H1225" t="str">
        <f t="shared" si="39"/>
        <v>2024</v>
      </c>
    </row>
    <row r="1226" spans="1:8" hidden="1" x14ac:dyDescent="0.35">
      <c r="A1226" t="s">
        <v>581</v>
      </c>
      <c r="B1226" s="76">
        <v>1400</v>
      </c>
      <c r="C1226" s="75">
        <f>Balance[[#This Row],[COST]]/147</f>
        <v>9.5238095238095237</v>
      </c>
      <c r="D1226" s="1" t="s">
        <v>259</v>
      </c>
      <c r="E1226" s="27" t="s">
        <v>268</v>
      </c>
      <c r="F1226" s="2">
        <v>45440</v>
      </c>
      <c r="G1226" t="str">
        <f t="shared" si="38"/>
        <v>May</v>
      </c>
      <c r="H1226" t="str">
        <f t="shared" si="39"/>
        <v>2024</v>
      </c>
    </row>
    <row r="1227" spans="1:8" hidden="1" x14ac:dyDescent="0.35">
      <c r="A1227" t="s">
        <v>593</v>
      </c>
      <c r="B1227" s="76">
        <v>505</v>
      </c>
      <c r="C1227" s="75">
        <f>Balance[[#This Row],[COST]]/147</f>
        <v>3.435374149659864</v>
      </c>
      <c r="D1227" s="1" t="s">
        <v>259</v>
      </c>
      <c r="E1227" s="27" t="s">
        <v>268</v>
      </c>
      <c r="F1227" s="2">
        <v>45440</v>
      </c>
      <c r="G1227" t="str">
        <f t="shared" si="38"/>
        <v>May</v>
      </c>
      <c r="H1227" t="str">
        <f t="shared" si="39"/>
        <v>2024</v>
      </c>
    </row>
    <row r="1228" spans="1:8" hidden="1" x14ac:dyDescent="0.35">
      <c r="A1228" t="s">
        <v>323</v>
      </c>
      <c r="B1228" s="76">
        <v>4000</v>
      </c>
      <c r="C1228" s="75">
        <f>Balance[[#This Row],[COST]]/147</f>
        <v>27.210884353741495</v>
      </c>
      <c r="D1228" s="75" t="s">
        <v>259</v>
      </c>
      <c r="E1228" s="27" t="s">
        <v>267</v>
      </c>
      <c r="F1228" s="2">
        <v>45440</v>
      </c>
      <c r="G1228" t="str">
        <f t="shared" si="38"/>
        <v>May</v>
      </c>
      <c r="H1228" t="str">
        <f t="shared" si="39"/>
        <v>2024</v>
      </c>
    </row>
    <row r="1229" spans="1:8" hidden="1" x14ac:dyDescent="0.35">
      <c r="A1229" t="s">
        <v>42</v>
      </c>
      <c r="B1229" s="76">
        <v>7884</v>
      </c>
      <c r="C1229" s="76">
        <f>Balance[[#This Row],[COST]]/147</f>
        <v>53.632653061224488</v>
      </c>
      <c r="D1229" s="76" t="s">
        <v>42</v>
      </c>
      <c r="E1229" s="27" t="s">
        <v>270</v>
      </c>
      <c r="F1229" s="2">
        <v>45440</v>
      </c>
      <c r="G1229" t="str">
        <f t="shared" si="38"/>
        <v>May</v>
      </c>
      <c r="H1229" t="str">
        <f t="shared" si="39"/>
        <v>2024</v>
      </c>
    </row>
    <row r="1230" spans="1:8" hidden="1" x14ac:dyDescent="0.35">
      <c r="A1230" t="s">
        <v>183</v>
      </c>
      <c r="B1230" s="76">
        <v>4000</v>
      </c>
      <c r="C1230" s="76">
        <f>Balance[[#This Row],[COST]]/147</f>
        <v>27.210884353741495</v>
      </c>
      <c r="D1230" s="1" t="s">
        <v>259</v>
      </c>
      <c r="E1230" s="27" t="s">
        <v>4</v>
      </c>
      <c r="F1230" s="2">
        <v>45442</v>
      </c>
      <c r="G1230" t="str">
        <f t="shared" si="38"/>
        <v>May</v>
      </c>
      <c r="H1230" t="str">
        <f t="shared" si="39"/>
        <v>2024</v>
      </c>
    </row>
    <row r="1231" spans="1:8" hidden="1" x14ac:dyDescent="0.35">
      <c r="A1231" t="s">
        <v>129</v>
      </c>
      <c r="B1231" s="76">
        <v>5100</v>
      </c>
      <c r="C1231" s="63">
        <f>Balance[[#This Row],[COST]]/147</f>
        <v>34.693877551020407</v>
      </c>
      <c r="D1231" s="1" t="s">
        <v>259</v>
      </c>
      <c r="E1231" s="27" t="s">
        <v>265</v>
      </c>
      <c r="F1231" s="2">
        <v>45443</v>
      </c>
      <c r="G1231" t="str">
        <f t="shared" si="38"/>
        <v>May</v>
      </c>
      <c r="H1231" t="str">
        <f t="shared" si="39"/>
        <v>2024</v>
      </c>
    </row>
    <row r="1232" spans="1:8" hidden="1" x14ac:dyDescent="0.35">
      <c r="A1232" t="s">
        <v>214</v>
      </c>
      <c r="B1232" s="76">
        <v>84000</v>
      </c>
      <c r="C1232" s="63">
        <f>Balance[[#This Row],[COST]]/147</f>
        <v>571.42857142857144</v>
      </c>
      <c r="D1232" s="1" t="s">
        <v>42</v>
      </c>
      <c r="E1232" s="27" t="s">
        <v>214</v>
      </c>
      <c r="F1232" s="2">
        <v>45446</v>
      </c>
      <c r="G1232" t="str">
        <f t="shared" si="38"/>
        <v>Jun</v>
      </c>
      <c r="H1232" t="str">
        <f t="shared" si="39"/>
        <v>2024</v>
      </c>
    </row>
    <row r="1233" spans="1:8" hidden="1" x14ac:dyDescent="0.35">
      <c r="A1233" t="s">
        <v>603</v>
      </c>
      <c r="B1233" s="76">
        <v>3000</v>
      </c>
      <c r="C1233" s="63">
        <f>Balance[[#This Row],[COST]]/147</f>
        <v>20.408163265306122</v>
      </c>
      <c r="D1233" s="1" t="s">
        <v>259</v>
      </c>
      <c r="E1233" s="27" t="s">
        <v>265</v>
      </c>
      <c r="F1233" s="2">
        <v>45447</v>
      </c>
      <c r="G1233" t="str">
        <f t="shared" si="38"/>
        <v>Jun</v>
      </c>
      <c r="H1233" t="str">
        <f t="shared" si="39"/>
        <v>2024</v>
      </c>
    </row>
    <row r="1234" spans="1:8" hidden="1" x14ac:dyDescent="0.35">
      <c r="A1234" t="s">
        <v>114</v>
      </c>
      <c r="B1234" s="76">
        <v>1200</v>
      </c>
      <c r="C1234" s="63">
        <f>Balance[[#This Row],[COST]]/147</f>
        <v>8.1632653061224492</v>
      </c>
      <c r="D1234" s="1" t="s">
        <v>259</v>
      </c>
      <c r="E1234" s="27" t="s">
        <v>265</v>
      </c>
      <c r="F1234" s="2">
        <v>45447</v>
      </c>
      <c r="G1234" t="str">
        <f t="shared" si="38"/>
        <v>Jun</v>
      </c>
      <c r="H1234" t="str">
        <f t="shared" si="39"/>
        <v>2024</v>
      </c>
    </row>
    <row r="1235" spans="1:8" hidden="1" x14ac:dyDescent="0.35">
      <c r="A1235" t="s">
        <v>490</v>
      </c>
      <c r="B1235" s="76">
        <v>1200</v>
      </c>
      <c r="C1235" s="63">
        <f>Balance[[#This Row],[COST]]/147</f>
        <v>8.1632653061224492</v>
      </c>
      <c r="D1235" s="1" t="s">
        <v>259</v>
      </c>
      <c r="E1235" s="27" t="s">
        <v>265</v>
      </c>
      <c r="F1235" s="2">
        <v>45448</v>
      </c>
      <c r="G1235" t="str">
        <f t="shared" si="38"/>
        <v>Jun</v>
      </c>
      <c r="H1235" t="str">
        <f t="shared" si="39"/>
        <v>2024</v>
      </c>
    </row>
    <row r="1236" spans="1:8" hidden="1" x14ac:dyDescent="0.35">
      <c r="A1236" t="s">
        <v>249</v>
      </c>
      <c r="B1236" s="76">
        <f>Balance[[#This Row],[Cost USD]]*147</f>
        <v>3969</v>
      </c>
      <c r="C1236" s="76">
        <v>27</v>
      </c>
      <c r="D1236" s="1" t="s">
        <v>261</v>
      </c>
      <c r="E1236" s="27" t="s">
        <v>514</v>
      </c>
      <c r="F1236" s="2">
        <v>45448</v>
      </c>
      <c r="G1236" t="str">
        <f t="shared" si="38"/>
        <v>Jun</v>
      </c>
      <c r="H1236" t="str">
        <f t="shared" si="39"/>
        <v>2024</v>
      </c>
    </row>
    <row r="1237" spans="1:8" hidden="1" x14ac:dyDescent="0.35">
      <c r="A1237" t="s">
        <v>183</v>
      </c>
      <c r="B1237" s="76">
        <v>2000</v>
      </c>
      <c r="C1237" s="63">
        <f>Balance[[#This Row],[COST]]/147</f>
        <v>13.605442176870747</v>
      </c>
      <c r="D1237" s="1" t="s">
        <v>259</v>
      </c>
      <c r="E1237" s="27" t="s">
        <v>4</v>
      </c>
      <c r="F1237" s="2">
        <v>45449</v>
      </c>
      <c r="G1237" t="str">
        <f t="shared" si="38"/>
        <v>Jun</v>
      </c>
      <c r="H1237" t="str">
        <f t="shared" si="39"/>
        <v>2024</v>
      </c>
    </row>
    <row r="1238" spans="1:8" hidden="1" x14ac:dyDescent="0.35">
      <c r="A1238" t="s">
        <v>604</v>
      </c>
      <c r="B1238" s="76">
        <v>3500</v>
      </c>
      <c r="C1238" s="63">
        <f>Balance[[#This Row],[COST]]/147</f>
        <v>23.80952380952381</v>
      </c>
      <c r="D1238" s="1" t="s">
        <v>259</v>
      </c>
      <c r="E1238" s="27" t="s">
        <v>265</v>
      </c>
      <c r="F1238" s="2">
        <v>45450</v>
      </c>
      <c r="G1238" t="str">
        <f t="shared" si="38"/>
        <v>Jun</v>
      </c>
      <c r="H1238" t="str">
        <f t="shared" si="39"/>
        <v>2024</v>
      </c>
    </row>
    <row r="1239" spans="1:8" hidden="1" x14ac:dyDescent="0.35">
      <c r="A1239" t="s">
        <v>114</v>
      </c>
      <c r="B1239" s="76">
        <v>2400</v>
      </c>
      <c r="C1239" s="63">
        <f>Balance[[#This Row],[COST]]/147</f>
        <v>16.326530612244898</v>
      </c>
      <c r="D1239" s="1" t="s">
        <v>259</v>
      </c>
      <c r="E1239" s="27" t="s">
        <v>265</v>
      </c>
      <c r="F1239" s="2">
        <v>45451</v>
      </c>
      <c r="G1239" t="str">
        <f t="shared" si="38"/>
        <v>Jun</v>
      </c>
      <c r="H1239" t="str">
        <f t="shared" si="39"/>
        <v>2024</v>
      </c>
    </row>
    <row r="1240" spans="1:8" hidden="1" x14ac:dyDescent="0.35">
      <c r="A1240" t="s">
        <v>191</v>
      </c>
      <c r="B1240" s="76">
        <v>2000</v>
      </c>
      <c r="C1240" s="63">
        <f>Balance[[#This Row],[COST]]/147</f>
        <v>13.605442176870747</v>
      </c>
      <c r="D1240" s="1" t="s">
        <v>259</v>
      </c>
      <c r="E1240" s="27" t="s">
        <v>4</v>
      </c>
      <c r="F1240" s="2">
        <v>45453</v>
      </c>
      <c r="G1240" t="str">
        <f t="shared" si="38"/>
        <v>Jun</v>
      </c>
      <c r="H1240" t="str">
        <f t="shared" si="39"/>
        <v>2024</v>
      </c>
    </row>
    <row r="1241" spans="1:8" hidden="1" x14ac:dyDescent="0.35">
      <c r="A1241" t="s">
        <v>191</v>
      </c>
      <c r="B1241" s="76">
        <v>2000</v>
      </c>
      <c r="C1241" s="63">
        <f>Balance[[#This Row],[COST]]/147</f>
        <v>13.605442176870747</v>
      </c>
      <c r="D1241" s="1" t="s">
        <v>259</v>
      </c>
      <c r="E1241" s="27" t="s">
        <v>4</v>
      </c>
      <c r="F1241" s="2">
        <v>45455</v>
      </c>
      <c r="G1241" t="str">
        <f t="shared" si="38"/>
        <v>Jun</v>
      </c>
      <c r="H1241" t="str">
        <f t="shared" si="39"/>
        <v>2024</v>
      </c>
    </row>
    <row r="1242" spans="1:8" hidden="1" x14ac:dyDescent="0.35">
      <c r="A1242" t="s">
        <v>605</v>
      </c>
      <c r="B1242" s="76">
        <v>750</v>
      </c>
      <c r="C1242" s="63">
        <f>Balance[[#This Row],[COST]]/147</f>
        <v>5.1020408163265305</v>
      </c>
      <c r="D1242" s="1" t="s">
        <v>259</v>
      </c>
      <c r="E1242" s="27" t="s">
        <v>265</v>
      </c>
      <c r="F1242" s="2">
        <v>45455</v>
      </c>
      <c r="G1242" t="str">
        <f t="shared" si="38"/>
        <v>Jun</v>
      </c>
      <c r="H1242" t="str">
        <f t="shared" si="39"/>
        <v>2024</v>
      </c>
    </row>
    <row r="1243" spans="1:8" hidden="1" x14ac:dyDescent="0.35">
      <c r="A1243" t="s">
        <v>562</v>
      </c>
      <c r="B1243" s="76">
        <v>350</v>
      </c>
      <c r="C1243" s="63">
        <f>Balance[[#This Row],[COST]]/147</f>
        <v>2.3809523809523809</v>
      </c>
      <c r="D1243" s="1" t="s">
        <v>259</v>
      </c>
      <c r="E1243" s="27" t="s">
        <v>265</v>
      </c>
      <c r="F1243" s="2">
        <v>45455</v>
      </c>
      <c r="G1243" t="str">
        <f t="shared" si="38"/>
        <v>Jun</v>
      </c>
      <c r="H1243" t="str">
        <f t="shared" si="39"/>
        <v>2024</v>
      </c>
    </row>
    <row r="1244" spans="1:8" hidden="1" x14ac:dyDescent="0.35">
      <c r="A1244" t="s">
        <v>229</v>
      </c>
      <c r="B1244" s="76">
        <f>Balance[[#This Row],[Cost USD]]*157</f>
        <v>940.43000000000006</v>
      </c>
      <c r="C1244" s="76">
        <v>5.99</v>
      </c>
      <c r="D1244" s="76" t="s">
        <v>259</v>
      </c>
      <c r="E1244" s="27" t="s">
        <v>267</v>
      </c>
      <c r="F1244" s="2">
        <v>45458</v>
      </c>
      <c r="G1244" t="str">
        <f t="shared" si="38"/>
        <v>Jun</v>
      </c>
      <c r="H1244" t="str">
        <f t="shared" si="39"/>
        <v>2024</v>
      </c>
    </row>
    <row r="1245" spans="1:8" hidden="1" x14ac:dyDescent="0.35">
      <c r="A1245" t="s">
        <v>183</v>
      </c>
      <c r="B1245" s="76">
        <v>2000</v>
      </c>
      <c r="C1245" s="63">
        <f>Balance[[#This Row],[COST]]/147</f>
        <v>13.605442176870747</v>
      </c>
      <c r="D1245" s="1" t="s">
        <v>259</v>
      </c>
      <c r="E1245" s="27" t="s">
        <v>4</v>
      </c>
      <c r="F1245" s="2">
        <v>45459</v>
      </c>
      <c r="G1245" t="str">
        <f t="shared" si="38"/>
        <v>Jun</v>
      </c>
      <c r="H1245" t="str">
        <f t="shared" si="39"/>
        <v>2024</v>
      </c>
    </row>
    <row r="1246" spans="1:8" hidden="1" x14ac:dyDescent="0.35">
      <c r="A1246" t="s">
        <v>246</v>
      </c>
      <c r="B1246" s="76">
        <v>2000</v>
      </c>
      <c r="C1246" s="63">
        <f>Balance[[#This Row],[COST]]/147</f>
        <v>13.605442176870747</v>
      </c>
      <c r="D1246" s="1" t="s">
        <v>259</v>
      </c>
      <c r="E1246" s="27" t="s">
        <v>265</v>
      </c>
      <c r="F1246" s="2">
        <v>45462</v>
      </c>
      <c r="G1246" t="str">
        <f t="shared" si="38"/>
        <v>Jun</v>
      </c>
      <c r="H1246" t="str">
        <f t="shared" si="39"/>
        <v>2024</v>
      </c>
    </row>
    <row r="1247" spans="1:8" x14ac:dyDescent="0.35">
      <c r="A1247" t="s">
        <v>519</v>
      </c>
      <c r="B1247" s="76">
        <v>1000</v>
      </c>
      <c r="C1247" s="63">
        <f>Balance[[#This Row],[COST]]/147</f>
        <v>6.8027210884353737</v>
      </c>
      <c r="D1247" s="1" t="s">
        <v>689</v>
      </c>
      <c r="E1247" s="27" t="s">
        <v>275</v>
      </c>
      <c r="F1247" s="2">
        <v>45463</v>
      </c>
      <c r="G1247" t="str">
        <f t="shared" ref="G1247:G1310" si="40">TEXT(F1247,"mmm")</f>
        <v>Jun</v>
      </c>
      <c r="H1247" t="str">
        <f t="shared" ref="H1247:H1310" si="41">TEXT(F1247,"yyy")</f>
        <v>2024</v>
      </c>
    </row>
    <row r="1248" spans="1:8" x14ac:dyDescent="0.35">
      <c r="A1248" t="s">
        <v>536</v>
      </c>
      <c r="B1248" s="76">
        <v>400</v>
      </c>
      <c r="C1248" s="63">
        <f>Balance[[#This Row],[COST]]/147</f>
        <v>2.7210884353741496</v>
      </c>
      <c r="D1248" s="1" t="s">
        <v>689</v>
      </c>
      <c r="E1248" s="27" t="s">
        <v>275</v>
      </c>
      <c r="F1248" s="2">
        <v>45463</v>
      </c>
      <c r="G1248" t="str">
        <f t="shared" si="40"/>
        <v>Jun</v>
      </c>
      <c r="H1248" t="str">
        <f t="shared" si="41"/>
        <v>2024</v>
      </c>
    </row>
    <row r="1249" spans="1:8" x14ac:dyDescent="0.35">
      <c r="A1249" t="s">
        <v>525</v>
      </c>
      <c r="B1249" s="76">
        <v>300</v>
      </c>
      <c r="C1249" s="63">
        <f>Balance[[#This Row],[COST]]/147</f>
        <v>2.0408163265306123</v>
      </c>
      <c r="D1249" s="1" t="s">
        <v>689</v>
      </c>
      <c r="E1249" s="27" t="s">
        <v>275</v>
      </c>
      <c r="F1249" s="2">
        <v>45463</v>
      </c>
      <c r="G1249" t="str">
        <f t="shared" si="40"/>
        <v>Jun</v>
      </c>
      <c r="H1249" t="str">
        <f t="shared" si="41"/>
        <v>2024</v>
      </c>
    </row>
    <row r="1250" spans="1:8" x14ac:dyDescent="0.35">
      <c r="A1250" t="s">
        <v>606</v>
      </c>
      <c r="B1250" s="76">
        <v>300</v>
      </c>
      <c r="C1250" s="63">
        <f>Balance[[#This Row],[COST]]/147</f>
        <v>2.0408163265306123</v>
      </c>
      <c r="D1250" s="1" t="s">
        <v>689</v>
      </c>
      <c r="E1250" s="27" t="s">
        <v>275</v>
      </c>
      <c r="F1250" s="2">
        <v>45463</v>
      </c>
      <c r="G1250" t="str">
        <f t="shared" si="40"/>
        <v>Jun</v>
      </c>
      <c r="H1250" t="str">
        <f t="shared" si="41"/>
        <v>2024</v>
      </c>
    </row>
    <row r="1251" spans="1:8" x14ac:dyDescent="0.35">
      <c r="A1251" t="s">
        <v>469</v>
      </c>
      <c r="B1251" s="76">
        <v>200</v>
      </c>
      <c r="C1251" s="63">
        <f>Balance[[#This Row],[COST]]/147</f>
        <v>1.3605442176870748</v>
      </c>
      <c r="D1251" s="1" t="s">
        <v>689</v>
      </c>
      <c r="E1251" s="27" t="s">
        <v>275</v>
      </c>
      <c r="F1251" s="2">
        <v>45463</v>
      </c>
      <c r="G1251" t="str">
        <f t="shared" si="40"/>
        <v>Jun</v>
      </c>
      <c r="H1251" t="str">
        <f t="shared" si="41"/>
        <v>2024</v>
      </c>
    </row>
    <row r="1252" spans="1:8" x14ac:dyDescent="0.35">
      <c r="A1252" t="s">
        <v>464</v>
      </c>
      <c r="B1252" s="76">
        <v>200</v>
      </c>
      <c r="C1252" s="63">
        <f>Balance[[#This Row],[COST]]/147</f>
        <v>1.3605442176870748</v>
      </c>
      <c r="D1252" s="1" t="s">
        <v>689</v>
      </c>
      <c r="E1252" s="27" t="s">
        <v>275</v>
      </c>
      <c r="F1252" s="2">
        <v>45463</v>
      </c>
      <c r="G1252" t="str">
        <f t="shared" si="40"/>
        <v>Jun</v>
      </c>
      <c r="H1252" t="str">
        <f t="shared" si="41"/>
        <v>2024</v>
      </c>
    </row>
    <row r="1253" spans="1:8" x14ac:dyDescent="0.35">
      <c r="A1253" t="s">
        <v>585</v>
      </c>
      <c r="B1253" s="76">
        <v>400</v>
      </c>
      <c r="C1253" s="63">
        <f>Balance[[#This Row],[COST]]/147</f>
        <v>2.7210884353741496</v>
      </c>
      <c r="D1253" s="1" t="s">
        <v>689</v>
      </c>
      <c r="E1253" s="27" t="s">
        <v>275</v>
      </c>
      <c r="F1253" s="2">
        <v>45463</v>
      </c>
      <c r="G1253" t="str">
        <f t="shared" si="40"/>
        <v>Jun</v>
      </c>
      <c r="H1253" t="str">
        <f t="shared" si="41"/>
        <v>2024</v>
      </c>
    </row>
    <row r="1254" spans="1:8" x14ac:dyDescent="0.35">
      <c r="A1254" t="s">
        <v>467</v>
      </c>
      <c r="B1254" s="76">
        <v>1500</v>
      </c>
      <c r="C1254" s="63">
        <f>Balance[[#This Row],[COST]]/147</f>
        <v>10.204081632653061</v>
      </c>
      <c r="D1254" s="1" t="s">
        <v>689</v>
      </c>
      <c r="E1254" s="27" t="s">
        <v>275</v>
      </c>
      <c r="F1254" s="2">
        <v>45463</v>
      </c>
      <c r="G1254" t="str">
        <f t="shared" si="40"/>
        <v>Jun</v>
      </c>
      <c r="H1254" t="str">
        <f t="shared" si="41"/>
        <v>2024</v>
      </c>
    </row>
    <row r="1255" spans="1:8" hidden="1" x14ac:dyDescent="0.35">
      <c r="A1255" t="s">
        <v>183</v>
      </c>
      <c r="B1255" s="76">
        <v>2000</v>
      </c>
      <c r="C1255" s="63">
        <f>Balance[[#This Row],[COST]]/147</f>
        <v>13.605442176870747</v>
      </c>
      <c r="D1255" s="1" t="s">
        <v>259</v>
      </c>
      <c r="E1255" s="27" t="s">
        <v>265</v>
      </c>
      <c r="F1255" s="2">
        <v>45464</v>
      </c>
      <c r="G1255" t="str">
        <f t="shared" si="40"/>
        <v>Jun</v>
      </c>
      <c r="H1255" t="str">
        <f t="shared" si="41"/>
        <v>2024</v>
      </c>
    </row>
    <row r="1256" spans="1:8" hidden="1" x14ac:dyDescent="0.35">
      <c r="A1256" t="s">
        <v>183</v>
      </c>
      <c r="B1256" s="76">
        <v>2000</v>
      </c>
      <c r="C1256" s="63">
        <f>Balance[[#This Row],[COST]]/147</f>
        <v>13.605442176870747</v>
      </c>
      <c r="D1256" s="1" t="s">
        <v>259</v>
      </c>
      <c r="E1256" s="27" t="s">
        <v>265</v>
      </c>
      <c r="F1256" s="2">
        <v>45467</v>
      </c>
      <c r="G1256" t="str">
        <f t="shared" si="40"/>
        <v>Jun</v>
      </c>
      <c r="H1256" t="str">
        <f t="shared" si="41"/>
        <v>2024</v>
      </c>
    </row>
    <row r="1257" spans="1:8" x14ac:dyDescent="0.35">
      <c r="A1257" t="s">
        <v>519</v>
      </c>
      <c r="B1257" s="76">
        <v>4200</v>
      </c>
      <c r="C1257" s="63">
        <f>Balance[[#This Row],[COST]]/147</f>
        <v>28.571428571428573</v>
      </c>
      <c r="D1257" s="1" t="s">
        <v>689</v>
      </c>
      <c r="E1257" s="27" t="s">
        <v>275</v>
      </c>
      <c r="F1257" s="2">
        <v>45471</v>
      </c>
      <c r="G1257" t="str">
        <f t="shared" si="40"/>
        <v>Jun</v>
      </c>
      <c r="H1257" t="str">
        <f t="shared" si="41"/>
        <v>2024</v>
      </c>
    </row>
    <row r="1258" spans="1:8" hidden="1" x14ac:dyDescent="0.35">
      <c r="A1258" t="s">
        <v>369</v>
      </c>
      <c r="B1258" s="76">
        <v>5600</v>
      </c>
      <c r="C1258" s="76">
        <f>Balance[[#This Row],[COST]]/147</f>
        <v>38.095238095238095</v>
      </c>
      <c r="D1258" s="76" t="s">
        <v>259</v>
      </c>
      <c r="E1258" s="27" t="s">
        <v>267</v>
      </c>
      <c r="F1258" s="2">
        <v>45471</v>
      </c>
      <c r="G1258" t="str">
        <f t="shared" si="40"/>
        <v>Jun</v>
      </c>
      <c r="H1258" t="str">
        <f t="shared" si="41"/>
        <v>2024</v>
      </c>
    </row>
    <row r="1259" spans="1:8" hidden="1" x14ac:dyDescent="0.35">
      <c r="A1259" t="s">
        <v>283</v>
      </c>
      <c r="B1259" s="76">
        <v>57040</v>
      </c>
      <c r="C1259" s="76">
        <f>Balance[[#This Row],[COST]]/147</f>
        <v>388.02721088435374</v>
      </c>
      <c r="D1259" s="76" t="s">
        <v>15</v>
      </c>
      <c r="E1259" s="27" t="s">
        <v>269</v>
      </c>
      <c r="F1259" s="2">
        <v>45471</v>
      </c>
      <c r="G1259" t="str">
        <f t="shared" si="40"/>
        <v>Jun</v>
      </c>
      <c r="H1259" t="str">
        <f t="shared" si="41"/>
        <v>2024</v>
      </c>
    </row>
    <row r="1260" spans="1:8" hidden="1" x14ac:dyDescent="0.35">
      <c r="A1260" t="s">
        <v>291</v>
      </c>
      <c r="B1260" s="76">
        <v>30000</v>
      </c>
      <c r="C1260" s="76">
        <f>Balance[[#This Row],[COST]]/147</f>
        <v>204.08163265306123</v>
      </c>
      <c r="D1260" s="1" t="s">
        <v>259</v>
      </c>
      <c r="E1260" t="s">
        <v>554</v>
      </c>
      <c r="F1260" s="2">
        <v>45471</v>
      </c>
      <c r="G1260" t="str">
        <f t="shared" si="40"/>
        <v>Jun</v>
      </c>
      <c r="H1260" t="str">
        <f t="shared" si="41"/>
        <v>2024</v>
      </c>
    </row>
    <row r="1261" spans="1:8" hidden="1" x14ac:dyDescent="0.35">
      <c r="A1261" t="s">
        <v>183</v>
      </c>
      <c r="B1261" s="76">
        <v>2000</v>
      </c>
      <c r="C1261" s="76">
        <f>Balance[[#This Row],[COST]]/147</f>
        <v>13.605442176870747</v>
      </c>
      <c r="D1261" s="1" t="s">
        <v>259</v>
      </c>
      <c r="E1261" s="27" t="s">
        <v>4</v>
      </c>
      <c r="F1261" s="2">
        <v>45471</v>
      </c>
      <c r="G1261" t="str">
        <f t="shared" si="40"/>
        <v>Jun</v>
      </c>
      <c r="H1261" t="str">
        <f t="shared" si="41"/>
        <v>2024</v>
      </c>
    </row>
    <row r="1262" spans="1:8" hidden="1" x14ac:dyDescent="0.35">
      <c r="A1262" t="s">
        <v>511</v>
      </c>
      <c r="B1262" s="76">
        <v>900</v>
      </c>
      <c r="C1262" s="76">
        <f>Balance[[#This Row],[COST]]/147</f>
        <v>6.1224489795918364</v>
      </c>
      <c r="D1262" s="1" t="s">
        <v>259</v>
      </c>
      <c r="E1262" s="27" t="s">
        <v>265</v>
      </c>
      <c r="F1262" s="2">
        <v>45471</v>
      </c>
      <c r="G1262" t="str">
        <f t="shared" si="40"/>
        <v>Jun</v>
      </c>
      <c r="H1262" t="str">
        <f t="shared" si="41"/>
        <v>2024</v>
      </c>
    </row>
    <row r="1263" spans="1:8" hidden="1" x14ac:dyDescent="0.35">
      <c r="A1263" t="s">
        <v>49</v>
      </c>
      <c r="B1263" s="76">
        <v>25000</v>
      </c>
      <c r="C1263" s="76">
        <f>Balance[[#This Row],[COST]]/147</f>
        <v>170.06802721088437</v>
      </c>
      <c r="D1263" s="75" t="s">
        <v>263</v>
      </c>
      <c r="E1263" s="27" t="s">
        <v>274</v>
      </c>
      <c r="F1263" s="2">
        <v>45471</v>
      </c>
      <c r="G1263" t="str">
        <f t="shared" si="40"/>
        <v>Jun</v>
      </c>
      <c r="H1263" t="str">
        <f t="shared" si="41"/>
        <v>2024</v>
      </c>
    </row>
    <row r="1264" spans="1:8" hidden="1" x14ac:dyDescent="0.35">
      <c r="A1264" t="s">
        <v>323</v>
      </c>
      <c r="B1264" s="76">
        <v>4000</v>
      </c>
      <c r="C1264" s="75">
        <f>Balance[[#This Row],[COST]]/147</f>
        <v>27.210884353741495</v>
      </c>
      <c r="D1264" s="75" t="s">
        <v>259</v>
      </c>
      <c r="E1264" s="27" t="s">
        <v>267</v>
      </c>
      <c r="F1264" s="2">
        <v>45471</v>
      </c>
      <c r="G1264" t="str">
        <f t="shared" si="40"/>
        <v>Jun</v>
      </c>
      <c r="H1264" t="str">
        <f t="shared" si="41"/>
        <v>2024</v>
      </c>
    </row>
    <row r="1265" spans="1:8" hidden="1" x14ac:dyDescent="0.35">
      <c r="A1265" t="s">
        <v>42</v>
      </c>
      <c r="B1265" s="76">
        <v>7884</v>
      </c>
      <c r="C1265" s="76">
        <f>Balance[[#This Row],[COST]]/147</f>
        <v>53.632653061224488</v>
      </c>
      <c r="D1265" s="76" t="s">
        <v>42</v>
      </c>
      <c r="E1265" s="27" t="s">
        <v>270</v>
      </c>
      <c r="F1265" s="2">
        <v>45471</v>
      </c>
      <c r="G1265" t="str">
        <f t="shared" si="40"/>
        <v>Jun</v>
      </c>
      <c r="H1265" t="str">
        <f t="shared" si="41"/>
        <v>2024</v>
      </c>
    </row>
    <row r="1266" spans="1:8" hidden="1" x14ac:dyDescent="0.35">
      <c r="A1266" t="s">
        <v>607</v>
      </c>
      <c r="B1266" s="76">
        <v>15000</v>
      </c>
      <c r="C1266" s="76">
        <f>Balance[[#This Row],[COST]]/147</f>
        <v>102.04081632653062</v>
      </c>
      <c r="D1266" s="1" t="s">
        <v>259</v>
      </c>
      <c r="E1266" t="s">
        <v>554</v>
      </c>
      <c r="F1266" s="2">
        <v>45472</v>
      </c>
      <c r="G1266" t="str">
        <f t="shared" si="40"/>
        <v>Jun</v>
      </c>
      <c r="H1266" t="str">
        <f t="shared" si="41"/>
        <v>2024</v>
      </c>
    </row>
    <row r="1267" spans="1:8" hidden="1" x14ac:dyDescent="0.35">
      <c r="A1267" t="s">
        <v>425</v>
      </c>
      <c r="B1267" s="76">
        <v>300</v>
      </c>
      <c r="C1267" s="76">
        <f>Balance[[#This Row],[COST]]/147</f>
        <v>2.0408163265306123</v>
      </c>
      <c r="D1267" s="1" t="s">
        <v>259</v>
      </c>
      <c r="E1267" s="27" t="s">
        <v>265</v>
      </c>
      <c r="F1267" s="2">
        <v>45472</v>
      </c>
      <c r="G1267" t="str">
        <f t="shared" si="40"/>
        <v>Jun</v>
      </c>
      <c r="H1267" t="str">
        <f t="shared" si="41"/>
        <v>2024</v>
      </c>
    </row>
    <row r="1268" spans="1:8" hidden="1" x14ac:dyDescent="0.35">
      <c r="A1268" t="s">
        <v>592</v>
      </c>
      <c r="B1268" s="76">
        <v>200</v>
      </c>
      <c r="C1268" s="76">
        <f>Balance[[#This Row],[COST]]/147</f>
        <v>1.3605442176870748</v>
      </c>
      <c r="D1268" s="1" t="s">
        <v>259</v>
      </c>
      <c r="E1268" s="27" t="s">
        <v>265</v>
      </c>
      <c r="F1268" s="2">
        <v>45472</v>
      </c>
      <c r="G1268" t="str">
        <f t="shared" si="40"/>
        <v>Jun</v>
      </c>
      <c r="H1268" t="str">
        <f t="shared" si="41"/>
        <v>2024</v>
      </c>
    </row>
    <row r="1269" spans="1:8" hidden="1" x14ac:dyDescent="0.35">
      <c r="A1269" t="s">
        <v>511</v>
      </c>
      <c r="B1269" s="76">
        <v>1300</v>
      </c>
      <c r="C1269" s="76">
        <f>Balance[[#This Row],[COST]]/147</f>
        <v>8.8435374149659864</v>
      </c>
      <c r="D1269" s="1" t="s">
        <v>259</v>
      </c>
      <c r="E1269" s="27" t="s">
        <v>265</v>
      </c>
      <c r="F1269" s="2">
        <v>45472</v>
      </c>
      <c r="G1269" t="str">
        <f t="shared" si="40"/>
        <v>Jun</v>
      </c>
      <c r="H1269" t="str">
        <f t="shared" si="41"/>
        <v>2024</v>
      </c>
    </row>
    <row r="1270" spans="1:8" x14ac:dyDescent="0.35">
      <c r="A1270" t="s">
        <v>524</v>
      </c>
      <c r="B1270" s="76">
        <v>3300</v>
      </c>
      <c r="C1270" s="76">
        <f>Balance[[#This Row],[COST]]/147</f>
        <v>22.448979591836736</v>
      </c>
      <c r="D1270" s="1" t="s">
        <v>689</v>
      </c>
      <c r="E1270" s="27" t="s">
        <v>275</v>
      </c>
      <c r="F1270" s="2">
        <v>45472</v>
      </c>
      <c r="G1270" t="str">
        <f t="shared" si="40"/>
        <v>Jun</v>
      </c>
      <c r="H1270" t="str">
        <f t="shared" si="41"/>
        <v>2024</v>
      </c>
    </row>
    <row r="1271" spans="1:8" x14ac:dyDescent="0.35">
      <c r="A1271" t="s">
        <v>343</v>
      </c>
      <c r="B1271" s="76">
        <v>600</v>
      </c>
      <c r="C1271" s="76">
        <f>Balance[[#This Row],[COST]]/147</f>
        <v>4.0816326530612246</v>
      </c>
      <c r="D1271" s="1" t="s">
        <v>689</v>
      </c>
      <c r="E1271" s="27" t="s">
        <v>275</v>
      </c>
      <c r="F1271" s="2">
        <v>45472</v>
      </c>
      <c r="G1271" t="str">
        <f t="shared" si="40"/>
        <v>Jun</v>
      </c>
      <c r="H1271" t="str">
        <f t="shared" si="41"/>
        <v>2024</v>
      </c>
    </row>
    <row r="1272" spans="1:8" hidden="1" x14ac:dyDescent="0.35">
      <c r="A1272" t="s">
        <v>485</v>
      </c>
      <c r="B1272" s="76">
        <v>120</v>
      </c>
      <c r="C1272" s="76">
        <f>Balance[[#This Row],[COST]]/147</f>
        <v>0.81632653061224492</v>
      </c>
      <c r="D1272" s="1" t="s">
        <v>259</v>
      </c>
      <c r="E1272" s="27" t="s">
        <v>265</v>
      </c>
      <c r="F1272" s="2">
        <v>45472</v>
      </c>
      <c r="G1272" t="str">
        <f t="shared" si="40"/>
        <v>Jun</v>
      </c>
      <c r="H1272" t="str">
        <f t="shared" si="41"/>
        <v>2024</v>
      </c>
    </row>
    <row r="1273" spans="1:8" hidden="1" x14ac:dyDescent="0.35">
      <c r="A1273" t="s">
        <v>114</v>
      </c>
      <c r="B1273" s="76">
        <v>1300</v>
      </c>
      <c r="C1273" s="76">
        <f>Balance[[#This Row],[COST]]/147</f>
        <v>8.8435374149659864</v>
      </c>
      <c r="D1273" s="1" t="s">
        <v>259</v>
      </c>
      <c r="E1273" s="27" t="s">
        <v>265</v>
      </c>
      <c r="F1273" s="2">
        <v>45473</v>
      </c>
      <c r="G1273" t="str">
        <f t="shared" si="40"/>
        <v>Jun</v>
      </c>
      <c r="H1273" t="str">
        <f t="shared" si="41"/>
        <v>2024</v>
      </c>
    </row>
    <row r="1274" spans="1:8" hidden="1" x14ac:dyDescent="0.35">
      <c r="A1274" t="s">
        <v>608</v>
      </c>
      <c r="B1274" s="76">
        <v>2600</v>
      </c>
      <c r="C1274" s="76">
        <f>Balance[[#This Row],[COST]]/147</f>
        <v>17.687074829931973</v>
      </c>
      <c r="D1274" s="1" t="s">
        <v>259</v>
      </c>
      <c r="E1274" s="27" t="s">
        <v>265</v>
      </c>
      <c r="F1274" s="2">
        <v>45474</v>
      </c>
      <c r="G1274" t="str">
        <f t="shared" si="40"/>
        <v>Jul</v>
      </c>
      <c r="H1274" t="str">
        <f t="shared" si="41"/>
        <v>2024</v>
      </c>
    </row>
    <row r="1275" spans="1:8" hidden="1" x14ac:dyDescent="0.35">
      <c r="A1275" t="s">
        <v>609</v>
      </c>
      <c r="B1275" s="76">
        <v>800</v>
      </c>
      <c r="C1275" s="76">
        <f>Balance[[#This Row],[COST]]/147</f>
        <v>5.4421768707482991</v>
      </c>
      <c r="D1275" s="1" t="s">
        <v>259</v>
      </c>
      <c r="E1275" s="27" t="s">
        <v>265</v>
      </c>
      <c r="F1275" s="2">
        <v>45474</v>
      </c>
      <c r="G1275" t="str">
        <f t="shared" si="40"/>
        <v>Jul</v>
      </c>
      <c r="H1275" t="str">
        <f t="shared" si="41"/>
        <v>2024</v>
      </c>
    </row>
    <row r="1276" spans="1:8" hidden="1" x14ac:dyDescent="0.35">
      <c r="A1276" t="s">
        <v>3</v>
      </c>
      <c r="B1276" s="76">
        <v>1800</v>
      </c>
      <c r="C1276" s="76">
        <f>Balance[[#This Row],[COST]]/147</f>
        <v>12.244897959183673</v>
      </c>
      <c r="D1276" s="1" t="s">
        <v>259</v>
      </c>
      <c r="E1276" s="27" t="s">
        <v>265</v>
      </c>
      <c r="F1276" s="2">
        <v>45474</v>
      </c>
      <c r="G1276" t="str">
        <f t="shared" si="40"/>
        <v>Jul</v>
      </c>
      <c r="H1276" t="str">
        <f t="shared" si="41"/>
        <v>2024</v>
      </c>
    </row>
    <row r="1277" spans="1:8" hidden="1" x14ac:dyDescent="0.35">
      <c r="A1277" t="s">
        <v>610</v>
      </c>
      <c r="B1277" s="76">
        <v>670</v>
      </c>
      <c r="C1277" s="76">
        <f>Balance[[#This Row],[COST]]/147</f>
        <v>4.5578231292517009</v>
      </c>
      <c r="D1277" s="1" t="s">
        <v>259</v>
      </c>
      <c r="E1277" s="27" t="s">
        <v>265</v>
      </c>
      <c r="F1277" s="2">
        <v>45474</v>
      </c>
      <c r="G1277" t="str">
        <f t="shared" si="40"/>
        <v>Jul</v>
      </c>
      <c r="H1277" t="str">
        <f t="shared" si="41"/>
        <v>2024</v>
      </c>
    </row>
    <row r="1278" spans="1:8" hidden="1" x14ac:dyDescent="0.35">
      <c r="A1278" t="s">
        <v>288</v>
      </c>
      <c r="B1278" s="76">
        <v>560</v>
      </c>
      <c r="C1278" s="76">
        <f>Balance[[#This Row],[COST]]/147</f>
        <v>3.8095238095238093</v>
      </c>
      <c r="D1278" s="1" t="s">
        <v>259</v>
      </c>
      <c r="E1278" s="27" t="s">
        <v>265</v>
      </c>
      <c r="F1278" s="2">
        <v>45474</v>
      </c>
      <c r="G1278" t="str">
        <f t="shared" si="40"/>
        <v>Jul</v>
      </c>
      <c r="H1278" t="str">
        <f t="shared" si="41"/>
        <v>2024</v>
      </c>
    </row>
    <row r="1279" spans="1:8" hidden="1" x14ac:dyDescent="0.35">
      <c r="A1279" t="s">
        <v>611</v>
      </c>
      <c r="B1279" s="76">
        <v>1100</v>
      </c>
      <c r="C1279" s="76">
        <f>Balance[[#This Row],[COST]]/147</f>
        <v>7.4829931972789119</v>
      </c>
      <c r="D1279" s="1" t="s">
        <v>259</v>
      </c>
      <c r="E1279" s="27" t="s">
        <v>265</v>
      </c>
      <c r="F1279" s="2">
        <v>45474</v>
      </c>
      <c r="G1279" t="str">
        <f t="shared" si="40"/>
        <v>Jul</v>
      </c>
      <c r="H1279" t="str">
        <f t="shared" si="41"/>
        <v>2024</v>
      </c>
    </row>
    <row r="1280" spans="1:8" hidden="1" x14ac:dyDescent="0.35">
      <c r="A1280" t="s">
        <v>612</v>
      </c>
      <c r="B1280" s="76">
        <v>2200</v>
      </c>
      <c r="C1280" s="76">
        <f>Balance[[#This Row],[COST]]/147</f>
        <v>14.965986394557824</v>
      </c>
      <c r="D1280" s="1" t="s">
        <v>259</v>
      </c>
      <c r="E1280" s="27" t="s">
        <v>265</v>
      </c>
      <c r="F1280" s="2">
        <v>45474</v>
      </c>
      <c r="G1280" t="str">
        <f t="shared" si="40"/>
        <v>Jul</v>
      </c>
      <c r="H1280" t="str">
        <f t="shared" si="41"/>
        <v>2024</v>
      </c>
    </row>
    <row r="1281" spans="1:8" x14ac:dyDescent="0.35">
      <c r="A1281" t="s">
        <v>504</v>
      </c>
      <c r="B1281" s="76">
        <v>1500</v>
      </c>
      <c r="C1281" s="76">
        <f>Balance[[#This Row],[COST]]/147</f>
        <v>10.204081632653061</v>
      </c>
      <c r="D1281" s="1" t="s">
        <v>689</v>
      </c>
      <c r="E1281" s="27" t="s">
        <v>275</v>
      </c>
      <c r="F1281" s="2">
        <v>45474</v>
      </c>
      <c r="G1281" t="str">
        <f t="shared" si="40"/>
        <v>Jul</v>
      </c>
      <c r="H1281" t="str">
        <f t="shared" si="41"/>
        <v>2024</v>
      </c>
    </row>
    <row r="1282" spans="1:8" hidden="1" x14ac:dyDescent="0.35">
      <c r="A1282" t="s">
        <v>510</v>
      </c>
      <c r="B1282" s="76">
        <v>3000</v>
      </c>
      <c r="C1282" s="76">
        <f>Balance[[#This Row],[COST]]/147</f>
        <v>20.408163265306122</v>
      </c>
      <c r="D1282" s="1" t="s">
        <v>259</v>
      </c>
      <c r="E1282" s="27" t="s">
        <v>268</v>
      </c>
      <c r="F1282" s="2">
        <v>45475</v>
      </c>
      <c r="G1282" t="str">
        <f t="shared" si="40"/>
        <v>Jul</v>
      </c>
      <c r="H1282" t="str">
        <f t="shared" si="41"/>
        <v>2024</v>
      </c>
    </row>
    <row r="1283" spans="1:8" hidden="1" x14ac:dyDescent="0.35">
      <c r="A1283" t="s">
        <v>510</v>
      </c>
      <c r="B1283" s="76">
        <v>3000</v>
      </c>
      <c r="C1283" s="76">
        <f>Balance[[#This Row],[COST]]/147</f>
        <v>20.408163265306122</v>
      </c>
      <c r="D1283" s="1" t="s">
        <v>259</v>
      </c>
      <c r="E1283" s="27" t="s">
        <v>268</v>
      </c>
      <c r="F1283" s="2">
        <v>45475</v>
      </c>
      <c r="G1283" t="str">
        <f t="shared" si="40"/>
        <v>Jul</v>
      </c>
      <c r="H1283" t="str">
        <f t="shared" si="41"/>
        <v>2024</v>
      </c>
    </row>
    <row r="1284" spans="1:8" x14ac:dyDescent="0.35">
      <c r="A1284" t="s">
        <v>519</v>
      </c>
      <c r="B1284" s="76">
        <v>2100</v>
      </c>
      <c r="C1284" s="76">
        <f>Balance[[#This Row],[COST]]/147</f>
        <v>14.285714285714286</v>
      </c>
      <c r="D1284" s="1" t="s">
        <v>689</v>
      </c>
      <c r="E1284" s="27" t="s">
        <v>275</v>
      </c>
      <c r="F1284" s="2">
        <v>45475</v>
      </c>
      <c r="G1284" t="str">
        <f t="shared" si="40"/>
        <v>Jul</v>
      </c>
      <c r="H1284" t="str">
        <f t="shared" si="41"/>
        <v>2024</v>
      </c>
    </row>
    <row r="1285" spans="1:8" x14ac:dyDescent="0.35">
      <c r="A1285" t="s">
        <v>480</v>
      </c>
      <c r="B1285" s="76">
        <v>200</v>
      </c>
      <c r="C1285" s="76">
        <f>Balance[[#This Row],[COST]]/147</f>
        <v>1.3605442176870748</v>
      </c>
      <c r="D1285" s="1" t="s">
        <v>689</v>
      </c>
      <c r="E1285" s="27" t="s">
        <v>275</v>
      </c>
      <c r="F1285" s="2">
        <v>45475</v>
      </c>
      <c r="G1285" t="str">
        <f t="shared" si="40"/>
        <v>Jul</v>
      </c>
      <c r="H1285" t="str">
        <f t="shared" si="41"/>
        <v>2024</v>
      </c>
    </row>
    <row r="1286" spans="1:8" hidden="1" x14ac:dyDescent="0.35">
      <c r="A1286" t="s">
        <v>613</v>
      </c>
      <c r="B1286" s="76">
        <v>12000</v>
      </c>
      <c r="C1286" s="76">
        <f>Balance[[#This Row],[COST]]/147</f>
        <v>81.632653061224488</v>
      </c>
      <c r="D1286" s="1" t="s">
        <v>515</v>
      </c>
      <c r="E1286" s="27" t="s">
        <v>272</v>
      </c>
      <c r="F1286" s="2">
        <v>45475</v>
      </c>
      <c r="G1286" t="str">
        <f t="shared" si="40"/>
        <v>Jul</v>
      </c>
      <c r="H1286" t="str">
        <f t="shared" si="41"/>
        <v>2024</v>
      </c>
    </row>
    <row r="1287" spans="1:8" hidden="1" x14ac:dyDescent="0.35">
      <c r="A1287" t="s">
        <v>617</v>
      </c>
      <c r="B1287" s="76">
        <v>1000</v>
      </c>
      <c r="C1287" s="76">
        <f>Balance[[#This Row],[COST]]/147</f>
        <v>6.8027210884353737</v>
      </c>
      <c r="D1287" s="1" t="s">
        <v>259</v>
      </c>
      <c r="E1287" s="27" t="s">
        <v>268</v>
      </c>
      <c r="F1287" s="2">
        <v>45476</v>
      </c>
      <c r="G1287" t="str">
        <f t="shared" si="40"/>
        <v>Jul</v>
      </c>
      <c r="H1287" t="str">
        <f t="shared" si="41"/>
        <v>2024</v>
      </c>
    </row>
    <row r="1288" spans="1:8" hidden="1" x14ac:dyDescent="0.35">
      <c r="A1288" t="s">
        <v>614</v>
      </c>
      <c r="B1288" s="76">
        <v>600</v>
      </c>
      <c r="C1288" s="76">
        <f>Balance[[#This Row],[COST]]/147</f>
        <v>4.0816326530612246</v>
      </c>
      <c r="D1288" s="1" t="s">
        <v>259</v>
      </c>
      <c r="E1288" s="27" t="s">
        <v>268</v>
      </c>
      <c r="F1288" s="2">
        <v>45477</v>
      </c>
      <c r="G1288" t="str">
        <f t="shared" si="40"/>
        <v>Jul</v>
      </c>
      <c r="H1288" t="str">
        <f t="shared" si="41"/>
        <v>2024</v>
      </c>
    </row>
    <row r="1289" spans="1:8" hidden="1" x14ac:dyDescent="0.35">
      <c r="A1289" t="s">
        <v>615</v>
      </c>
      <c r="B1289" s="76">
        <v>600</v>
      </c>
      <c r="C1289" s="76">
        <f>Balance[[#This Row],[COST]]/147</f>
        <v>4.0816326530612246</v>
      </c>
      <c r="D1289" s="1" t="s">
        <v>259</v>
      </c>
      <c r="E1289" s="27" t="s">
        <v>268</v>
      </c>
      <c r="F1289" s="2">
        <v>45477</v>
      </c>
      <c r="G1289" t="str">
        <f t="shared" si="40"/>
        <v>Jul</v>
      </c>
      <c r="H1289" t="str">
        <f t="shared" si="41"/>
        <v>2024</v>
      </c>
    </row>
    <row r="1290" spans="1:8" hidden="1" x14ac:dyDescent="0.35">
      <c r="A1290" t="s">
        <v>616</v>
      </c>
      <c r="B1290" s="76">
        <v>2000</v>
      </c>
      <c r="C1290" s="76">
        <f>Balance[[#This Row],[COST]]/147</f>
        <v>13.605442176870747</v>
      </c>
      <c r="D1290" s="1" t="s">
        <v>259</v>
      </c>
      <c r="E1290" s="27" t="s">
        <v>268</v>
      </c>
      <c r="F1290" s="2">
        <v>45477</v>
      </c>
      <c r="G1290" t="str">
        <f t="shared" si="40"/>
        <v>Jul</v>
      </c>
      <c r="H1290" t="str">
        <f t="shared" si="41"/>
        <v>2024</v>
      </c>
    </row>
    <row r="1291" spans="1:8" hidden="1" x14ac:dyDescent="0.35">
      <c r="A1291" t="s">
        <v>562</v>
      </c>
      <c r="B1291" s="76">
        <v>400</v>
      </c>
      <c r="C1291" s="76">
        <f>Balance[[#This Row],[COST]]/147</f>
        <v>2.7210884353741496</v>
      </c>
      <c r="D1291" s="1" t="s">
        <v>259</v>
      </c>
      <c r="E1291" s="27" t="s">
        <v>265</v>
      </c>
      <c r="F1291" s="2">
        <v>45477</v>
      </c>
      <c r="G1291" t="str">
        <f t="shared" si="40"/>
        <v>Jul</v>
      </c>
      <c r="H1291" t="str">
        <f t="shared" si="41"/>
        <v>2024</v>
      </c>
    </row>
    <row r="1292" spans="1:8" hidden="1" x14ac:dyDescent="0.35">
      <c r="A1292" t="s">
        <v>425</v>
      </c>
      <c r="B1292" s="76">
        <v>300</v>
      </c>
      <c r="C1292" s="76">
        <f>Balance[[#This Row],[COST]]/147</f>
        <v>2.0408163265306123</v>
      </c>
      <c r="D1292" s="1" t="s">
        <v>259</v>
      </c>
      <c r="E1292" s="27" t="s">
        <v>265</v>
      </c>
      <c r="F1292" s="2">
        <v>45477</v>
      </c>
      <c r="G1292" t="str">
        <f t="shared" si="40"/>
        <v>Jul</v>
      </c>
      <c r="H1292" t="str">
        <f t="shared" si="41"/>
        <v>2024</v>
      </c>
    </row>
    <row r="1293" spans="1:8" hidden="1" x14ac:dyDescent="0.35">
      <c r="A1293" t="s">
        <v>183</v>
      </c>
      <c r="B1293" s="76">
        <v>2000</v>
      </c>
      <c r="C1293" s="76">
        <f>Balance[[#This Row],[COST]]/147</f>
        <v>13.605442176870747</v>
      </c>
      <c r="D1293" s="1" t="s">
        <v>259</v>
      </c>
      <c r="E1293" s="27" t="s">
        <v>4</v>
      </c>
      <c r="F1293" s="2">
        <v>45478</v>
      </c>
      <c r="G1293" t="str">
        <f t="shared" si="40"/>
        <v>Jul</v>
      </c>
      <c r="H1293" t="str">
        <f t="shared" si="41"/>
        <v>2024</v>
      </c>
    </row>
    <row r="1294" spans="1:8" x14ac:dyDescent="0.35">
      <c r="A1294" t="s">
        <v>343</v>
      </c>
      <c r="B1294" s="76">
        <v>1200</v>
      </c>
      <c r="C1294" s="76">
        <f>Balance[[#This Row],[COST]]/147</f>
        <v>8.1632653061224492</v>
      </c>
      <c r="D1294" s="1" t="s">
        <v>689</v>
      </c>
      <c r="E1294" s="27" t="s">
        <v>275</v>
      </c>
      <c r="F1294" s="2">
        <v>45478</v>
      </c>
      <c r="G1294" t="str">
        <f t="shared" si="40"/>
        <v>Jul</v>
      </c>
      <c r="H1294" t="str">
        <f t="shared" si="41"/>
        <v>2024</v>
      </c>
    </row>
    <row r="1295" spans="1:8" hidden="1" x14ac:dyDescent="0.35">
      <c r="A1295" t="s">
        <v>511</v>
      </c>
      <c r="B1295" s="76">
        <v>1300</v>
      </c>
      <c r="C1295" s="76">
        <f>Balance[[#This Row],[COST]]/147</f>
        <v>8.8435374149659864</v>
      </c>
      <c r="D1295" s="1" t="s">
        <v>259</v>
      </c>
      <c r="E1295" s="27" t="s">
        <v>265</v>
      </c>
      <c r="F1295" s="2">
        <v>45478</v>
      </c>
      <c r="G1295" t="str">
        <f t="shared" si="40"/>
        <v>Jul</v>
      </c>
      <c r="H1295" t="str">
        <f t="shared" si="41"/>
        <v>2024</v>
      </c>
    </row>
    <row r="1296" spans="1:8" hidden="1" x14ac:dyDescent="0.35">
      <c r="A1296" t="s">
        <v>619</v>
      </c>
      <c r="B1296" s="76">
        <v>2400</v>
      </c>
      <c r="C1296" s="76">
        <f>Balance[[#This Row],[COST]]/147</f>
        <v>16.326530612244898</v>
      </c>
      <c r="D1296" s="1" t="s">
        <v>259</v>
      </c>
      <c r="E1296" s="27" t="s">
        <v>265</v>
      </c>
      <c r="F1296" s="2">
        <v>45479</v>
      </c>
      <c r="G1296" t="str">
        <f t="shared" si="40"/>
        <v>Jul</v>
      </c>
      <c r="H1296" t="str">
        <f t="shared" si="41"/>
        <v>2024</v>
      </c>
    </row>
    <row r="1297" spans="1:8" hidden="1" x14ac:dyDescent="0.35">
      <c r="A1297" t="s">
        <v>620</v>
      </c>
      <c r="B1297" s="76">
        <v>2800</v>
      </c>
      <c r="C1297" s="76">
        <f>Balance[[#This Row],[COST]]/147</f>
        <v>19.047619047619047</v>
      </c>
      <c r="D1297" s="1" t="s">
        <v>259</v>
      </c>
      <c r="E1297" s="27" t="s">
        <v>268</v>
      </c>
      <c r="F1297" s="2">
        <v>45479</v>
      </c>
      <c r="G1297" t="str">
        <f t="shared" si="40"/>
        <v>Jul</v>
      </c>
      <c r="H1297" t="str">
        <f t="shared" si="41"/>
        <v>2024</v>
      </c>
    </row>
    <row r="1298" spans="1:8" x14ac:dyDescent="0.35">
      <c r="A1298" t="s">
        <v>391</v>
      </c>
      <c r="B1298" s="76">
        <v>3400</v>
      </c>
      <c r="C1298" s="76">
        <f>Balance[[#This Row],[COST]]/147</f>
        <v>23.129251700680271</v>
      </c>
      <c r="D1298" s="1" t="s">
        <v>689</v>
      </c>
      <c r="E1298" s="27" t="s">
        <v>275</v>
      </c>
      <c r="F1298" s="2">
        <v>45479</v>
      </c>
      <c r="G1298" t="str">
        <f t="shared" si="40"/>
        <v>Jul</v>
      </c>
      <c r="H1298" t="str">
        <f t="shared" si="41"/>
        <v>2024</v>
      </c>
    </row>
    <row r="1299" spans="1:8" hidden="1" x14ac:dyDescent="0.35">
      <c r="A1299" t="s">
        <v>621</v>
      </c>
      <c r="B1299" s="76">
        <v>3100</v>
      </c>
      <c r="C1299" s="76">
        <f>Balance[[#This Row],[COST]]/147</f>
        <v>21.088435374149661</v>
      </c>
      <c r="D1299" s="1" t="s">
        <v>259</v>
      </c>
      <c r="E1299" s="27" t="s">
        <v>268</v>
      </c>
      <c r="F1299" s="2">
        <v>45479</v>
      </c>
      <c r="G1299" t="str">
        <f t="shared" si="40"/>
        <v>Jul</v>
      </c>
      <c r="H1299" t="str">
        <f t="shared" si="41"/>
        <v>2024</v>
      </c>
    </row>
    <row r="1300" spans="1:8" hidden="1" x14ac:dyDescent="0.35">
      <c r="A1300" t="s">
        <v>114</v>
      </c>
      <c r="B1300" s="76">
        <v>2180</v>
      </c>
      <c r="C1300" s="76">
        <f>Balance[[#This Row],[COST]]/147</f>
        <v>14.829931972789115</v>
      </c>
      <c r="D1300" s="1" t="s">
        <v>259</v>
      </c>
      <c r="E1300" s="27" t="s">
        <v>265</v>
      </c>
      <c r="F1300" s="2">
        <v>45481</v>
      </c>
      <c r="G1300" t="str">
        <f t="shared" si="40"/>
        <v>Jul</v>
      </c>
      <c r="H1300" t="str">
        <f t="shared" si="41"/>
        <v>2024</v>
      </c>
    </row>
    <row r="1301" spans="1:8" hidden="1" x14ac:dyDescent="0.35">
      <c r="A1301" t="s">
        <v>114</v>
      </c>
      <c r="B1301" s="76">
        <v>3030</v>
      </c>
      <c r="C1301" s="76">
        <f>Balance[[#This Row],[COST]]/147</f>
        <v>20.612244897959183</v>
      </c>
      <c r="D1301" s="1" t="s">
        <v>259</v>
      </c>
      <c r="E1301" s="27" t="s">
        <v>265</v>
      </c>
      <c r="F1301" s="2">
        <v>45484</v>
      </c>
      <c r="G1301" t="str">
        <f t="shared" si="40"/>
        <v>Jul</v>
      </c>
      <c r="H1301" t="str">
        <f t="shared" si="41"/>
        <v>2024</v>
      </c>
    </row>
    <row r="1302" spans="1:8" hidden="1" x14ac:dyDescent="0.35">
      <c r="A1302" t="s">
        <v>625</v>
      </c>
      <c r="B1302" s="76">
        <v>4300</v>
      </c>
      <c r="C1302" s="76">
        <f>Balance[[#This Row],[COST]]/147</f>
        <v>29.251700680272108</v>
      </c>
      <c r="D1302" s="1" t="s">
        <v>515</v>
      </c>
      <c r="E1302" s="27" t="s">
        <v>514</v>
      </c>
      <c r="F1302" s="2">
        <v>45485</v>
      </c>
      <c r="G1302" t="str">
        <f t="shared" si="40"/>
        <v>Jul</v>
      </c>
      <c r="H1302" t="str">
        <f t="shared" si="41"/>
        <v>2024</v>
      </c>
    </row>
    <row r="1303" spans="1:8" hidden="1" x14ac:dyDescent="0.35">
      <c r="A1303" t="s">
        <v>626</v>
      </c>
      <c r="B1303" s="76">
        <v>1000</v>
      </c>
      <c r="C1303" s="76">
        <f>Balance[[#This Row],[COST]]/147</f>
        <v>6.8027210884353737</v>
      </c>
      <c r="D1303" s="1" t="s">
        <v>259</v>
      </c>
      <c r="E1303" s="27" t="s">
        <v>265</v>
      </c>
      <c r="F1303" s="2">
        <v>45485</v>
      </c>
      <c r="G1303" t="str">
        <f t="shared" si="40"/>
        <v>Jul</v>
      </c>
      <c r="H1303" t="str">
        <f t="shared" si="41"/>
        <v>2024</v>
      </c>
    </row>
    <row r="1304" spans="1:8" hidden="1" x14ac:dyDescent="0.35">
      <c r="A1304" t="s">
        <v>622</v>
      </c>
      <c r="B1304" s="76">
        <v>9940</v>
      </c>
      <c r="C1304" s="76">
        <f>Balance[[#This Row],[COST]]/147</f>
        <v>67.61904761904762</v>
      </c>
      <c r="D1304" s="1" t="s">
        <v>259</v>
      </c>
      <c r="E1304" s="27" t="s">
        <v>265</v>
      </c>
      <c r="F1304" s="2">
        <v>45486</v>
      </c>
      <c r="G1304" t="str">
        <f t="shared" si="40"/>
        <v>Jul</v>
      </c>
      <c r="H1304" t="str">
        <f t="shared" si="41"/>
        <v>2024</v>
      </c>
    </row>
    <row r="1305" spans="1:8" hidden="1" x14ac:dyDescent="0.35">
      <c r="A1305" t="s">
        <v>623</v>
      </c>
      <c r="B1305" s="76">
        <v>2300</v>
      </c>
      <c r="C1305" s="76">
        <f>Balance[[#This Row],[COST]]/147</f>
        <v>15.646258503401361</v>
      </c>
      <c r="D1305" s="1" t="s">
        <v>259</v>
      </c>
      <c r="E1305" s="27" t="s">
        <v>265</v>
      </c>
      <c r="F1305" s="2">
        <v>45486</v>
      </c>
      <c r="G1305" t="str">
        <f t="shared" si="40"/>
        <v>Jul</v>
      </c>
      <c r="H1305" t="str">
        <f t="shared" si="41"/>
        <v>2024</v>
      </c>
    </row>
    <row r="1306" spans="1:8" x14ac:dyDescent="0.35">
      <c r="A1306" t="s">
        <v>624</v>
      </c>
      <c r="B1306" s="76">
        <v>14000</v>
      </c>
      <c r="C1306" s="76">
        <f>Balance[[#This Row],[COST]]/147</f>
        <v>95.238095238095241</v>
      </c>
      <c r="D1306" s="1" t="s">
        <v>689</v>
      </c>
      <c r="E1306" s="27" t="s">
        <v>275</v>
      </c>
      <c r="F1306" s="2">
        <v>45486</v>
      </c>
      <c r="G1306" t="str">
        <f t="shared" si="40"/>
        <v>Jul</v>
      </c>
      <c r="H1306" t="str">
        <f t="shared" si="41"/>
        <v>2024</v>
      </c>
    </row>
    <row r="1307" spans="1:8" hidden="1" x14ac:dyDescent="0.35">
      <c r="A1307" t="s">
        <v>183</v>
      </c>
      <c r="B1307" s="76">
        <v>4000</v>
      </c>
      <c r="C1307" s="76">
        <f>Balance[[#This Row],[COST]]/147</f>
        <v>27.210884353741495</v>
      </c>
      <c r="D1307" s="1" t="s">
        <v>259</v>
      </c>
      <c r="E1307" s="27" t="s">
        <v>4</v>
      </c>
      <c r="F1307" s="2">
        <v>45487</v>
      </c>
      <c r="G1307" t="str">
        <f t="shared" si="40"/>
        <v>Jul</v>
      </c>
      <c r="H1307" t="str">
        <f t="shared" si="41"/>
        <v>2024</v>
      </c>
    </row>
    <row r="1308" spans="1:8" x14ac:dyDescent="0.35">
      <c r="A1308" t="s">
        <v>538</v>
      </c>
      <c r="B1308" s="76">
        <v>30000</v>
      </c>
      <c r="C1308" s="76">
        <f>Balance[[#This Row],[COST]]/147</f>
        <v>204.08163265306123</v>
      </c>
      <c r="D1308" s="1" t="s">
        <v>689</v>
      </c>
      <c r="E1308" s="27" t="s">
        <v>275</v>
      </c>
      <c r="F1308" s="2">
        <v>45488</v>
      </c>
      <c r="G1308" t="str">
        <f t="shared" si="40"/>
        <v>Jul</v>
      </c>
      <c r="H1308" t="str">
        <f t="shared" si="41"/>
        <v>2024</v>
      </c>
    </row>
    <row r="1309" spans="1:8" hidden="1" x14ac:dyDescent="0.35">
      <c r="A1309" t="s">
        <v>430</v>
      </c>
      <c r="B1309" s="76">
        <v>2000</v>
      </c>
      <c r="C1309" s="76">
        <f>Balance[[#This Row],[COST]]/147</f>
        <v>13.605442176870747</v>
      </c>
      <c r="D1309" s="1" t="s">
        <v>259</v>
      </c>
      <c r="E1309" s="27" t="s">
        <v>265</v>
      </c>
      <c r="F1309" s="2">
        <v>45488</v>
      </c>
      <c r="G1309" t="str">
        <f t="shared" si="40"/>
        <v>Jul</v>
      </c>
      <c r="H1309" t="str">
        <f t="shared" si="41"/>
        <v>2024</v>
      </c>
    </row>
    <row r="1310" spans="1:8" hidden="1" x14ac:dyDescent="0.35">
      <c r="A1310" t="s">
        <v>229</v>
      </c>
      <c r="B1310" s="76">
        <f>Balance[[#This Row],[Cost USD]]*157</f>
        <v>940.43000000000006</v>
      </c>
      <c r="C1310" s="76">
        <v>5.99</v>
      </c>
      <c r="D1310" s="76" t="s">
        <v>259</v>
      </c>
      <c r="E1310" s="27" t="s">
        <v>267</v>
      </c>
      <c r="F1310" s="2">
        <v>45488</v>
      </c>
      <c r="G1310" t="str">
        <f t="shared" si="40"/>
        <v>Jul</v>
      </c>
      <c r="H1310" t="str">
        <f t="shared" si="41"/>
        <v>2024</v>
      </c>
    </row>
    <row r="1311" spans="1:8" hidden="1" x14ac:dyDescent="0.35">
      <c r="A1311" t="s">
        <v>541</v>
      </c>
      <c r="B1311" s="76">
        <v>110</v>
      </c>
      <c r="C1311" s="76">
        <f>Balance[[#This Row],[COST]]/147</f>
        <v>0.74829931972789121</v>
      </c>
      <c r="D1311" s="1" t="s">
        <v>259</v>
      </c>
      <c r="E1311" s="27" t="s">
        <v>265</v>
      </c>
      <c r="F1311" s="2">
        <v>45489</v>
      </c>
      <c r="G1311" t="str">
        <f t="shared" ref="G1311:G1374" si="42">TEXT(F1311,"mmm")</f>
        <v>Jul</v>
      </c>
      <c r="H1311" t="str">
        <f t="shared" ref="H1311:H1374" si="43">TEXT(F1311,"yyy")</f>
        <v>2024</v>
      </c>
    </row>
    <row r="1312" spans="1:8" hidden="1" x14ac:dyDescent="0.35">
      <c r="A1312" t="s">
        <v>547</v>
      </c>
      <c r="B1312" s="76">
        <v>150</v>
      </c>
      <c r="C1312" s="76">
        <f>Balance[[#This Row],[COST]]/147</f>
        <v>1.0204081632653061</v>
      </c>
      <c r="D1312" s="1" t="s">
        <v>259</v>
      </c>
      <c r="E1312" s="27" t="s">
        <v>265</v>
      </c>
      <c r="F1312" s="2">
        <v>45489</v>
      </c>
      <c r="G1312" t="str">
        <f t="shared" si="42"/>
        <v>Jul</v>
      </c>
      <c r="H1312" t="str">
        <f t="shared" si="43"/>
        <v>2024</v>
      </c>
    </row>
    <row r="1313" spans="1:8" hidden="1" x14ac:dyDescent="0.35">
      <c r="A1313" t="s">
        <v>395</v>
      </c>
      <c r="B1313" s="76">
        <v>100</v>
      </c>
      <c r="C1313" s="76">
        <f>Balance[[#This Row],[COST]]/147</f>
        <v>0.68027210884353739</v>
      </c>
      <c r="D1313" s="1" t="s">
        <v>259</v>
      </c>
      <c r="E1313" s="27" t="s">
        <v>265</v>
      </c>
      <c r="F1313" s="2">
        <v>45489</v>
      </c>
      <c r="G1313" t="str">
        <f t="shared" si="42"/>
        <v>Jul</v>
      </c>
      <c r="H1313" t="str">
        <f t="shared" si="43"/>
        <v>2024</v>
      </c>
    </row>
    <row r="1314" spans="1:8" hidden="1" x14ac:dyDescent="0.35">
      <c r="A1314" t="s">
        <v>424</v>
      </c>
      <c r="B1314" s="76">
        <v>200</v>
      </c>
      <c r="C1314" s="76">
        <f>Balance[[#This Row],[COST]]/147</f>
        <v>1.3605442176870748</v>
      </c>
      <c r="D1314" s="1" t="s">
        <v>259</v>
      </c>
      <c r="E1314" s="27" t="s">
        <v>265</v>
      </c>
      <c r="F1314" s="2">
        <v>45489</v>
      </c>
      <c r="G1314" t="str">
        <f t="shared" si="42"/>
        <v>Jul</v>
      </c>
      <c r="H1314" t="str">
        <f t="shared" si="43"/>
        <v>2024</v>
      </c>
    </row>
    <row r="1315" spans="1:8" hidden="1" x14ac:dyDescent="0.35">
      <c r="A1315" t="s">
        <v>517</v>
      </c>
      <c r="B1315" s="76">
        <v>200</v>
      </c>
      <c r="C1315" s="76">
        <f>Balance[[#This Row],[COST]]/147</f>
        <v>1.3605442176870748</v>
      </c>
      <c r="D1315" s="1" t="s">
        <v>259</v>
      </c>
      <c r="E1315" s="27" t="s">
        <v>265</v>
      </c>
      <c r="F1315" s="2">
        <v>45489</v>
      </c>
      <c r="G1315" t="str">
        <f t="shared" si="42"/>
        <v>Jul</v>
      </c>
      <c r="H1315" t="str">
        <f t="shared" si="43"/>
        <v>2024</v>
      </c>
    </row>
    <row r="1316" spans="1:8" hidden="1" x14ac:dyDescent="0.35">
      <c r="A1316" t="s">
        <v>129</v>
      </c>
      <c r="B1316" s="76">
        <v>1660</v>
      </c>
      <c r="C1316" s="76">
        <f>Balance[[#This Row],[COST]]/147</f>
        <v>11.29251700680272</v>
      </c>
      <c r="D1316" s="1" t="s">
        <v>259</v>
      </c>
      <c r="E1316" s="27" t="s">
        <v>265</v>
      </c>
      <c r="F1316" s="2">
        <v>45489</v>
      </c>
      <c r="G1316" t="str">
        <f t="shared" si="42"/>
        <v>Jul</v>
      </c>
      <c r="H1316" t="str">
        <f t="shared" si="43"/>
        <v>2024</v>
      </c>
    </row>
    <row r="1317" spans="1:8" hidden="1" x14ac:dyDescent="0.35">
      <c r="A1317" t="s">
        <v>246</v>
      </c>
      <c r="B1317" s="76">
        <v>1000</v>
      </c>
      <c r="C1317" s="76">
        <f>Balance[[#This Row],[COST]]/147</f>
        <v>6.8027210884353737</v>
      </c>
      <c r="D1317" s="1" t="s">
        <v>259</v>
      </c>
      <c r="E1317" s="27" t="s">
        <v>265</v>
      </c>
      <c r="F1317" s="2">
        <v>45490</v>
      </c>
      <c r="G1317" t="str">
        <f t="shared" si="42"/>
        <v>Jul</v>
      </c>
      <c r="H1317" t="str">
        <f t="shared" si="43"/>
        <v>2024</v>
      </c>
    </row>
    <row r="1318" spans="1:8" hidden="1" x14ac:dyDescent="0.35">
      <c r="A1318" t="s">
        <v>246</v>
      </c>
      <c r="B1318" s="76">
        <v>1200</v>
      </c>
      <c r="C1318" s="76">
        <f>Balance[[#This Row],[COST]]/147</f>
        <v>8.1632653061224492</v>
      </c>
      <c r="D1318" s="1" t="s">
        <v>259</v>
      </c>
      <c r="E1318" s="27" t="s">
        <v>265</v>
      </c>
      <c r="F1318" s="2">
        <v>45491</v>
      </c>
      <c r="G1318" t="str">
        <f t="shared" si="42"/>
        <v>Jul</v>
      </c>
      <c r="H1318" t="str">
        <f t="shared" si="43"/>
        <v>2024</v>
      </c>
    </row>
    <row r="1319" spans="1:8" x14ac:dyDescent="0.35">
      <c r="A1319" t="s">
        <v>343</v>
      </c>
      <c r="B1319" s="76">
        <v>1800</v>
      </c>
      <c r="C1319" s="76">
        <f>Balance[[#This Row],[COST]]/147</f>
        <v>12.244897959183673</v>
      </c>
      <c r="D1319" s="1" t="s">
        <v>689</v>
      </c>
      <c r="E1319" s="27" t="s">
        <v>275</v>
      </c>
      <c r="F1319" s="2">
        <v>45491</v>
      </c>
      <c r="G1319" t="str">
        <f t="shared" si="42"/>
        <v>Jul</v>
      </c>
      <c r="H1319" t="str">
        <f t="shared" si="43"/>
        <v>2024</v>
      </c>
    </row>
    <row r="1320" spans="1:8" hidden="1" x14ac:dyDescent="0.35">
      <c r="A1320" t="s">
        <v>246</v>
      </c>
      <c r="B1320" s="76">
        <v>2000</v>
      </c>
      <c r="C1320" s="76">
        <f>Balance[[#This Row],[COST]]/147</f>
        <v>13.605442176870747</v>
      </c>
      <c r="D1320" s="1" t="s">
        <v>259</v>
      </c>
      <c r="E1320" s="27" t="s">
        <v>265</v>
      </c>
      <c r="F1320" s="2">
        <v>45492</v>
      </c>
      <c r="G1320" t="str">
        <f t="shared" si="42"/>
        <v>Jul</v>
      </c>
      <c r="H1320" t="str">
        <f t="shared" si="43"/>
        <v>2024</v>
      </c>
    </row>
    <row r="1321" spans="1:8" x14ac:dyDescent="0.35">
      <c r="A1321" t="s">
        <v>474</v>
      </c>
      <c r="B1321" s="76">
        <v>2000</v>
      </c>
      <c r="C1321" s="76">
        <f>Balance[[#This Row],[COST]]/147</f>
        <v>13.605442176870747</v>
      </c>
      <c r="D1321" s="1" t="s">
        <v>689</v>
      </c>
      <c r="E1321" s="27" t="s">
        <v>275</v>
      </c>
      <c r="F1321" s="2">
        <v>45492</v>
      </c>
      <c r="G1321" t="str">
        <f t="shared" si="42"/>
        <v>Jul</v>
      </c>
      <c r="H1321" t="str">
        <f t="shared" si="43"/>
        <v>2024</v>
      </c>
    </row>
    <row r="1322" spans="1:8" hidden="1" x14ac:dyDescent="0.35">
      <c r="A1322" s="81" t="s">
        <v>361</v>
      </c>
      <c r="B1322" s="104">
        <v>4000</v>
      </c>
      <c r="C1322" s="76">
        <f>Balance[[#This Row],[COST]]/147</f>
        <v>27.210884353741495</v>
      </c>
      <c r="D1322" s="1" t="s">
        <v>259</v>
      </c>
      <c r="E1322" s="27" t="s">
        <v>265</v>
      </c>
      <c r="F1322" s="83">
        <v>45492</v>
      </c>
      <c r="G1322" t="str">
        <f t="shared" si="42"/>
        <v>Jul</v>
      </c>
      <c r="H1322" t="str">
        <f t="shared" si="43"/>
        <v>2024</v>
      </c>
    </row>
    <row r="1323" spans="1:8" x14ac:dyDescent="0.35">
      <c r="A1323" t="s">
        <v>465</v>
      </c>
      <c r="B1323" s="92">
        <v>550</v>
      </c>
      <c r="C1323" s="76">
        <f>Balance[[#This Row],[COST]]/147</f>
        <v>3.7414965986394559</v>
      </c>
      <c r="D1323" s="1" t="s">
        <v>689</v>
      </c>
      <c r="E1323" s="27" t="s">
        <v>275</v>
      </c>
      <c r="F1323" s="83">
        <v>45494</v>
      </c>
      <c r="G1323" t="str">
        <f t="shared" si="42"/>
        <v>Jul</v>
      </c>
      <c r="H1323" t="str">
        <f t="shared" si="43"/>
        <v>2024</v>
      </c>
    </row>
    <row r="1324" spans="1:8" hidden="1" x14ac:dyDescent="0.35">
      <c r="A1324" t="s">
        <v>425</v>
      </c>
      <c r="B1324" s="90">
        <v>300</v>
      </c>
      <c r="C1324" s="76">
        <f>Balance[[#This Row],[COST]]/147</f>
        <v>2.0408163265306123</v>
      </c>
      <c r="D1324" s="91" t="s">
        <v>259</v>
      </c>
      <c r="E1324" s="89" t="s">
        <v>265</v>
      </c>
      <c r="F1324" s="83">
        <v>45494</v>
      </c>
      <c r="G1324" t="str">
        <f t="shared" si="42"/>
        <v>Jul</v>
      </c>
      <c r="H1324" t="str">
        <f t="shared" si="43"/>
        <v>2024</v>
      </c>
    </row>
    <row r="1325" spans="1:8" x14ac:dyDescent="0.35">
      <c r="A1325" t="s">
        <v>343</v>
      </c>
      <c r="B1325" s="90">
        <v>1300</v>
      </c>
      <c r="C1325" s="76">
        <f>Balance[[#This Row],[COST]]/147</f>
        <v>8.8435374149659864</v>
      </c>
      <c r="D1325" s="1" t="s">
        <v>689</v>
      </c>
      <c r="E1325" s="27" t="s">
        <v>275</v>
      </c>
      <c r="F1325" s="83">
        <v>45494</v>
      </c>
      <c r="G1325" t="str">
        <f t="shared" si="42"/>
        <v>Jul</v>
      </c>
      <c r="H1325" t="str">
        <f t="shared" si="43"/>
        <v>2024</v>
      </c>
    </row>
    <row r="1326" spans="1:8" hidden="1" x14ac:dyDescent="0.35">
      <c r="A1326" t="s">
        <v>183</v>
      </c>
      <c r="B1326" s="76">
        <v>4000</v>
      </c>
      <c r="C1326" s="76">
        <f>Balance[[#This Row],[COST]]/147</f>
        <v>27.210884353741495</v>
      </c>
      <c r="D1326" s="1" t="s">
        <v>259</v>
      </c>
      <c r="E1326" s="27" t="s">
        <v>4</v>
      </c>
      <c r="F1326" s="87">
        <v>45494</v>
      </c>
      <c r="G1326" t="str">
        <f t="shared" si="42"/>
        <v>Jul</v>
      </c>
      <c r="H1326" t="str">
        <f t="shared" si="43"/>
        <v>2024</v>
      </c>
    </row>
    <row r="1327" spans="1:8" x14ac:dyDescent="0.35">
      <c r="A1327" t="s">
        <v>39</v>
      </c>
      <c r="B1327" s="90">
        <v>3000</v>
      </c>
      <c r="C1327" s="76">
        <f>Balance[[#This Row],[COST]]/147</f>
        <v>20.408163265306122</v>
      </c>
      <c r="D1327" s="1" t="s">
        <v>689</v>
      </c>
      <c r="E1327" s="27" t="s">
        <v>275</v>
      </c>
      <c r="F1327" s="2">
        <v>45495</v>
      </c>
      <c r="G1327" t="str">
        <f t="shared" si="42"/>
        <v>Jul</v>
      </c>
      <c r="H1327" t="str">
        <f t="shared" si="43"/>
        <v>2024</v>
      </c>
    </row>
    <row r="1328" spans="1:8" x14ac:dyDescent="0.35">
      <c r="A1328" t="s">
        <v>40</v>
      </c>
      <c r="B1328" s="92">
        <v>3500</v>
      </c>
      <c r="C1328" s="76">
        <f>Balance[[#This Row],[COST]]/147</f>
        <v>23.80952380952381</v>
      </c>
      <c r="D1328" s="1" t="s">
        <v>689</v>
      </c>
      <c r="E1328" s="27" t="s">
        <v>275</v>
      </c>
      <c r="F1328" s="2">
        <v>45495</v>
      </c>
      <c r="G1328" t="str">
        <f t="shared" si="42"/>
        <v>Jul</v>
      </c>
      <c r="H1328" t="str">
        <f t="shared" si="43"/>
        <v>2024</v>
      </c>
    </row>
    <row r="1329" spans="1:8" x14ac:dyDescent="0.35">
      <c r="A1329" t="s">
        <v>519</v>
      </c>
      <c r="B1329" s="76">
        <v>1200</v>
      </c>
      <c r="C1329" s="76">
        <f>Balance[[#This Row],[COST]]/147</f>
        <v>8.1632653061224492</v>
      </c>
      <c r="D1329" s="1" t="s">
        <v>689</v>
      </c>
      <c r="E1329" s="27" t="s">
        <v>275</v>
      </c>
      <c r="F1329" s="2">
        <v>45496</v>
      </c>
      <c r="G1329" t="str">
        <f t="shared" si="42"/>
        <v>Jul</v>
      </c>
      <c r="H1329" t="str">
        <f t="shared" si="43"/>
        <v>2024</v>
      </c>
    </row>
    <row r="1330" spans="1:8" x14ac:dyDescent="0.35">
      <c r="A1330" t="s">
        <v>474</v>
      </c>
      <c r="B1330" s="76">
        <v>900</v>
      </c>
      <c r="C1330" s="76">
        <f>Balance[[#This Row],[COST]]/147</f>
        <v>6.1224489795918364</v>
      </c>
      <c r="D1330" s="1" t="s">
        <v>689</v>
      </c>
      <c r="E1330" s="27" t="s">
        <v>275</v>
      </c>
      <c r="F1330" s="2">
        <v>45496</v>
      </c>
      <c r="G1330" t="str">
        <f t="shared" si="42"/>
        <v>Jul</v>
      </c>
      <c r="H1330" t="str">
        <f t="shared" si="43"/>
        <v>2024</v>
      </c>
    </row>
    <row r="1331" spans="1:8" x14ac:dyDescent="0.35">
      <c r="A1331" t="s">
        <v>466</v>
      </c>
      <c r="B1331" s="76">
        <v>750</v>
      </c>
      <c r="C1331" s="76">
        <f>Balance[[#This Row],[COST]]/147</f>
        <v>5.1020408163265305</v>
      </c>
      <c r="D1331" s="1" t="s">
        <v>689</v>
      </c>
      <c r="E1331" s="27" t="s">
        <v>275</v>
      </c>
      <c r="F1331" s="87">
        <v>45496</v>
      </c>
      <c r="G1331" t="str">
        <f t="shared" si="42"/>
        <v>Jul</v>
      </c>
      <c r="H1331" t="str">
        <f t="shared" si="43"/>
        <v>2024</v>
      </c>
    </row>
    <row r="1332" spans="1:8" x14ac:dyDescent="0.35">
      <c r="A1332" t="s">
        <v>494</v>
      </c>
      <c r="B1332" s="76">
        <v>500</v>
      </c>
      <c r="C1332" s="76">
        <f>Balance[[#This Row],[COST]]/147</f>
        <v>3.4013605442176869</v>
      </c>
      <c r="D1332" s="1" t="s">
        <v>689</v>
      </c>
      <c r="E1332" s="27" t="s">
        <v>275</v>
      </c>
      <c r="F1332" s="87">
        <v>45496</v>
      </c>
      <c r="G1332" t="str">
        <f t="shared" si="42"/>
        <v>Jul</v>
      </c>
      <c r="H1332" t="str">
        <f t="shared" si="43"/>
        <v>2024</v>
      </c>
    </row>
    <row r="1333" spans="1:8" hidden="1" x14ac:dyDescent="0.35">
      <c r="A1333" t="s">
        <v>627</v>
      </c>
      <c r="B1333" s="76">
        <v>1000</v>
      </c>
      <c r="C1333" s="76">
        <f>Balance[[#This Row],[COST]]/147</f>
        <v>6.8027210884353737</v>
      </c>
      <c r="D1333" s="1" t="s">
        <v>259</v>
      </c>
      <c r="E1333" s="27" t="s">
        <v>268</v>
      </c>
      <c r="F1333" s="87">
        <v>45496</v>
      </c>
      <c r="G1333" t="str">
        <f t="shared" si="42"/>
        <v>Jul</v>
      </c>
      <c r="H1333" t="str">
        <f t="shared" si="43"/>
        <v>2024</v>
      </c>
    </row>
    <row r="1334" spans="1:8" x14ac:dyDescent="0.35">
      <c r="A1334" t="s">
        <v>474</v>
      </c>
      <c r="B1334" s="76">
        <v>700</v>
      </c>
      <c r="C1334" s="76">
        <f>Balance[[#This Row],[COST]]/147</f>
        <v>4.7619047619047619</v>
      </c>
      <c r="D1334" s="1" t="s">
        <v>689</v>
      </c>
      <c r="E1334" s="27" t="s">
        <v>275</v>
      </c>
      <c r="F1334" s="87">
        <v>45498</v>
      </c>
      <c r="G1334" t="str">
        <f t="shared" si="42"/>
        <v>Jul</v>
      </c>
      <c r="H1334" t="str">
        <f t="shared" si="43"/>
        <v>2024</v>
      </c>
    </row>
    <row r="1335" spans="1:8" x14ac:dyDescent="0.35">
      <c r="A1335" t="s">
        <v>466</v>
      </c>
      <c r="B1335" s="76">
        <v>1000</v>
      </c>
      <c r="C1335" s="76">
        <f>Balance[[#This Row],[COST]]/147</f>
        <v>6.8027210884353737</v>
      </c>
      <c r="D1335" s="1" t="s">
        <v>689</v>
      </c>
      <c r="E1335" s="27" t="s">
        <v>275</v>
      </c>
      <c r="F1335" s="2">
        <v>45498</v>
      </c>
      <c r="G1335" t="str">
        <f t="shared" si="42"/>
        <v>Jul</v>
      </c>
      <c r="H1335" t="str">
        <f t="shared" si="43"/>
        <v>2024</v>
      </c>
    </row>
    <row r="1336" spans="1:8" x14ac:dyDescent="0.35">
      <c r="A1336" t="s">
        <v>519</v>
      </c>
      <c r="B1336" s="76">
        <v>800</v>
      </c>
      <c r="C1336" s="76">
        <f>Balance[[#This Row],[COST]]/147</f>
        <v>5.4421768707482991</v>
      </c>
      <c r="D1336" s="1" t="s">
        <v>689</v>
      </c>
      <c r="E1336" s="27" t="s">
        <v>275</v>
      </c>
      <c r="F1336" s="87">
        <v>45498</v>
      </c>
      <c r="G1336" t="str">
        <f t="shared" si="42"/>
        <v>Jul</v>
      </c>
      <c r="H1336" t="str">
        <f t="shared" si="43"/>
        <v>2024</v>
      </c>
    </row>
    <row r="1337" spans="1:8" hidden="1" x14ac:dyDescent="0.35">
      <c r="A1337" t="s">
        <v>628</v>
      </c>
      <c r="B1337" s="92">
        <v>1000</v>
      </c>
      <c r="C1337" s="76">
        <f>Balance[[#This Row],[COST]]/147</f>
        <v>6.8027210884353737</v>
      </c>
      <c r="D1337" s="93" t="s">
        <v>259</v>
      </c>
      <c r="E1337" s="94" t="s">
        <v>268</v>
      </c>
      <c r="F1337" s="87">
        <v>45499</v>
      </c>
      <c r="G1337" t="str">
        <f t="shared" si="42"/>
        <v>Jul</v>
      </c>
      <c r="H1337" t="str">
        <f t="shared" si="43"/>
        <v>2024</v>
      </c>
    </row>
    <row r="1338" spans="1:8" x14ac:dyDescent="0.35">
      <c r="A1338" t="s">
        <v>629</v>
      </c>
      <c r="B1338" s="92">
        <v>400</v>
      </c>
      <c r="C1338" s="76">
        <f>Balance[[#This Row],[COST]]/147</f>
        <v>2.7210884353741496</v>
      </c>
      <c r="D1338" s="1" t="s">
        <v>689</v>
      </c>
      <c r="E1338" s="27" t="s">
        <v>275</v>
      </c>
      <c r="F1338" s="87">
        <v>45499</v>
      </c>
      <c r="G1338" t="str">
        <f t="shared" si="42"/>
        <v>Jul</v>
      </c>
      <c r="H1338" t="str">
        <f t="shared" si="43"/>
        <v>2024</v>
      </c>
    </row>
    <row r="1339" spans="1:8" hidden="1" x14ac:dyDescent="0.35">
      <c r="A1339" t="s">
        <v>425</v>
      </c>
      <c r="B1339" s="76">
        <v>300</v>
      </c>
      <c r="C1339" s="76">
        <f>Balance[[#This Row],[COST]]/147</f>
        <v>2.0408163265306123</v>
      </c>
      <c r="D1339" s="91" t="s">
        <v>259</v>
      </c>
      <c r="E1339" s="89" t="s">
        <v>265</v>
      </c>
      <c r="F1339" s="87">
        <v>45499</v>
      </c>
      <c r="G1339" t="str">
        <f t="shared" si="42"/>
        <v>Jul</v>
      </c>
      <c r="H1339" t="str">
        <f t="shared" si="43"/>
        <v>2024</v>
      </c>
    </row>
    <row r="1340" spans="1:8" hidden="1" x14ac:dyDescent="0.35">
      <c r="A1340" t="s">
        <v>497</v>
      </c>
      <c r="B1340" s="76">
        <v>180</v>
      </c>
      <c r="C1340" s="76">
        <f>Balance[[#This Row],[COST]]/147</f>
        <v>1.2244897959183674</v>
      </c>
      <c r="D1340" s="91" t="s">
        <v>259</v>
      </c>
      <c r="E1340" s="89" t="s">
        <v>265</v>
      </c>
      <c r="F1340" s="87">
        <v>45499</v>
      </c>
      <c r="G1340" t="str">
        <f t="shared" si="42"/>
        <v>Jul</v>
      </c>
      <c r="H1340" t="str">
        <f t="shared" si="43"/>
        <v>2024</v>
      </c>
    </row>
    <row r="1341" spans="1:8" hidden="1" x14ac:dyDescent="0.35">
      <c r="A1341" t="s">
        <v>425</v>
      </c>
      <c r="B1341" s="76">
        <v>340</v>
      </c>
      <c r="C1341" s="76">
        <f>Balance[[#This Row],[COST]]/147</f>
        <v>2.3129251700680271</v>
      </c>
      <c r="D1341" s="91" t="s">
        <v>259</v>
      </c>
      <c r="E1341" s="89" t="s">
        <v>265</v>
      </c>
      <c r="F1341" s="87">
        <v>45499</v>
      </c>
      <c r="G1341" t="str">
        <f t="shared" si="42"/>
        <v>Jul</v>
      </c>
      <c r="H1341" t="str">
        <f t="shared" si="43"/>
        <v>2024</v>
      </c>
    </row>
    <row r="1342" spans="1:8" hidden="1" x14ac:dyDescent="0.35">
      <c r="A1342" t="s">
        <v>497</v>
      </c>
      <c r="B1342" s="76">
        <v>230</v>
      </c>
      <c r="C1342" s="76">
        <f>Balance[[#This Row],[COST]]/147</f>
        <v>1.564625850340136</v>
      </c>
      <c r="D1342" s="91" t="s">
        <v>259</v>
      </c>
      <c r="E1342" s="89" t="s">
        <v>265</v>
      </c>
      <c r="F1342" s="87">
        <v>45499</v>
      </c>
      <c r="G1342" t="str">
        <f t="shared" si="42"/>
        <v>Jul</v>
      </c>
      <c r="H1342" t="str">
        <f t="shared" si="43"/>
        <v>2024</v>
      </c>
    </row>
    <row r="1343" spans="1:8" x14ac:dyDescent="0.35">
      <c r="A1343" t="s">
        <v>519</v>
      </c>
      <c r="B1343" s="76">
        <v>1400</v>
      </c>
      <c r="C1343" s="76">
        <f>Balance[[#This Row],[COST]]/147</f>
        <v>9.5238095238095237</v>
      </c>
      <c r="D1343" s="1" t="s">
        <v>689</v>
      </c>
      <c r="E1343" s="27" t="s">
        <v>275</v>
      </c>
      <c r="F1343" s="87">
        <v>45499</v>
      </c>
      <c r="G1343" t="str">
        <f t="shared" si="42"/>
        <v>Jul</v>
      </c>
      <c r="H1343" t="str">
        <f t="shared" si="43"/>
        <v>2024</v>
      </c>
    </row>
    <row r="1344" spans="1:8" x14ac:dyDescent="0.35">
      <c r="A1344" t="s">
        <v>630</v>
      </c>
      <c r="B1344" s="76">
        <v>600</v>
      </c>
      <c r="C1344" s="76">
        <f>Balance[[#This Row],[COST]]/147</f>
        <v>4.0816326530612246</v>
      </c>
      <c r="D1344" s="1" t="s">
        <v>689</v>
      </c>
      <c r="E1344" s="27" t="s">
        <v>275</v>
      </c>
      <c r="F1344" s="87">
        <v>45499</v>
      </c>
      <c r="G1344" t="str">
        <f t="shared" si="42"/>
        <v>Jul</v>
      </c>
      <c r="H1344" t="str">
        <f t="shared" si="43"/>
        <v>2024</v>
      </c>
    </row>
    <row r="1345" spans="1:8" hidden="1" x14ac:dyDescent="0.35">
      <c r="A1345" t="s">
        <v>497</v>
      </c>
      <c r="B1345" s="76">
        <v>170</v>
      </c>
      <c r="C1345" s="76">
        <f>Balance[[#This Row],[COST]]/147</f>
        <v>1.1564625850340136</v>
      </c>
      <c r="D1345" s="91" t="s">
        <v>259</v>
      </c>
      <c r="E1345" s="89" t="s">
        <v>265</v>
      </c>
      <c r="F1345" s="87">
        <v>45500</v>
      </c>
      <c r="G1345" t="str">
        <f t="shared" si="42"/>
        <v>Jul</v>
      </c>
      <c r="H1345" t="str">
        <f t="shared" si="43"/>
        <v>2024</v>
      </c>
    </row>
    <row r="1346" spans="1:8" hidden="1" x14ac:dyDescent="0.35">
      <c r="A1346" t="s">
        <v>481</v>
      </c>
      <c r="B1346" s="76">
        <v>180</v>
      </c>
      <c r="C1346" s="76">
        <f>Balance[[#This Row],[COST]]/147</f>
        <v>1.2244897959183674</v>
      </c>
      <c r="D1346" s="91" t="s">
        <v>259</v>
      </c>
      <c r="E1346" s="89" t="s">
        <v>265</v>
      </c>
      <c r="F1346" s="87">
        <v>45500</v>
      </c>
      <c r="G1346" t="str">
        <f t="shared" si="42"/>
        <v>Jul</v>
      </c>
      <c r="H1346" t="str">
        <f t="shared" si="43"/>
        <v>2024</v>
      </c>
    </row>
    <row r="1347" spans="1:8" hidden="1" x14ac:dyDescent="0.35">
      <c r="A1347" t="s">
        <v>242</v>
      </c>
      <c r="B1347" s="76">
        <v>1710</v>
      </c>
      <c r="C1347" s="76">
        <f>Balance[[#This Row],[COST]]/147</f>
        <v>11.63265306122449</v>
      </c>
      <c r="D1347" s="91" t="s">
        <v>259</v>
      </c>
      <c r="E1347" s="89" t="s">
        <v>265</v>
      </c>
      <c r="F1347" s="87">
        <v>45500</v>
      </c>
      <c r="G1347" t="str">
        <f t="shared" si="42"/>
        <v>Jul</v>
      </c>
      <c r="H1347" t="str">
        <f t="shared" si="43"/>
        <v>2024</v>
      </c>
    </row>
    <row r="1348" spans="1:8" hidden="1" x14ac:dyDescent="0.35">
      <c r="A1348" t="s">
        <v>642</v>
      </c>
      <c r="B1348" s="92">
        <v>1560</v>
      </c>
      <c r="C1348" s="76">
        <f>Balance[[#This Row],[COST]]/147</f>
        <v>10.612244897959183</v>
      </c>
      <c r="D1348" s="93" t="s">
        <v>259</v>
      </c>
      <c r="E1348" s="94" t="s">
        <v>268</v>
      </c>
      <c r="F1348" s="87">
        <v>45500</v>
      </c>
      <c r="G1348" t="str">
        <f t="shared" si="42"/>
        <v>Jul</v>
      </c>
      <c r="H1348" t="str">
        <f t="shared" si="43"/>
        <v>2024</v>
      </c>
    </row>
    <row r="1349" spans="1:8" hidden="1" x14ac:dyDescent="0.35">
      <c r="A1349" t="s">
        <v>183</v>
      </c>
      <c r="B1349" s="92">
        <v>4000</v>
      </c>
      <c r="C1349" s="76">
        <f>Balance[[#This Row],[COST]]/147</f>
        <v>27.210884353741495</v>
      </c>
      <c r="D1349" s="93" t="s">
        <v>259</v>
      </c>
      <c r="E1349" s="94" t="s">
        <v>4</v>
      </c>
      <c r="F1349" s="87">
        <v>45501</v>
      </c>
      <c r="G1349" t="str">
        <f t="shared" si="42"/>
        <v>Jul</v>
      </c>
      <c r="H1349" t="str">
        <f t="shared" si="43"/>
        <v>2024</v>
      </c>
    </row>
    <row r="1350" spans="1:8" hidden="1" x14ac:dyDescent="0.35">
      <c r="A1350" t="s">
        <v>67</v>
      </c>
      <c r="B1350" s="92">
        <v>5000</v>
      </c>
      <c r="C1350" s="76">
        <f>Balance[[#This Row],[COST]]/147</f>
        <v>34.013605442176868</v>
      </c>
      <c r="D1350" s="93" t="s">
        <v>259</v>
      </c>
      <c r="E1350" s="94" t="s">
        <v>265</v>
      </c>
      <c r="F1350" s="87">
        <v>45501</v>
      </c>
      <c r="G1350" t="str">
        <f t="shared" si="42"/>
        <v>Jul</v>
      </c>
      <c r="H1350" t="str">
        <f t="shared" si="43"/>
        <v>2024</v>
      </c>
    </row>
    <row r="1351" spans="1:8" hidden="1" x14ac:dyDescent="0.35">
      <c r="A1351" t="s">
        <v>631</v>
      </c>
      <c r="B1351" s="92">
        <v>700</v>
      </c>
      <c r="C1351" s="76">
        <f>Balance[[#This Row],[COST]]/147</f>
        <v>4.7619047619047619</v>
      </c>
      <c r="D1351" s="93" t="s">
        <v>259</v>
      </c>
      <c r="E1351" s="94" t="s">
        <v>265</v>
      </c>
      <c r="F1351" s="87">
        <v>45501</v>
      </c>
      <c r="G1351" t="str">
        <f t="shared" si="42"/>
        <v>Jul</v>
      </c>
      <c r="H1351" t="str">
        <f t="shared" si="43"/>
        <v>2024</v>
      </c>
    </row>
    <row r="1352" spans="1:8" x14ac:dyDescent="0.35">
      <c r="A1352" t="s">
        <v>524</v>
      </c>
      <c r="B1352" s="92">
        <v>4380</v>
      </c>
      <c r="C1352" s="76">
        <f>Balance[[#This Row],[COST]]/147</f>
        <v>29.795918367346939</v>
      </c>
      <c r="D1352" s="1" t="s">
        <v>689</v>
      </c>
      <c r="E1352" s="27" t="s">
        <v>275</v>
      </c>
      <c r="F1352" s="87">
        <v>45501</v>
      </c>
      <c r="G1352" t="str">
        <f t="shared" si="42"/>
        <v>Jul</v>
      </c>
      <c r="H1352" t="str">
        <f t="shared" si="43"/>
        <v>2024</v>
      </c>
    </row>
    <row r="1353" spans="1:8" x14ac:dyDescent="0.35">
      <c r="A1353" t="s">
        <v>457</v>
      </c>
      <c r="B1353" s="92">
        <v>4600</v>
      </c>
      <c r="C1353" s="76">
        <f>Balance[[#This Row],[COST]]/147</f>
        <v>31.292517006802722</v>
      </c>
      <c r="D1353" s="1" t="s">
        <v>689</v>
      </c>
      <c r="E1353" s="27" t="s">
        <v>275</v>
      </c>
      <c r="F1353" s="87">
        <v>45501</v>
      </c>
      <c r="G1353" t="str">
        <f t="shared" si="42"/>
        <v>Jul</v>
      </c>
      <c r="H1353" t="str">
        <f t="shared" si="43"/>
        <v>2024</v>
      </c>
    </row>
    <row r="1354" spans="1:8" hidden="1" x14ac:dyDescent="0.35">
      <c r="A1354" t="s">
        <v>632</v>
      </c>
      <c r="B1354" s="76">
        <v>12000</v>
      </c>
      <c r="C1354" s="76">
        <f>Balance[[#This Row],[COST]]/147</f>
        <v>81.632653061224488</v>
      </c>
      <c r="D1354" s="1" t="s">
        <v>515</v>
      </c>
      <c r="E1354" s="27" t="s">
        <v>514</v>
      </c>
      <c r="F1354" s="87">
        <v>45501</v>
      </c>
      <c r="G1354" t="str">
        <f t="shared" si="42"/>
        <v>Jul</v>
      </c>
      <c r="H1354" t="str">
        <f t="shared" si="43"/>
        <v>2024</v>
      </c>
    </row>
    <row r="1355" spans="1:8" hidden="1" x14ac:dyDescent="0.35">
      <c r="A1355" t="s">
        <v>42</v>
      </c>
      <c r="B1355" s="76">
        <v>7884</v>
      </c>
      <c r="C1355" s="76">
        <f>Balance[[#This Row],[COST]]/147</f>
        <v>53.632653061224488</v>
      </c>
      <c r="D1355" s="76" t="s">
        <v>42</v>
      </c>
      <c r="E1355" s="27" t="s">
        <v>270</v>
      </c>
      <c r="F1355" s="87">
        <v>45501</v>
      </c>
      <c r="G1355" t="str">
        <f t="shared" si="42"/>
        <v>Jul</v>
      </c>
      <c r="H1355" t="str">
        <f t="shared" si="43"/>
        <v>2024</v>
      </c>
    </row>
    <row r="1356" spans="1:8" hidden="1" x14ac:dyDescent="0.35">
      <c r="A1356" t="s">
        <v>49</v>
      </c>
      <c r="B1356" s="76">
        <v>25000</v>
      </c>
      <c r="C1356" s="76">
        <f>Balance[[#This Row],[COST]]/147</f>
        <v>170.06802721088437</v>
      </c>
      <c r="D1356" s="76" t="s">
        <v>263</v>
      </c>
      <c r="E1356" s="27" t="s">
        <v>274</v>
      </c>
      <c r="F1356" s="83">
        <v>45501</v>
      </c>
      <c r="G1356" t="str">
        <f t="shared" si="42"/>
        <v>Jul</v>
      </c>
      <c r="H1356" t="str">
        <f t="shared" si="43"/>
        <v>2024</v>
      </c>
    </row>
    <row r="1357" spans="1:8" hidden="1" x14ac:dyDescent="0.35">
      <c r="A1357" t="s">
        <v>114</v>
      </c>
      <c r="B1357" s="92">
        <v>1490</v>
      </c>
      <c r="C1357" s="76">
        <f>Balance[[#This Row],[COST]]/147</f>
        <v>10.136054421768707</v>
      </c>
      <c r="D1357" s="97" t="s">
        <v>259</v>
      </c>
      <c r="E1357" s="89" t="s">
        <v>265</v>
      </c>
      <c r="F1357" s="83">
        <v>45502</v>
      </c>
      <c r="G1357" t="str">
        <f t="shared" si="42"/>
        <v>Jul</v>
      </c>
      <c r="H1357" t="str">
        <f t="shared" si="43"/>
        <v>2024</v>
      </c>
    </row>
    <row r="1358" spans="1:8" hidden="1" x14ac:dyDescent="0.35">
      <c r="A1358" t="s">
        <v>114</v>
      </c>
      <c r="B1358" s="92">
        <v>1310</v>
      </c>
      <c r="C1358" s="76">
        <f>Balance[[#This Row],[COST]]/147</f>
        <v>8.9115646258503407</v>
      </c>
      <c r="D1358" s="97" t="s">
        <v>259</v>
      </c>
      <c r="E1358" s="89" t="s">
        <v>265</v>
      </c>
      <c r="F1358" s="83">
        <v>45503</v>
      </c>
      <c r="G1358" t="str">
        <f t="shared" si="42"/>
        <v>Jul</v>
      </c>
      <c r="H1358" t="str">
        <f t="shared" si="43"/>
        <v>2024</v>
      </c>
    </row>
    <row r="1359" spans="1:8" x14ac:dyDescent="0.35">
      <c r="A1359" t="s">
        <v>633</v>
      </c>
      <c r="B1359" s="92">
        <v>4485</v>
      </c>
      <c r="C1359" s="76">
        <f>Balance[[#This Row],[COST]]/147</f>
        <v>30.510204081632654</v>
      </c>
      <c r="D1359" s="1" t="s">
        <v>689</v>
      </c>
      <c r="E1359" s="27" t="s">
        <v>275</v>
      </c>
      <c r="F1359" s="2">
        <v>45503</v>
      </c>
      <c r="G1359" t="str">
        <f t="shared" si="42"/>
        <v>Jul</v>
      </c>
      <c r="H1359" t="str">
        <f t="shared" si="43"/>
        <v>2024</v>
      </c>
    </row>
    <row r="1360" spans="1:8" hidden="1" x14ac:dyDescent="0.35">
      <c r="A1360" t="s">
        <v>497</v>
      </c>
      <c r="B1360" s="76">
        <v>450</v>
      </c>
      <c r="C1360" s="76">
        <f>Balance[[#This Row],[COST]]/147</f>
        <v>3.0612244897959182</v>
      </c>
      <c r="D1360" s="93" t="s">
        <v>259</v>
      </c>
      <c r="E1360" s="94" t="s">
        <v>265</v>
      </c>
      <c r="F1360" s="87">
        <v>45503</v>
      </c>
      <c r="G1360" t="str">
        <f t="shared" si="42"/>
        <v>Jul</v>
      </c>
      <c r="H1360" t="str">
        <f t="shared" si="43"/>
        <v>2024</v>
      </c>
    </row>
    <row r="1361" spans="1:8" hidden="1" x14ac:dyDescent="0.35">
      <c r="A1361" t="s">
        <v>638</v>
      </c>
      <c r="B1361" s="76">
        <v>180</v>
      </c>
      <c r="C1361" s="76">
        <f>Balance[[#This Row],[COST]]/147</f>
        <v>1.2244897959183674</v>
      </c>
      <c r="D1361" s="93" t="s">
        <v>259</v>
      </c>
      <c r="E1361" s="94" t="s">
        <v>265</v>
      </c>
      <c r="F1361" s="87">
        <v>45503</v>
      </c>
      <c r="G1361" t="str">
        <f t="shared" si="42"/>
        <v>Jul</v>
      </c>
      <c r="H1361" t="str">
        <f t="shared" si="43"/>
        <v>2024</v>
      </c>
    </row>
    <row r="1362" spans="1:8" x14ac:dyDescent="0.35">
      <c r="A1362" t="s">
        <v>419</v>
      </c>
      <c r="B1362" s="76">
        <v>1830</v>
      </c>
      <c r="C1362" s="76">
        <f>Balance[[#This Row],[COST]]/147</f>
        <v>12.448979591836734</v>
      </c>
      <c r="D1362" s="1" t="s">
        <v>689</v>
      </c>
      <c r="E1362" s="27" t="s">
        <v>275</v>
      </c>
      <c r="F1362" s="2">
        <v>45504</v>
      </c>
      <c r="G1362" t="str">
        <f t="shared" si="42"/>
        <v>Jul</v>
      </c>
      <c r="H1362" t="str">
        <f t="shared" si="43"/>
        <v>2024</v>
      </c>
    </row>
    <row r="1363" spans="1:8" x14ac:dyDescent="0.35">
      <c r="A1363" t="s">
        <v>560</v>
      </c>
      <c r="B1363" s="76">
        <v>1260</v>
      </c>
      <c r="C1363" s="76">
        <f>Balance[[#This Row],[COST]]/147</f>
        <v>8.5714285714285712</v>
      </c>
      <c r="D1363" s="1" t="s">
        <v>689</v>
      </c>
      <c r="E1363" s="27" t="s">
        <v>275</v>
      </c>
      <c r="F1363" s="2">
        <v>45504</v>
      </c>
      <c r="G1363" t="str">
        <f t="shared" si="42"/>
        <v>Jul</v>
      </c>
      <c r="H1363" t="str">
        <f t="shared" si="43"/>
        <v>2024</v>
      </c>
    </row>
    <row r="1364" spans="1:8" x14ac:dyDescent="0.35">
      <c r="A1364" t="s">
        <v>635</v>
      </c>
      <c r="B1364" s="76">
        <v>745</v>
      </c>
      <c r="C1364" s="76">
        <f>Balance[[#This Row],[COST]]/147</f>
        <v>5.0680272108843534</v>
      </c>
      <c r="D1364" s="1" t="s">
        <v>689</v>
      </c>
      <c r="E1364" s="27" t="s">
        <v>275</v>
      </c>
      <c r="F1364" s="2">
        <v>45504</v>
      </c>
      <c r="G1364" t="str">
        <f t="shared" si="42"/>
        <v>Jul</v>
      </c>
      <c r="H1364" t="str">
        <f t="shared" si="43"/>
        <v>2024</v>
      </c>
    </row>
    <row r="1365" spans="1:8" hidden="1" x14ac:dyDescent="0.35">
      <c r="A1365" t="s">
        <v>636</v>
      </c>
      <c r="B1365" s="92">
        <v>20000</v>
      </c>
      <c r="C1365" s="76">
        <f>Balance[[#This Row],[COST]]/147</f>
        <v>136.05442176870747</v>
      </c>
      <c r="D1365" s="99" t="s">
        <v>259</v>
      </c>
      <c r="E1365" s="94" t="s">
        <v>265</v>
      </c>
      <c r="F1365" s="2">
        <v>45504</v>
      </c>
      <c r="G1365" t="str">
        <f t="shared" si="42"/>
        <v>Jul</v>
      </c>
      <c r="H1365" t="str">
        <f t="shared" si="43"/>
        <v>2024</v>
      </c>
    </row>
    <row r="1366" spans="1:8" hidden="1" x14ac:dyDescent="0.35">
      <c r="A1366" t="s">
        <v>637</v>
      </c>
      <c r="B1366" s="76">
        <v>40000</v>
      </c>
      <c r="C1366" s="76">
        <f>Balance[[#This Row],[COST]]/147</f>
        <v>272.10884353741494</v>
      </c>
      <c r="D1366" s="1" t="s">
        <v>259</v>
      </c>
      <c r="E1366" s="27" t="s">
        <v>268</v>
      </c>
      <c r="F1366" s="2">
        <v>45504</v>
      </c>
      <c r="G1366" t="str">
        <f t="shared" si="42"/>
        <v>Jul</v>
      </c>
      <c r="H1366" t="str">
        <f t="shared" si="43"/>
        <v>2024</v>
      </c>
    </row>
    <row r="1367" spans="1:8" hidden="1" x14ac:dyDescent="0.35">
      <c r="A1367" t="s">
        <v>517</v>
      </c>
      <c r="B1367" s="76">
        <v>140</v>
      </c>
      <c r="C1367" s="76">
        <f>Balance[[#This Row],[COST]]/147</f>
        <v>0.95238095238095233</v>
      </c>
      <c r="D1367" s="99" t="s">
        <v>259</v>
      </c>
      <c r="E1367" s="94" t="s">
        <v>265</v>
      </c>
      <c r="F1367" s="2">
        <v>45505</v>
      </c>
      <c r="G1367" t="str">
        <f t="shared" si="42"/>
        <v>Aug</v>
      </c>
      <c r="H1367" t="str">
        <f t="shared" si="43"/>
        <v>2024</v>
      </c>
    </row>
    <row r="1368" spans="1:8" hidden="1" x14ac:dyDescent="0.35">
      <c r="A1368" t="s">
        <v>497</v>
      </c>
      <c r="B1368" s="76">
        <v>300</v>
      </c>
      <c r="C1368" s="76">
        <f>Balance[[#This Row],[COST]]/147</f>
        <v>2.0408163265306123</v>
      </c>
      <c r="D1368" s="99" t="s">
        <v>259</v>
      </c>
      <c r="E1368" s="94" t="s">
        <v>265</v>
      </c>
      <c r="F1368" s="87">
        <v>45505</v>
      </c>
      <c r="G1368" t="str">
        <f t="shared" si="42"/>
        <v>Aug</v>
      </c>
      <c r="H1368" t="str">
        <f t="shared" si="43"/>
        <v>2024</v>
      </c>
    </row>
    <row r="1369" spans="1:8" hidden="1" x14ac:dyDescent="0.35">
      <c r="A1369" t="s">
        <v>129</v>
      </c>
      <c r="B1369" s="76">
        <v>2000</v>
      </c>
      <c r="C1369" s="76">
        <f>Balance[[#This Row],[COST]]/147</f>
        <v>13.605442176870747</v>
      </c>
      <c r="D1369" s="93" t="s">
        <v>259</v>
      </c>
      <c r="E1369" s="94" t="s">
        <v>265</v>
      </c>
      <c r="F1369" s="87">
        <v>45505</v>
      </c>
      <c r="G1369" t="str">
        <f t="shared" si="42"/>
        <v>Aug</v>
      </c>
      <c r="H1369" t="str">
        <f t="shared" si="43"/>
        <v>2024</v>
      </c>
    </row>
    <row r="1370" spans="1:8" hidden="1" x14ac:dyDescent="0.35">
      <c r="A1370" t="s">
        <v>517</v>
      </c>
      <c r="B1370" s="76">
        <v>140</v>
      </c>
      <c r="C1370" s="76">
        <f>Balance[[#This Row],[COST]]/147</f>
        <v>0.95238095238095233</v>
      </c>
      <c r="D1370" s="99" t="s">
        <v>259</v>
      </c>
      <c r="E1370" s="94" t="s">
        <v>265</v>
      </c>
      <c r="F1370" s="87">
        <v>45506</v>
      </c>
      <c r="G1370" t="str">
        <f t="shared" si="42"/>
        <v>Aug</v>
      </c>
      <c r="H1370" t="str">
        <f t="shared" si="43"/>
        <v>2024</v>
      </c>
    </row>
    <row r="1371" spans="1:8" hidden="1" x14ac:dyDescent="0.35">
      <c r="A1371" t="s">
        <v>497</v>
      </c>
      <c r="B1371" s="76">
        <v>200</v>
      </c>
      <c r="C1371" s="76">
        <f>Balance[[#This Row],[COST]]/147</f>
        <v>1.3605442176870748</v>
      </c>
      <c r="D1371" s="99" t="s">
        <v>259</v>
      </c>
      <c r="E1371" s="94" t="s">
        <v>265</v>
      </c>
      <c r="F1371" s="87">
        <v>45506</v>
      </c>
      <c r="G1371" t="str">
        <f t="shared" si="42"/>
        <v>Aug</v>
      </c>
      <c r="H1371" t="str">
        <f t="shared" si="43"/>
        <v>2024</v>
      </c>
    </row>
    <row r="1372" spans="1:8" hidden="1" x14ac:dyDescent="0.35">
      <c r="A1372" t="s">
        <v>183</v>
      </c>
      <c r="B1372" s="92">
        <v>4000</v>
      </c>
      <c r="C1372" s="76">
        <f>Balance[[#This Row],[COST]]/147</f>
        <v>27.210884353741495</v>
      </c>
      <c r="D1372" s="97" t="s">
        <v>259</v>
      </c>
      <c r="E1372" s="89" t="s">
        <v>4</v>
      </c>
      <c r="F1372" s="87">
        <v>45506</v>
      </c>
      <c r="G1372" t="str">
        <f t="shared" si="42"/>
        <v>Aug</v>
      </c>
      <c r="H1372" t="str">
        <f t="shared" si="43"/>
        <v>2024</v>
      </c>
    </row>
    <row r="1373" spans="1:8" hidden="1" x14ac:dyDescent="0.35">
      <c r="A1373" t="s">
        <v>67</v>
      </c>
      <c r="B1373" s="76">
        <v>4000</v>
      </c>
      <c r="C1373" s="76">
        <f>Balance[[#This Row],[COST]]/147</f>
        <v>27.210884353741495</v>
      </c>
      <c r="D1373" s="93" t="s">
        <v>259</v>
      </c>
      <c r="E1373" s="94" t="s">
        <v>265</v>
      </c>
      <c r="F1373" s="2">
        <v>45507</v>
      </c>
      <c r="G1373" t="str">
        <f t="shared" si="42"/>
        <v>Aug</v>
      </c>
      <c r="H1373" t="str">
        <f t="shared" si="43"/>
        <v>2024</v>
      </c>
    </row>
    <row r="1374" spans="1:8" hidden="1" x14ac:dyDescent="0.35">
      <c r="A1374" t="s">
        <v>114</v>
      </c>
      <c r="B1374" s="92">
        <v>1490</v>
      </c>
      <c r="C1374" s="76">
        <f>Balance[[#This Row],[COST]]/147</f>
        <v>10.136054421768707</v>
      </c>
      <c r="D1374" s="93" t="s">
        <v>259</v>
      </c>
      <c r="E1374" s="94" t="s">
        <v>265</v>
      </c>
      <c r="F1374" s="2">
        <v>45508</v>
      </c>
      <c r="G1374" t="str">
        <f t="shared" si="42"/>
        <v>Aug</v>
      </c>
      <c r="H1374" t="str">
        <f t="shared" si="43"/>
        <v>2024</v>
      </c>
    </row>
    <row r="1375" spans="1:8" hidden="1" x14ac:dyDescent="0.35">
      <c r="A1375" t="s">
        <v>457</v>
      </c>
      <c r="B1375" s="92">
        <v>1700</v>
      </c>
      <c r="C1375" s="76">
        <f>Balance[[#This Row],[COST]]/147</f>
        <v>11.564625850340136</v>
      </c>
      <c r="D1375" s="93" t="s">
        <v>259</v>
      </c>
      <c r="E1375" s="94" t="s">
        <v>265</v>
      </c>
      <c r="F1375" s="2">
        <v>45508</v>
      </c>
      <c r="G1375" t="str">
        <f t="shared" ref="G1375:G1438" si="44">TEXT(F1375,"mmm")</f>
        <v>Aug</v>
      </c>
      <c r="H1375" t="str">
        <f t="shared" ref="H1375:H1438" si="45">TEXT(F1375,"yyy")</f>
        <v>2024</v>
      </c>
    </row>
    <row r="1376" spans="1:8" hidden="1" x14ac:dyDescent="0.35">
      <c r="A1376" t="s">
        <v>497</v>
      </c>
      <c r="B1376" s="92">
        <v>4000</v>
      </c>
      <c r="C1376" s="76">
        <f>Balance[[#This Row],[COST]]/147</f>
        <v>27.210884353741495</v>
      </c>
      <c r="D1376" s="93" t="s">
        <v>259</v>
      </c>
      <c r="E1376" s="94" t="s">
        <v>265</v>
      </c>
      <c r="F1376" s="2">
        <v>45508</v>
      </c>
      <c r="G1376" t="str">
        <f t="shared" si="44"/>
        <v>Aug</v>
      </c>
      <c r="H1376" t="str">
        <f t="shared" si="45"/>
        <v>2024</v>
      </c>
    </row>
    <row r="1377" spans="1:8" x14ac:dyDescent="0.35">
      <c r="A1377" t="s">
        <v>504</v>
      </c>
      <c r="B1377" s="92">
        <v>1600</v>
      </c>
      <c r="C1377" s="76">
        <f>Balance[[#This Row],[COST]]/147</f>
        <v>10.884353741496598</v>
      </c>
      <c r="D1377" s="1" t="s">
        <v>689</v>
      </c>
      <c r="E1377" s="27" t="s">
        <v>275</v>
      </c>
      <c r="F1377" s="87">
        <v>45509</v>
      </c>
      <c r="G1377" t="str">
        <f t="shared" si="44"/>
        <v>Aug</v>
      </c>
      <c r="H1377" t="str">
        <f t="shared" si="45"/>
        <v>2024</v>
      </c>
    </row>
    <row r="1378" spans="1:8" hidden="1" x14ac:dyDescent="0.35">
      <c r="A1378" t="s">
        <v>639</v>
      </c>
      <c r="B1378" s="92">
        <v>400</v>
      </c>
      <c r="C1378" s="76">
        <f>Balance[[#This Row],[COST]]/147</f>
        <v>2.7210884353741496</v>
      </c>
      <c r="D1378" s="93" t="s">
        <v>259</v>
      </c>
      <c r="E1378" s="94" t="s">
        <v>265</v>
      </c>
      <c r="F1378" s="87">
        <v>45510</v>
      </c>
      <c r="G1378" t="str">
        <f t="shared" si="44"/>
        <v>Aug</v>
      </c>
      <c r="H1378" t="str">
        <f t="shared" si="45"/>
        <v>2024</v>
      </c>
    </row>
    <row r="1379" spans="1:8" hidden="1" x14ac:dyDescent="0.35">
      <c r="A1379" t="s">
        <v>641</v>
      </c>
      <c r="B1379" s="92">
        <v>1600</v>
      </c>
      <c r="C1379" s="76">
        <f>Balance[[#This Row],[COST]]/147</f>
        <v>10.884353741496598</v>
      </c>
      <c r="D1379" s="93" t="s">
        <v>259</v>
      </c>
      <c r="E1379" s="94" t="s">
        <v>265</v>
      </c>
      <c r="F1379" s="87">
        <v>45510</v>
      </c>
      <c r="G1379" t="str">
        <f t="shared" si="44"/>
        <v>Aug</v>
      </c>
      <c r="H1379" t="str">
        <f t="shared" si="45"/>
        <v>2024</v>
      </c>
    </row>
    <row r="1380" spans="1:8" hidden="1" x14ac:dyDescent="0.35">
      <c r="A1380" t="s">
        <v>639</v>
      </c>
      <c r="B1380" s="92">
        <v>200</v>
      </c>
      <c r="C1380" s="76">
        <f>Balance[[#This Row],[COST]]/147</f>
        <v>1.3605442176870748</v>
      </c>
      <c r="D1380" s="93" t="s">
        <v>259</v>
      </c>
      <c r="E1380" s="94" t="s">
        <v>265</v>
      </c>
      <c r="F1380" s="87">
        <v>45511</v>
      </c>
      <c r="G1380" t="str">
        <f t="shared" si="44"/>
        <v>Aug</v>
      </c>
      <c r="H1380" t="str">
        <f t="shared" si="45"/>
        <v>2024</v>
      </c>
    </row>
    <row r="1381" spans="1:8" x14ac:dyDescent="0.35">
      <c r="A1381" t="s">
        <v>640</v>
      </c>
      <c r="B1381" s="92">
        <v>2000</v>
      </c>
      <c r="C1381" s="76">
        <f>Balance[[#This Row],[COST]]/147</f>
        <v>13.605442176870747</v>
      </c>
      <c r="D1381" s="1" t="s">
        <v>689</v>
      </c>
      <c r="E1381" s="27" t="s">
        <v>275</v>
      </c>
      <c r="F1381" s="87">
        <v>45511</v>
      </c>
      <c r="G1381" t="str">
        <f t="shared" si="44"/>
        <v>Aug</v>
      </c>
      <c r="H1381" t="str">
        <f t="shared" si="45"/>
        <v>2024</v>
      </c>
    </row>
    <row r="1382" spans="1:8" hidden="1" x14ac:dyDescent="0.35">
      <c r="A1382" t="s">
        <v>183</v>
      </c>
      <c r="B1382" s="92">
        <v>4000</v>
      </c>
      <c r="C1382" s="76">
        <f>Balance[[#This Row],[COST]]/147</f>
        <v>27.210884353741495</v>
      </c>
      <c r="D1382" s="97" t="s">
        <v>259</v>
      </c>
      <c r="E1382" s="89" t="s">
        <v>4</v>
      </c>
      <c r="F1382" s="87">
        <v>45513</v>
      </c>
      <c r="G1382" t="str">
        <f t="shared" si="44"/>
        <v>Aug</v>
      </c>
      <c r="H1382" t="str">
        <f t="shared" si="45"/>
        <v>2024</v>
      </c>
    </row>
    <row r="1383" spans="1:8" hidden="1" x14ac:dyDescent="0.35">
      <c r="A1383" t="s">
        <v>626</v>
      </c>
      <c r="B1383" s="76">
        <v>800</v>
      </c>
      <c r="C1383" s="76">
        <f>Balance[[#This Row],[COST]]/147</f>
        <v>5.4421768707482991</v>
      </c>
      <c r="D1383" s="1" t="s">
        <v>259</v>
      </c>
      <c r="E1383" s="27" t="s">
        <v>265</v>
      </c>
      <c r="F1383" s="87">
        <v>45513</v>
      </c>
      <c r="G1383" t="str">
        <f t="shared" si="44"/>
        <v>Aug</v>
      </c>
      <c r="H1383" t="str">
        <f t="shared" si="45"/>
        <v>2024</v>
      </c>
    </row>
    <row r="1384" spans="1:8" hidden="1" x14ac:dyDescent="0.35">
      <c r="A1384" t="s">
        <v>644</v>
      </c>
      <c r="B1384" s="92">
        <v>6335</v>
      </c>
      <c r="C1384" s="76">
        <f>Balance[[#This Row],[COST]]/147</f>
        <v>43.095238095238095</v>
      </c>
      <c r="D1384" s="93" t="s">
        <v>259</v>
      </c>
      <c r="E1384" s="94" t="s">
        <v>268</v>
      </c>
      <c r="F1384" s="87">
        <v>45514</v>
      </c>
      <c r="G1384" t="str">
        <f t="shared" si="44"/>
        <v>Aug</v>
      </c>
      <c r="H1384" t="str">
        <f t="shared" si="45"/>
        <v>2024</v>
      </c>
    </row>
    <row r="1385" spans="1:8" hidden="1" x14ac:dyDescent="0.35">
      <c r="A1385" t="s">
        <v>645</v>
      </c>
      <c r="B1385" s="92">
        <v>3300</v>
      </c>
      <c r="C1385" s="76">
        <f>Balance[[#This Row],[COST]]/147</f>
        <v>22.448979591836736</v>
      </c>
      <c r="D1385" s="93" t="s">
        <v>259</v>
      </c>
      <c r="E1385" s="94" t="s">
        <v>268</v>
      </c>
      <c r="F1385" s="87">
        <v>45514</v>
      </c>
      <c r="G1385" t="str">
        <f t="shared" si="44"/>
        <v>Aug</v>
      </c>
      <c r="H1385" t="str">
        <f t="shared" si="45"/>
        <v>2024</v>
      </c>
    </row>
    <row r="1386" spans="1:8" hidden="1" x14ac:dyDescent="0.35">
      <c r="A1386" t="s">
        <v>646</v>
      </c>
      <c r="B1386" s="92">
        <v>1100</v>
      </c>
      <c r="C1386" s="76">
        <f>Balance[[#This Row],[COST]]/147</f>
        <v>7.4829931972789119</v>
      </c>
      <c r="D1386" s="93" t="s">
        <v>259</v>
      </c>
      <c r="E1386" s="94" t="s">
        <v>265</v>
      </c>
      <c r="F1386" s="87">
        <v>45514</v>
      </c>
      <c r="G1386" t="str">
        <f t="shared" si="44"/>
        <v>Aug</v>
      </c>
      <c r="H1386" t="str">
        <f t="shared" si="45"/>
        <v>2024</v>
      </c>
    </row>
    <row r="1387" spans="1:8" hidden="1" x14ac:dyDescent="0.35">
      <c r="A1387" t="s">
        <v>647</v>
      </c>
      <c r="B1387" s="92">
        <v>550</v>
      </c>
      <c r="C1387" s="76">
        <f>Balance[[#This Row],[COST]]/147</f>
        <v>3.7414965986394559</v>
      </c>
      <c r="D1387" s="93" t="s">
        <v>259</v>
      </c>
      <c r="E1387" s="94" t="s">
        <v>265</v>
      </c>
      <c r="F1387" s="87">
        <v>45514</v>
      </c>
      <c r="G1387" t="str">
        <f t="shared" si="44"/>
        <v>Aug</v>
      </c>
      <c r="H1387" t="str">
        <f t="shared" si="45"/>
        <v>2024</v>
      </c>
    </row>
    <row r="1388" spans="1:8" hidden="1" x14ac:dyDescent="0.35">
      <c r="A1388" t="s">
        <v>129</v>
      </c>
      <c r="B1388" s="92">
        <v>1250</v>
      </c>
      <c r="C1388" s="76">
        <f>Balance[[#This Row],[COST]]/147</f>
        <v>8.5034013605442169</v>
      </c>
      <c r="D1388" s="93" t="s">
        <v>259</v>
      </c>
      <c r="E1388" s="94" t="s">
        <v>265</v>
      </c>
      <c r="F1388" s="87">
        <v>45514</v>
      </c>
      <c r="G1388" t="str">
        <f t="shared" si="44"/>
        <v>Aug</v>
      </c>
      <c r="H1388" t="str">
        <f t="shared" si="45"/>
        <v>2024</v>
      </c>
    </row>
    <row r="1389" spans="1:8" hidden="1" x14ac:dyDescent="0.35">
      <c r="A1389" t="s">
        <v>242</v>
      </c>
      <c r="B1389" s="92">
        <v>1945</v>
      </c>
      <c r="C1389" s="76">
        <f>Balance[[#This Row],[COST]]/147</f>
        <v>13.231292517006803</v>
      </c>
      <c r="D1389" s="93" t="s">
        <v>259</v>
      </c>
      <c r="E1389" s="94" t="s">
        <v>265</v>
      </c>
      <c r="F1389" s="87">
        <v>45515</v>
      </c>
      <c r="G1389" t="str">
        <f t="shared" si="44"/>
        <v>Aug</v>
      </c>
      <c r="H1389" t="str">
        <f t="shared" si="45"/>
        <v>2024</v>
      </c>
    </row>
    <row r="1390" spans="1:8" hidden="1" x14ac:dyDescent="0.35">
      <c r="A1390" t="s">
        <v>114</v>
      </c>
      <c r="B1390" s="92">
        <v>1740</v>
      </c>
      <c r="C1390" s="76">
        <f>Balance[[#This Row],[COST]]/147</f>
        <v>11.836734693877551</v>
      </c>
      <c r="D1390" s="93" t="s">
        <v>259</v>
      </c>
      <c r="E1390" s="94" t="s">
        <v>265</v>
      </c>
      <c r="F1390" s="87">
        <v>45516</v>
      </c>
      <c r="G1390" t="str">
        <f t="shared" si="44"/>
        <v>Aug</v>
      </c>
      <c r="H1390" t="str">
        <f t="shared" si="45"/>
        <v>2024</v>
      </c>
    </row>
    <row r="1391" spans="1:8" x14ac:dyDescent="0.35">
      <c r="A1391" t="s">
        <v>648</v>
      </c>
      <c r="B1391" s="92">
        <v>29800</v>
      </c>
      <c r="C1391" s="76">
        <f>Balance[[#This Row],[COST]]/147</f>
        <v>202.72108843537416</v>
      </c>
      <c r="D1391" s="1" t="s">
        <v>689</v>
      </c>
      <c r="E1391" s="27" t="s">
        <v>275</v>
      </c>
      <c r="F1391" s="2">
        <v>45517</v>
      </c>
      <c r="G1391" t="str">
        <f t="shared" si="44"/>
        <v>Aug</v>
      </c>
      <c r="H1391" t="str">
        <f t="shared" si="45"/>
        <v>2024</v>
      </c>
    </row>
    <row r="1392" spans="1:8" hidden="1" x14ac:dyDescent="0.35">
      <c r="A1392" t="s">
        <v>114</v>
      </c>
      <c r="B1392" s="92">
        <v>2000</v>
      </c>
      <c r="C1392" s="76">
        <f>Balance[[#This Row],[COST]]/147</f>
        <v>13.605442176870747</v>
      </c>
      <c r="D1392" s="93" t="s">
        <v>259</v>
      </c>
      <c r="E1392" s="94" t="s">
        <v>265</v>
      </c>
      <c r="F1392" s="87">
        <v>45518</v>
      </c>
      <c r="G1392" t="str">
        <f t="shared" si="44"/>
        <v>Aug</v>
      </c>
      <c r="H1392" t="str">
        <f t="shared" si="45"/>
        <v>2024</v>
      </c>
    </row>
    <row r="1393" spans="1:8" hidden="1" x14ac:dyDescent="0.35">
      <c r="A1393" t="s">
        <v>562</v>
      </c>
      <c r="B1393" s="92">
        <v>600</v>
      </c>
      <c r="C1393" s="76">
        <f>Balance[[#This Row],[COST]]/147</f>
        <v>4.0816326530612246</v>
      </c>
      <c r="D1393" s="93" t="s">
        <v>259</v>
      </c>
      <c r="E1393" s="94" t="s">
        <v>265</v>
      </c>
      <c r="F1393" s="87">
        <v>45519</v>
      </c>
      <c r="G1393" t="str">
        <f t="shared" si="44"/>
        <v>Aug</v>
      </c>
      <c r="H1393" t="str">
        <f t="shared" si="45"/>
        <v>2024</v>
      </c>
    </row>
    <row r="1394" spans="1:8" hidden="1" x14ac:dyDescent="0.35">
      <c r="A1394" t="s">
        <v>649</v>
      </c>
      <c r="B1394" s="92">
        <v>600</v>
      </c>
      <c r="C1394" s="76">
        <f>Balance[[#This Row],[COST]]/147</f>
        <v>4.0816326530612246</v>
      </c>
      <c r="D1394" s="93" t="s">
        <v>259</v>
      </c>
      <c r="E1394" s="94" t="s">
        <v>265</v>
      </c>
      <c r="F1394" s="87">
        <v>45519</v>
      </c>
      <c r="G1394" t="str">
        <f t="shared" si="44"/>
        <v>Aug</v>
      </c>
      <c r="H1394" t="str">
        <f t="shared" si="45"/>
        <v>2024</v>
      </c>
    </row>
    <row r="1395" spans="1:8" hidden="1" x14ac:dyDescent="0.35">
      <c r="A1395" t="s">
        <v>650</v>
      </c>
      <c r="B1395" s="92">
        <v>80</v>
      </c>
      <c r="C1395" s="76">
        <f>Balance[[#This Row],[COST]]/147</f>
        <v>0.54421768707482998</v>
      </c>
      <c r="D1395" s="93" t="s">
        <v>259</v>
      </c>
      <c r="E1395" s="94" t="s">
        <v>265</v>
      </c>
      <c r="F1395" s="87">
        <v>45519</v>
      </c>
      <c r="G1395" t="str">
        <f t="shared" si="44"/>
        <v>Aug</v>
      </c>
      <c r="H1395" t="str">
        <f t="shared" si="45"/>
        <v>2024</v>
      </c>
    </row>
    <row r="1396" spans="1:8" hidden="1" x14ac:dyDescent="0.35">
      <c r="A1396" t="s">
        <v>511</v>
      </c>
      <c r="B1396" s="92">
        <v>900</v>
      </c>
      <c r="C1396" s="76">
        <f>Balance[[#This Row],[COST]]/147</f>
        <v>6.1224489795918364</v>
      </c>
      <c r="D1396" s="93" t="s">
        <v>259</v>
      </c>
      <c r="E1396" s="94" t="s">
        <v>265</v>
      </c>
      <c r="F1396" s="87">
        <v>45519</v>
      </c>
      <c r="G1396" t="str">
        <f t="shared" si="44"/>
        <v>Aug</v>
      </c>
      <c r="H1396" t="str">
        <f t="shared" si="45"/>
        <v>2024</v>
      </c>
    </row>
    <row r="1397" spans="1:8" hidden="1" x14ac:dyDescent="0.35">
      <c r="A1397" t="s">
        <v>229</v>
      </c>
      <c r="B1397" s="76">
        <f>Balance[[#This Row],[Cost USD]]*157</f>
        <v>940.43000000000006</v>
      </c>
      <c r="C1397" s="76">
        <v>5.99</v>
      </c>
      <c r="D1397" s="76" t="s">
        <v>259</v>
      </c>
      <c r="E1397" s="27" t="s">
        <v>267</v>
      </c>
      <c r="F1397" s="87">
        <v>45519</v>
      </c>
      <c r="G1397" t="str">
        <f t="shared" si="44"/>
        <v>Aug</v>
      </c>
      <c r="H1397" t="str">
        <f t="shared" si="45"/>
        <v>2024</v>
      </c>
    </row>
    <row r="1398" spans="1:8" hidden="1" x14ac:dyDescent="0.35">
      <c r="A1398" t="s">
        <v>644</v>
      </c>
      <c r="B1398" s="92">
        <v>6553</v>
      </c>
      <c r="C1398" s="76">
        <f>Balance[[#This Row],[COST]]/147</f>
        <v>44.57823129251701</v>
      </c>
      <c r="D1398" s="93" t="s">
        <v>259</v>
      </c>
      <c r="E1398" s="94" t="s">
        <v>268</v>
      </c>
      <c r="F1398" s="2">
        <v>45520</v>
      </c>
      <c r="G1398" t="str">
        <f t="shared" si="44"/>
        <v>Aug</v>
      </c>
      <c r="H1398" t="str">
        <f t="shared" si="45"/>
        <v>2024</v>
      </c>
    </row>
    <row r="1399" spans="1:8" hidden="1" x14ac:dyDescent="0.35">
      <c r="A1399" t="s">
        <v>183</v>
      </c>
      <c r="B1399" s="92">
        <v>4000</v>
      </c>
      <c r="C1399" s="76">
        <f>Balance[[#This Row],[COST]]/147</f>
        <v>27.210884353741495</v>
      </c>
      <c r="D1399" s="93" t="s">
        <v>259</v>
      </c>
      <c r="E1399" s="94" t="s">
        <v>4</v>
      </c>
      <c r="F1399" s="87">
        <v>45521</v>
      </c>
      <c r="G1399" t="str">
        <f t="shared" si="44"/>
        <v>Aug</v>
      </c>
      <c r="H1399" t="str">
        <f t="shared" si="45"/>
        <v>2024</v>
      </c>
    </row>
    <row r="1400" spans="1:8" hidden="1" x14ac:dyDescent="0.35">
      <c r="A1400" t="s">
        <v>651</v>
      </c>
      <c r="B1400" s="92">
        <v>450</v>
      </c>
      <c r="C1400" s="76">
        <f>Balance[[#This Row],[COST]]/147</f>
        <v>3.0612244897959182</v>
      </c>
      <c r="D1400" s="93" t="s">
        <v>259</v>
      </c>
      <c r="E1400" s="94" t="s">
        <v>265</v>
      </c>
      <c r="F1400" s="87">
        <v>45521</v>
      </c>
      <c r="G1400" t="str">
        <f t="shared" si="44"/>
        <v>Aug</v>
      </c>
      <c r="H1400" t="str">
        <f t="shared" si="45"/>
        <v>2024</v>
      </c>
    </row>
    <row r="1401" spans="1:8" hidden="1" x14ac:dyDescent="0.35">
      <c r="A1401" t="s">
        <v>562</v>
      </c>
      <c r="B1401" s="92">
        <v>900</v>
      </c>
      <c r="C1401" s="76">
        <f>Balance[[#This Row],[COST]]/147</f>
        <v>6.1224489795918364</v>
      </c>
      <c r="D1401" s="93" t="s">
        <v>259</v>
      </c>
      <c r="E1401" s="94" t="s">
        <v>265</v>
      </c>
      <c r="F1401" s="87">
        <v>45521</v>
      </c>
      <c r="G1401" t="str">
        <f t="shared" si="44"/>
        <v>Aug</v>
      </c>
      <c r="H1401" t="str">
        <f t="shared" si="45"/>
        <v>2024</v>
      </c>
    </row>
    <row r="1402" spans="1:8" hidden="1" x14ac:dyDescent="0.35">
      <c r="A1402" t="s">
        <v>562</v>
      </c>
      <c r="B1402" s="92">
        <v>7000</v>
      </c>
      <c r="C1402" s="76">
        <f>Balance[[#This Row],[COST]]/147</f>
        <v>47.61904761904762</v>
      </c>
      <c r="D1402" s="93" t="s">
        <v>259</v>
      </c>
      <c r="E1402" s="94" t="s">
        <v>265</v>
      </c>
      <c r="F1402" s="87">
        <v>45521</v>
      </c>
      <c r="G1402" t="str">
        <f t="shared" si="44"/>
        <v>Aug</v>
      </c>
      <c r="H1402" t="str">
        <f t="shared" si="45"/>
        <v>2024</v>
      </c>
    </row>
    <row r="1403" spans="1:8" hidden="1" x14ac:dyDescent="0.35">
      <c r="A1403" t="s">
        <v>384</v>
      </c>
      <c r="B1403" s="92">
        <v>11000</v>
      </c>
      <c r="C1403" s="76">
        <f>Balance[[#This Row],[COST]]/147</f>
        <v>74.829931972789112</v>
      </c>
      <c r="D1403" s="93" t="s">
        <v>259</v>
      </c>
      <c r="E1403" s="94" t="s">
        <v>265</v>
      </c>
      <c r="F1403" s="87">
        <v>45521</v>
      </c>
      <c r="G1403" t="str">
        <f t="shared" si="44"/>
        <v>Aug</v>
      </c>
      <c r="H1403" t="str">
        <f t="shared" si="45"/>
        <v>2024</v>
      </c>
    </row>
    <row r="1404" spans="1:8" hidden="1" x14ac:dyDescent="0.35">
      <c r="A1404" t="s">
        <v>652</v>
      </c>
      <c r="B1404" s="92">
        <v>1600</v>
      </c>
      <c r="C1404" s="76">
        <f>Balance[[#This Row],[COST]]/147</f>
        <v>10.884353741496598</v>
      </c>
      <c r="D1404" s="93" t="s">
        <v>259</v>
      </c>
      <c r="E1404" s="94" t="s">
        <v>265</v>
      </c>
      <c r="F1404" s="87">
        <v>45521</v>
      </c>
      <c r="G1404" t="str">
        <f t="shared" si="44"/>
        <v>Aug</v>
      </c>
      <c r="H1404" t="str">
        <f t="shared" si="45"/>
        <v>2024</v>
      </c>
    </row>
    <row r="1405" spans="1:8" hidden="1" x14ac:dyDescent="0.35">
      <c r="A1405" t="s">
        <v>592</v>
      </c>
      <c r="B1405" s="92">
        <v>560</v>
      </c>
      <c r="C1405" s="76">
        <f>Balance[[#This Row],[COST]]/147</f>
        <v>3.8095238095238093</v>
      </c>
      <c r="D1405" s="93" t="s">
        <v>259</v>
      </c>
      <c r="E1405" s="94" t="s">
        <v>265</v>
      </c>
      <c r="F1405" s="87">
        <v>45521</v>
      </c>
      <c r="G1405" t="str">
        <f t="shared" si="44"/>
        <v>Aug</v>
      </c>
      <c r="H1405" t="str">
        <f t="shared" si="45"/>
        <v>2024</v>
      </c>
    </row>
    <row r="1406" spans="1:8" hidden="1" x14ac:dyDescent="0.35">
      <c r="A1406" t="s">
        <v>653</v>
      </c>
      <c r="B1406" s="92">
        <v>500</v>
      </c>
      <c r="C1406" s="76">
        <f>Balance[[#This Row],[COST]]/147</f>
        <v>3.4013605442176869</v>
      </c>
      <c r="D1406" s="93" t="s">
        <v>259</v>
      </c>
      <c r="E1406" s="94" t="s">
        <v>265</v>
      </c>
      <c r="F1406" s="87">
        <v>45521</v>
      </c>
      <c r="G1406" t="str">
        <f t="shared" si="44"/>
        <v>Aug</v>
      </c>
      <c r="H1406" t="str">
        <f t="shared" si="45"/>
        <v>2024</v>
      </c>
    </row>
    <row r="1407" spans="1:8" hidden="1" x14ac:dyDescent="0.35">
      <c r="A1407" t="s">
        <v>654</v>
      </c>
      <c r="B1407" s="92">
        <v>500</v>
      </c>
      <c r="C1407" s="76">
        <f>Balance[[#This Row],[COST]]/147</f>
        <v>3.4013605442176869</v>
      </c>
      <c r="D1407" s="93" t="s">
        <v>259</v>
      </c>
      <c r="E1407" s="94" t="s">
        <v>265</v>
      </c>
      <c r="F1407" s="87">
        <v>45521</v>
      </c>
      <c r="G1407" t="str">
        <f t="shared" si="44"/>
        <v>Aug</v>
      </c>
      <c r="H1407" t="str">
        <f t="shared" si="45"/>
        <v>2024</v>
      </c>
    </row>
    <row r="1408" spans="1:8" hidden="1" x14ac:dyDescent="0.35">
      <c r="A1408" t="s">
        <v>655</v>
      </c>
      <c r="B1408" s="92">
        <v>400</v>
      </c>
      <c r="C1408" s="76">
        <f>Balance[[#This Row],[COST]]/147</f>
        <v>2.7210884353741496</v>
      </c>
      <c r="D1408" s="93" t="s">
        <v>259</v>
      </c>
      <c r="E1408" s="94" t="s">
        <v>265</v>
      </c>
      <c r="F1408" s="87">
        <v>45521</v>
      </c>
      <c r="G1408" t="str">
        <f t="shared" si="44"/>
        <v>Aug</v>
      </c>
      <c r="H1408" t="str">
        <f t="shared" si="45"/>
        <v>2024</v>
      </c>
    </row>
    <row r="1409" spans="1:8" x14ac:dyDescent="0.35">
      <c r="A1409" t="s">
        <v>343</v>
      </c>
      <c r="B1409" s="92">
        <v>2025</v>
      </c>
      <c r="C1409" s="76">
        <f>Balance[[#This Row],[COST]]/147</f>
        <v>13.775510204081632</v>
      </c>
      <c r="D1409" s="1" t="s">
        <v>689</v>
      </c>
      <c r="E1409" s="27" t="s">
        <v>275</v>
      </c>
      <c r="F1409" s="87">
        <v>45523</v>
      </c>
      <c r="G1409" t="str">
        <f t="shared" si="44"/>
        <v>Aug</v>
      </c>
      <c r="H1409" t="str">
        <f t="shared" si="45"/>
        <v>2024</v>
      </c>
    </row>
    <row r="1410" spans="1:8" hidden="1" x14ac:dyDescent="0.35">
      <c r="A1410" t="s">
        <v>114</v>
      </c>
      <c r="B1410" s="92">
        <v>1270</v>
      </c>
      <c r="C1410" s="76">
        <f>Balance[[#This Row],[COST]]/147</f>
        <v>8.6394557823129254</v>
      </c>
      <c r="D1410" s="93" t="s">
        <v>259</v>
      </c>
      <c r="E1410" s="94" t="s">
        <v>265</v>
      </c>
      <c r="F1410" s="87">
        <v>45524</v>
      </c>
      <c r="G1410" t="str">
        <f t="shared" si="44"/>
        <v>Aug</v>
      </c>
      <c r="H1410" t="str">
        <f t="shared" si="45"/>
        <v>2024</v>
      </c>
    </row>
    <row r="1411" spans="1:8" hidden="1" x14ac:dyDescent="0.35">
      <c r="A1411" t="s">
        <v>114</v>
      </c>
      <c r="B1411" s="92">
        <v>1100</v>
      </c>
      <c r="C1411" s="76">
        <f>Balance[[#This Row],[COST]]/147</f>
        <v>7.4829931972789119</v>
      </c>
      <c r="D1411" s="93" t="s">
        <v>259</v>
      </c>
      <c r="E1411" s="94" t="s">
        <v>265</v>
      </c>
      <c r="F1411" s="87">
        <v>45524</v>
      </c>
      <c r="G1411" t="str">
        <f t="shared" si="44"/>
        <v>Aug</v>
      </c>
      <c r="H1411" t="str">
        <f t="shared" si="45"/>
        <v>2024</v>
      </c>
    </row>
    <row r="1412" spans="1:8" hidden="1" x14ac:dyDescent="0.35">
      <c r="A1412" t="s">
        <v>242</v>
      </c>
      <c r="B1412" s="76">
        <v>1000</v>
      </c>
      <c r="C1412" s="76">
        <f>Balance[[#This Row],[COST]]/147</f>
        <v>6.8027210884353737</v>
      </c>
      <c r="D1412" s="1" t="s">
        <v>259</v>
      </c>
      <c r="E1412" s="27" t="s">
        <v>265</v>
      </c>
      <c r="F1412" s="2">
        <v>45526</v>
      </c>
      <c r="G1412" t="str">
        <f t="shared" si="44"/>
        <v>Aug</v>
      </c>
      <c r="H1412" t="str">
        <f t="shared" si="45"/>
        <v>2024</v>
      </c>
    </row>
    <row r="1413" spans="1:8" hidden="1" x14ac:dyDescent="0.35">
      <c r="A1413" t="s">
        <v>49</v>
      </c>
      <c r="B1413" s="76">
        <v>25000</v>
      </c>
      <c r="C1413" s="76">
        <f>Balance[[#This Row],[COST]]/147</f>
        <v>170.06802721088437</v>
      </c>
      <c r="D1413" s="1" t="s">
        <v>263</v>
      </c>
      <c r="E1413" s="27" t="s">
        <v>274</v>
      </c>
      <c r="F1413" s="2">
        <v>45526</v>
      </c>
      <c r="G1413" t="str">
        <f t="shared" si="44"/>
        <v>Aug</v>
      </c>
      <c r="H1413" t="str">
        <f t="shared" si="45"/>
        <v>2024</v>
      </c>
    </row>
    <row r="1414" spans="1:8" hidden="1" x14ac:dyDescent="0.35">
      <c r="A1414" t="s">
        <v>323</v>
      </c>
      <c r="B1414" s="76">
        <v>4000</v>
      </c>
      <c r="C1414" s="76">
        <f>Balance[[#This Row],[COST]]/147</f>
        <v>27.210884353741495</v>
      </c>
      <c r="D1414" s="75" t="s">
        <v>259</v>
      </c>
      <c r="E1414" s="27" t="s">
        <v>267</v>
      </c>
      <c r="F1414" s="2">
        <v>45526</v>
      </c>
      <c r="G1414" t="str">
        <f t="shared" si="44"/>
        <v>Aug</v>
      </c>
      <c r="H1414" t="str">
        <f t="shared" si="45"/>
        <v>2024</v>
      </c>
    </row>
    <row r="1415" spans="1:8" hidden="1" x14ac:dyDescent="0.35">
      <c r="A1415" t="s">
        <v>183</v>
      </c>
      <c r="B1415" s="92">
        <v>4000</v>
      </c>
      <c r="C1415" s="76">
        <f>Balance[[#This Row],[COST]]/147</f>
        <v>27.210884353741495</v>
      </c>
      <c r="D1415" s="93" t="s">
        <v>259</v>
      </c>
      <c r="E1415" s="94" t="s">
        <v>4</v>
      </c>
      <c r="F1415" s="87">
        <v>45527</v>
      </c>
      <c r="G1415" t="str">
        <f t="shared" si="44"/>
        <v>Aug</v>
      </c>
      <c r="H1415" t="str">
        <f t="shared" si="45"/>
        <v>2024</v>
      </c>
    </row>
    <row r="1416" spans="1:8" hidden="1" x14ac:dyDescent="0.35">
      <c r="A1416" t="s">
        <v>656</v>
      </c>
      <c r="B1416" s="92">
        <v>4000</v>
      </c>
      <c r="C1416" s="76">
        <f>Balance[[#This Row],[COST]]/147</f>
        <v>27.210884353741495</v>
      </c>
      <c r="D1416" s="93" t="s">
        <v>259</v>
      </c>
      <c r="E1416" s="94" t="s">
        <v>265</v>
      </c>
      <c r="F1416" s="87">
        <v>45527</v>
      </c>
      <c r="G1416" t="str">
        <f t="shared" si="44"/>
        <v>Aug</v>
      </c>
      <c r="H1416" t="str">
        <f t="shared" si="45"/>
        <v>2024</v>
      </c>
    </row>
    <row r="1417" spans="1:8" hidden="1" x14ac:dyDescent="0.35">
      <c r="A1417" t="s">
        <v>534</v>
      </c>
      <c r="B1417" s="92">
        <v>300</v>
      </c>
      <c r="C1417" s="76">
        <f>Balance[[#This Row],[COST]]/147</f>
        <v>2.0408163265306123</v>
      </c>
      <c r="D1417" s="93" t="s">
        <v>259</v>
      </c>
      <c r="E1417" s="94" t="s">
        <v>265</v>
      </c>
      <c r="F1417" s="87">
        <v>45527</v>
      </c>
      <c r="G1417" t="str">
        <f t="shared" si="44"/>
        <v>Aug</v>
      </c>
      <c r="H1417" t="str">
        <f t="shared" si="45"/>
        <v>2024</v>
      </c>
    </row>
    <row r="1418" spans="1:8" hidden="1" x14ac:dyDescent="0.35">
      <c r="A1418" t="s">
        <v>485</v>
      </c>
      <c r="B1418" s="92">
        <v>250</v>
      </c>
      <c r="C1418" s="76">
        <f>Balance[[#This Row],[COST]]/147</f>
        <v>1.7006802721088434</v>
      </c>
      <c r="D1418" s="93" t="s">
        <v>259</v>
      </c>
      <c r="E1418" s="94" t="s">
        <v>265</v>
      </c>
      <c r="F1418" s="87">
        <v>45527</v>
      </c>
      <c r="G1418" t="str">
        <f t="shared" si="44"/>
        <v>Aug</v>
      </c>
      <c r="H1418" t="str">
        <f t="shared" si="45"/>
        <v>2024</v>
      </c>
    </row>
    <row r="1419" spans="1:8" hidden="1" x14ac:dyDescent="0.35">
      <c r="A1419" t="s">
        <v>643</v>
      </c>
      <c r="B1419" s="92">
        <v>965</v>
      </c>
      <c r="C1419" s="76">
        <f>Balance[[#This Row],[COST]]/147</f>
        <v>6.5646258503401365</v>
      </c>
      <c r="D1419" s="93" t="s">
        <v>259</v>
      </c>
      <c r="E1419" s="94" t="s">
        <v>265</v>
      </c>
      <c r="F1419" s="87">
        <v>45530</v>
      </c>
      <c r="G1419" t="str">
        <f t="shared" si="44"/>
        <v>Aug</v>
      </c>
      <c r="H1419" t="str">
        <f t="shared" si="45"/>
        <v>2024</v>
      </c>
    </row>
    <row r="1420" spans="1:8" hidden="1" x14ac:dyDescent="0.35">
      <c r="A1420" t="s">
        <v>129</v>
      </c>
      <c r="B1420" s="92">
        <v>2350</v>
      </c>
      <c r="C1420" s="76">
        <f>Balance[[#This Row],[COST]]/147</f>
        <v>15.986394557823129</v>
      </c>
      <c r="D1420" s="93" t="s">
        <v>259</v>
      </c>
      <c r="E1420" s="94" t="s">
        <v>265</v>
      </c>
      <c r="F1420" s="87">
        <v>45530</v>
      </c>
      <c r="G1420" t="str">
        <f t="shared" si="44"/>
        <v>Aug</v>
      </c>
      <c r="H1420" t="str">
        <f t="shared" si="45"/>
        <v>2024</v>
      </c>
    </row>
    <row r="1421" spans="1:8" hidden="1" x14ac:dyDescent="0.35">
      <c r="A1421" t="s">
        <v>114</v>
      </c>
      <c r="B1421" s="92">
        <v>1300</v>
      </c>
      <c r="C1421" s="76">
        <f>Balance[[#This Row],[COST]]/147</f>
        <v>8.8435374149659864</v>
      </c>
      <c r="D1421" s="93" t="s">
        <v>259</v>
      </c>
      <c r="E1421" s="94" t="s">
        <v>265</v>
      </c>
      <c r="F1421" s="87">
        <v>45531</v>
      </c>
      <c r="G1421" t="str">
        <f t="shared" si="44"/>
        <v>Aug</v>
      </c>
      <c r="H1421" t="str">
        <f t="shared" si="45"/>
        <v>2024</v>
      </c>
    </row>
    <row r="1422" spans="1:8" hidden="1" x14ac:dyDescent="0.35">
      <c r="A1422" t="s">
        <v>563</v>
      </c>
      <c r="B1422" s="92">
        <v>300</v>
      </c>
      <c r="C1422" s="76">
        <f>Balance[[#This Row],[COST]]/147</f>
        <v>2.0408163265306123</v>
      </c>
      <c r="D1422" s="93" t="s">
        <v>259</v>
      </c>
      <c r="E1422" s="94" t="s">
        <v>265</v>
      </c>
      <c r="F1422" s="87">
        <v>45532</v>
      </c>
      <c r="G1422" t="str">
        <f t="shared" si="44"/>
        <v>Aug</v>
      </c>
      <c r="H1422" t="str">
        <f t="shared" si="45"/>
        <v>2024</v>
      </c>
    </row>
    <row r="1423" spans="1:8" hidden="1" x14ac:dyDescent="0.35">
      <c r="A1423" t="s">
        <v>650</v>
      </c>
      <c r="B1423" s="92">
        <v>280</v>
      </c>
      <c r="C1423" s="76">
        <f>Balance[[#This Row],[COST]]/147</f>
        <v>1.9047619047619047</v>
      </c>
      <c r="D1423" s="93" t="s">
        <v>259</v>
      </c>
      <c r="E1423" s="94" t="s">
        <v>265</v>
      </c>
      <c r="F1423" s="87">
        <v>45532</v>
      </c>
      <c r="G1423" t="str">
        <f t="shared" si="44"/>
        <v>Aug</v>
      </c>
      <c r="H1423" t="str">
        <f t="shared" si="45"/>
        <v>2024</v>
      </c>
    </row>
    <row r="1424" spans="1:8" hidden="1" x14ac:dyDescent="0.35">
      <c r="A1424" t="s">
        <v>650</v>
      </c>
      <c r="B1424" s="92">
        <v>165</v>
      </c>
      <c r="C1424" s="76">
        <f>Balance[[#This Row],[COST]]/147</f>
        <v>1.1224489795918366</v>
      </c>
      <c r="D1424" s="93" t="s">
        <v>259</v>
      </c>
      <c r="E1424" s="94" t="s">
        <v>265</v>
      </c>
      <c r="F1424" s="87">
        <v>45532</v>
      </c>
      <c r="G1424" t="str">
        <f t="shared" si="44"/>
        <v>Aug</v>
      </c>
      <c r="H1424" t="str">
        <f t="shared" si="45"/>
        <v>2024</v>
      </c>
    </row>
    <row r="1425" spans="1:8" x14ac:dyDescent="0.35">
      <c r="A1425" t="s">
        <v>663</v>
      </c>
      <c r="B1425" s="92">
        <v>1850</v>
      </c>
      <c r="C1425" s="76">
        <f>Balance[[#This Row],[COST]]/147</f>
        <v>12.585034013605442</v>
      </c>
      <c r="D1425" s="1" t="s">
        <v>689</v>
      </c>
      <c r="E1425" s="27" t="s">
        <v>275</v>
      </c>
      <c r="F1425" s="87">
        <v>45532</v>
      </c>
      <c r="G1425" t="str">
        <f t="shared" si="44"/>
        <v>Aug</v>
      </c>
      <c r="H1425" t="str">
        <f t="shared" si="45"/>
        <v>2024</v>
      </c>
    </row>
    <row r="1426" spans="1:8" hidden="1" x14ac:dyDescent="0.35">
      <c r="A1426" t="s">
        <v>563</v>
      </c>
      <c r="B1426" s="92">
        <v>170</v>
      </c>
      <c r="C1426" s="76">
        <f>Balance[[#This Row],[COST]]/147</f>
        <v>1.1564625850340136</v>
      </c>
      <c r="D1426" s="93" t="s">
        <v>259</v>
      </c>
      <c r="E1426" s="94" t="s">
        <v>265</v>
      </c>
      <c r="F1426" s="87">
        <v>45532</v>
      </c>
      <c r="G1426" t="str">
        <f t="shared" si="44"/>
        <v>Aug</v>
      </c>
      <c r="H1426" t="str">
        <f t="shared" si="45"/>
        <v>2024</v>
      </c>
    </row>
    <row r="1427" spans="1:8" hidden="1" x14ac:dyDescent="0.35">
      <c r="A1427" t="s">
        <v>283</v>
      </c>
      <c r="B1427" s="76">
        <v>57040</v>
      </c>
      <c r="C1427" s="76">
        <f>Balance[[#This Row],[COST]]/147</f>
        <v>388.02721088435374</v>
      </c>
      <c r="D1427" s="76" t="s">
        <v>15</v>
      </c>
      <c r="E1427" s="27" t="s">
        <v>269</v>
      </c>
      <c r="F1427" s="87">
        <v>45532</v>
      </c>
      <c r="G1427" t="str">
        <f t="shared" si="44"/>
        <v>Aug</v>
      </c>
      <c r="H1427" t="str">
        <f t="shared" si="45"/>
        <v>2024</v>
      </c>
    </row>
    <row r="1428" spans="1:8" hidden="1" x14ac:dyDescent="0.35">
      <c r="A1428" t="s">
        <v>42</v>
      </c>
      <c r="B1428" s="76">
        <v>7884</v>
      </c>
      <c r="C1428" s="76">
        <f>Balance[[#This Row],[COST]]/147</f>
        <v>53.632653061224488</v>
      </c>
      <c r="D1428" s="76" t="s">
        <v>42</v>
      </c>
      <c r="E1428" s="27" t="s">
        <v>270</v>
      </c>
      <c r="F1428" s="87">
        <v>45532</v>
      </c>
      <c r="G1428" t="str">
        <f t="shared" si="44"/>
        <v>Aug</v>
      </c>
      <c r="H1428" t="str">
        <f t="shared" si="45"/>
        <v>2024</v>
      </c>
    </row>
    <row r="1429" spans="1:8" hidden="1" x14ac:dyDescent="0.35">
      <c r="A1429" t="s">
        <v>664</v>
      </c>
      <c r="B1429" s="92">
        <v>710</v>
      </c>
      <c r="C1429" s="76">
        <f>Balance[[#This Row],[COST]]/147</f>
        <v>4.8299319727891152</v>
      </c>
      <c r="D1429" s="93" t="s">
        <v>259</v>
      </c>
      <c r="E1429" s="94" t="s">
        <v>265</v>
      </c>
      <c r="F1429" s="2">
        <v>45534</v>
      </c>
      <c r="G1429" t="str">
        <f t="shared" si="44"/>
        <v>Aug</v>
      </c>
      <c r="H1429" t="str">
        <f t="shared" si="45"/>
        <v>2024</v>
      </c>
    </row>
    <row r="1430" spans="1:8" hidden="1" x14ac:dyDescent="0.35">
      <c r="A1430" t="s">
        <v>183</v>
      </c>
      <c r="B1430" s="92">
        <v>3000</v>
      </c>
      <c r="C1430" s="76">
        <f>Balance[[#This Row],[COST]]/147</f>
        <v>20.408163265306122</v>
      </c>
      <c r="D1430" s="93" t="s">
        <v>259</v>
      </c>
      <c r="E1430" s="94" t="s">
        <v>4</v>
      </c>
      <c r="F1430" s="2">
        <v>45534</v>
      </c>
      <c r="G1430" t="str">
        <f t="shared" si="44"/>
        <v>Aug</v>
      </c>
      <c r="H1430" t="str">
        <f t="shared" si="45"/>
        <v>2024</v>
      </c>
    </row>
    <row r="1431" spans="1:8" hidden="1" x14ac:dyDescent="0.35">
      <c r="A1431" t="s">
        <v>114</v>
      </c>
      <c r="B1431" s="76">
        <v>1310</v>
      </c>
      <c r="C1431" s="76">
        <f>Balance[[#This Row],[COST]]/147</f>
        <v>8.9115646258503407</v>
      </c>
      <c r="D1431" s="93" t="s">
        <v>259</v>
      </c>
      <c r="E1431" s="94" t="s">
        <v>265</v>
      </c>
      <c r="F1431" s="2">
        <v>45536</v>
      </c>
      <c r="G1431" t="str">
        <f t="shared" si="44"/>
        <v>Sep</v>
      </c>
      <c r="H1431" t="str">
        <f t="shared" si="45"/>
        <v>2024</v>
      </c>
    </row>
    <row r="1432" spans="1:8" hidden="1" x14ac:dyDescent="0.35">
      <c r="A1432" t="s">
        <v>129</v>
      </c>
      <c r="B1432" s="76">
        <v>1300</v>
      </c>
      <c r="C1432" s="76">
        <f>Balance[[#This Row],[COST]]/147</f>
        <v>8.8435374149659864</v>
      </c>
      <c r="D1432" s="93" t="s">
        <v>259</v>
      </c>
      <c r="E1432" s="94" t="s">
        <v>265</v>
      </c>
      <c r="F1432" s="2">
        <v>45537</v>
      </c>
      <c r="G1432" t="str">
        <f t="shared" si="44"/>
        <v>Sep</v>
      </c>
      <c r="H1432" t="str">
        <f t="shared" si="45"/>
        <v>2024</v>
      </c>
    </row>
    <row r="1433" spans="1:8" hidden="1" x14ac:dyDescent="0.35">
      <c r="A1433" t="s">
        <v>114</v>
      </c>
      <c r="B1433" s="76">
        <v>1470</v>
      </c>
      <c r="C1433" s="76">
        <f>Balance[[#This Row],[COST]]/147</f>
        <v>10</v>
      </c>
      <c r="D1433" s="1" t="s">
        <v>259</v>
      </c>
      <c r="E1433" s="27" t="s">
        <v>265</v>
      </c>
      <c r="F1433" s="2">
        <v>45537</v>
      </c>
      <c r="G1433" t="str">
        <f t="shared" si="44"/>
        <v>Sep</v>
      </c>
      <c r="H1433" t="str">
        <f t="shared" si="45"/>
        <v>2024</v>
      </c>
    </row>
    <row r="1434" spans="1:8" hidden="1" x14ac:dyDescent="0.35">
      <c r="A1434" t="s">
        <v>666</v>
      </c>
      <c r="B1434" s="76">
        <v>700</v>
      </c>
      <c r="C1434" s="76">
        <f>Balance[[#This Row],[COST]]/147</f>
        <v>4.7619047619047619</v>
      </c>
      <c r="D1434" s="93" t="s">
        <v>259</v>
      </c>
      <c r="E1434" s="94" t="s">
        <v>265</v>
      </c>
      <c r="F1434" s="2">
        <v>45538</v>
      </c>
      <c r="G1434" t="str">
        <f t="shared" si="44"/>
        <v>Sep</v>
      </c>
      <c r="H1434" t="str">
        <f t="shared" si="45"/>
        <v>2024</v>
      </c>
    </row>
    <row r="1435" spans="1:8" hidden="1" x14ac:dyDescent="0.35">
      <c r="A1435" t="s">
        <v>666</v>
      </c>
      <c r="B1435" s="76">
        <v>700</v>
      </c>
      <c r="C1435" s="76">
        <f>Balance[[#This Row],[COST]]/147</f>
        <v>4.7619047619047619</v>
      </c>
      <c r="D1435" s="1" t="s">
        <v>259</v>
      </c>
      <c r="E1435" s="27" t="s">
        <v>265</v>
      </c>
      <c r="F1435" s="2">
        <v>45538</v>
      </c>
      <c r="G1435" t="str">
        <f t="shared" si="44"/>
        <v>Sep</v>
      </c>
      <c r="H1435" t="str">
        <f t="shared" si="45"/>
        <v>2024</v>
      </c>
    </row>
    <row r="1436" spans="1:8" hidden="1" x14ac:dyDescent="0.35">
      <c r="A1436" t="s">
        <v>183</v>
      </c>
      <c r="B1436" s="76">
        <v>1500</v>
      </c>
      <c r="C1436" s="76">
        <f>Balance[[#This Row],[COST]]/147</f>
        <v>10.204081632653061</v>
      </c>
      <c r="D1436" s="1" t="s">
        <v>259</v>
      </c>
      <c r="E1436" s="27" t="s">
        <v>4</v>
      </c>
      <c r="F1436" s="2">
        <v>45540</v>
      </c>
      <c r="G1436" t="str">
        <f t="shared" si="44"/>
        <v>Sep</v>
      </c>
      <c r="H1436" t="str">
        <f t="shared" si="45"/>
        <v>2024</v>
      </c>
    </row>
    <row r="1437" spans="1:8" x14ac:dyDescent="0.35">
      <c r="A1437" t="s">
        <v>538</v>
      </c>
      <c r="B1437" s="76">
        <v>18000</v>
      </c>
      <c r="C1437" s="76">
        <f>Balance[[#This Row],[COST]]/147</f>
        <v>122.44897959183673</v>
      </c>
      <c r="D1437" s="1" t="s">
        <v>689</v>
      </c>
      <c r="E1437" s="27" t="s">
        <v>275</v>
      </c>
      <c r="F1437" s="2">
        <v>45541</v>
      </c>
      <c r="G1437" t="str">
        <f t="shared" si="44"/>
        <v>Sep</v>
      </c>
      <c r="H1437" t="str">
        <f t="shared" si="45"/>
        <v>2024</v>
      </c>
    </row>
    <row r="1438" spans="1:8" hidden="1" x14ac:dyDescent="0.35">
      <c r="A1438" t="s">
        <v>183</v>
      </c>
      <c r="B1438" s="76">
        <v>1500</v>
      </c>
      <c r="C1438" s="76">
        <f>Balance[[#This Row],[COST]]/147</f>
        <v>10.204081632653061</v>
      </c>
      <c r="D1438" s="1" t="s">
        <v>259</v>
      </c>
      <c r="E1438" s="27" t="s">
        <v>4</v>
      </c>
      <c r="F1438" s="2">
        <v>45541</v>
      </c>
      <c r="G1438" t="str">
        <f t="shared" si="44"/>
        <v>Sep</v>
      </c>
      <c r="H1438" t="str">
        <f t="shared" si="45"/>
        <v>2024</v>
      </c>
    </row>
    <row r="1439" spans="1:8" hidden="1" x14ac:dyDescent="0.35">
      <c r="A1439" t="s">
        <v>425</v>
      </c>
      <c r="B1439" s="76">
        <v>500</v>
      </c>
      <c r="C1439" s="76">
        <f>Balance[[#This Row],[COST]]/147</f>
        <v>3.4013605442176869</v>
      </c>
      <c r="D1439" s="1" t="s">
        <v>259</v>
      </c>
      <c r="E1439" s="27" t="s">
        <v>265</v>
      </c>
      <c r="F1439" s="87">
        <v>45541</v>
      </c>
      <c r="G1439" t="str">
        <f t="shared" ref="G1439:G1502" si="46">TEXT(F1439,"mmm")</f>
        <v>Sep</v>
      </c>
      <c r="H1439" t="str">
        <f t="shared" ref="H1439:H1502" si="47">TEXT(F1439,"yyy")</f>
        <v>2024</v>
      </c>
    </row>
    <row r="1440" spans="1:8" hidden="1" x14ac:dyDescent="0.35">
      <c r="A1440" t="s">
        <v>650</v>
      </c>
      <c r="B1440" s="76">
        <v>240</v>
      </c>
      <c r="C1440" s="76">
        <f>Balance[[#This Row],[COST]]/147</f>
        <v>1.6326530612244898</v>
      </c>
      <c r="D1440" s="1" t="s">
        <v>259</v>
      </c>
      <c r="E1440" s="27" t="s">
        <v>265</v>
      </c>
      <c r="F1440" s="87">
        <v>45541</v>
      </c>
      <c r="G1440" t="str">
        <f t="shared" si="46"/>
        <v>Sep</v>
      </c>
      <c r="H1440" t="str">
        <f t="shared" si="47"/>
        <v>2024</v>
      </c>
    </row>
    <row r="1441" spans="1:8" x14ac:dyDescent="0.35">
      <c r="A1441" t="s">
        <v>538</v>
      </c>
      <c r="B1441" s="92">
        <v>30000</v>
      </c>
      <c r="C1441" s="76">
        <f>Balance[[#This Row],[COST]]/147</f>
        <v>204.08163265306123</v>
      </c>
      <c r="D1441" s="1" t="s">
        <v>689</v>
      </c>
      <c r="E1441" s="27" t="s">
        <v>275</v>
      </c>
      <c r="F1441" s="87">
        <v>45542</v>
      </c>
      <c r="G1441" t="str">
        <f t="shared" si="46"/>
        <v>Sep</v>
      </c>
      <c r="H1441" t="str">
        <f t="shared" si="47"/>
        <v>2024</v>
      </c>
    </row>
    <row r="1442" spans="1:8" hidden="1" x14ac:dyDescent="0.35">
      <c r="A1442" t="s">
        <v>183</v>
      </c>
      <c r="B1442" s="92">
        <v>3000</v>
      </c>
      <c r="C1442" s="76">
        <f>Balance[[#This Row],[COST]]/147</f>
        <v>20.408163265306122</v>
      </c>
      <c r="D1442" s="93" t="s">
        <v>259</v>
      </c>
      <c r="E1442" s="94" t="s">
        <v>4</v>
      </c>
      <c r="F1442" s="2">
        <v>45542</v>
      </c>
      <c r="G1442" t="str">
        <f t="shared" si="46"/>
        <v>Sep</v>
      </c>
      <c r="H1442" t="str">
        <f t="shared" si="47"/>
        <v>2024</v>
      </c>
    </row>
    <row r="1443" spans="1:8" x14ac:dyDescent="0.35">
      <c r="A1443" t="s">
        <v>594</v>
      </c>
      <c r="B1443" s="92">
        <v>630</v>
      </c>
      <c r="C1443" s="76">
        <f>Balance[[#This Row],[COST]]/147</f>
        <v>4.2857142857142856</v>
      </c>
      <c r="D1443" s="1" t="s">
        <v>689</v>
      </c>
      <c r="E1443" s="27" t="s">
        <v>275</v>
      </c>
      <c r="F1443" s="2">
        <v>45543</v>
      </c>
      <c r="G1443" t="str">
        <f t="shared" si="46"/>
        <v>Sep</v>
      </c>
      <c r="H1443" t="str">
        <f t="shared" si="47"/>
        <v>2024</v>
      </c>
    </row>
    <row r="1444" spans="1:8" x14ac:dyDescent="0.35">
      <c r="A1444" t="s">
        <v>524</v>
      </c>
      <c r="B1444" s="92">
        <v>4429</v>
      </c>
      <c r="C1444" s="76">
        <f>Balance[[#This Row],[COST]]/147</f>
        <v>30.129251700680271</v>
      </c>
      <c r="D1444" s="1" t="s">
        <v>689</v>
      </c>
      <c r="E1444" s="27" t="s">
        <v>275</v>
      </c>
      <c r="F1444" s="87">
        <v>45547</v>
      </c>
      <c r="G1444" t="str">
        <f t="shared" si="46"/>
        <v>Sep</v>
      </c>
      <c r="H1444" t="str">
        <f t="shared" si="47"/>
        <v>2024</v>
      </c>
    </row>
    <row r="1445" spans="1:8" hidden="1" x14ac:dyDescent="0.35">
      <c r="A1445" t="s">
        <v>667</v>
      </c>
      <c r="B1445" s="92">
        <v>400</v>
      </c>
      <c r="C1445" s="76">
        <f>Balance[[#This Row],[COST]]/147</f>
        <v>2.7210884353741496</v>
      </c>
      <c r="D1445" s="97" t="s">
        <v>259</v>
      </c>
      <c r="E1445" s="89" t="s">
        <v>265</v>
      </c>
      <c r="F1445" s="87">
        <v>45548</v>
      </c>
      <c r="G1445" t="str">
        <f t="shared" si="46"/>
        <v>Sep</v>
      </c>
      <c r="H1445" t="str">
        <f t="shared" si="47"/>
        <v>2024</v>
      </c>
    </row>
    <row r="1446" spans="1:8" hidden="1" x14ac:dyDescent="0.35">
      <c r="A1446" t="s">
        <v>563</v>
      </c>
      <c r="B1446" s="92">
        <v>150</v>
      </c>
      <c r="C1446" s="76">
        <f>Balance[[#This Row],[COST]]/147</f>
        <v>1.0204081632653061</v>
      </c>
      <c r="D1446" s="97" t="s">
        <v>259</v>
      </c>
      <c r="E1446" s="89" t="s">
        <v>265</v>
      </c>
      <c r="F1446" s="87">
        <v>45548</v>
      </c>
      <c r="G1446" t="str">
        <f t="shared" si="46"/>
        <v>Sep</v>
      </c>
      <c r="H1446" t="str">
        <f t="shared" si="47"/>
        <v>2024</v>
      </c>
    </row>
    <row r="1447" spans="1:8" hidden="1" x14ac:dyDescent="0.35">
      <c r="A1447" t="s">
        <v>650</v>
      </c>
      <c r="B1447" s="92">
        <v>300</v>
      </c>
      <c r="C1447" s="76">
        <f>Balance[[#This Row],[COST]]/147</f>
        <v>2.0408163265306123</v>
      </c>
      <c r="D1447" s="97" t="s">
        <v>259</v>
      </c>
      <c r="E1447" s="89" t="s">
        <v>265</v>
      </c>
      <c r="F1447" s="87">
        <v>45548</v>
      </c>
      <c r="G1447" t="str">
        <f t="shared" si="46"/>
        <v>Sep</v>
      </c>
      <c r="H1447" t="str">
        <f t="shared" si="47"/>
        <v>2024</v>
      </c>
    </row>
    <row r="1448" spans="1:8" hidden="1" x14ac:dyDescent="0.35">
      <c r="A1448" t="s">
        <v>668</v>
      </c>
      <c r="B1448" s="92">
        <v>1100</v>
      </c>
      <c r="C1448" s="76">
        <f>Balance[[#This Row],[COST]]/147</f>
        <v>7.4829931972789119</v>
      </c>
      <c r="D1448" s="93" t="s">
        <v>259</v>
      </c>
      <c r="E1448" s="94" t="s">
        <v>265</v>
      </c>
      <c r="F1448" s="87">
        <v>45548</v>
      </c>
      <c r="G1448" t="str">
        <f t="shared" si="46"/>
        <v>Sep</v>
      </c>
      <c r="H1448" t="str">
        <f t="shared" si="47"/>
        <v>2024</v>
      </c>
    </row>
    <row r="1449" spans="1:8" hidden="1" x14ac:dyDescent="0.35">
      <c r="A1449" t="s">
        <v>643</v>
      </c>
      <c r="B1449" s="92">
        <v>1200</v>
      </c>
      <c r="C1449" s="76">
        <f>Balance[[#This Row],[COST]]/147</f>
        <v>8.1632653061224492</v>
      </c>
      <c r="D1449" s="93" t="s">
        <v>259</v>
      </c>
      <c r="E1449" s="94" t="s">
        <v>265</v>
      </c>
      <c r="F1449" s="87">
        <v>45548</v>
      </c>
      <c r="G1449" t="str">
        <f t="shared" si="46"/>
        <v>Sep</v>
      </c>
      <c r="H1449" t="str">
        <f t="shared" si="47"/>
        <v>2024</v>
      </c>
    </row>
    <row r="1450" spans="1:8" hidden="1" x14ac:dyDescent="0.35">
      <c r="A1450" t="s">
        <v>670</v>
      </c>
      <c r="B1450" s="92">
        <v>9000</v>
      </c>
      <c r="C1450" s="76">
        <f>Balance[[#This Row],[COST]]/147</f>
        <v>61.224489795918366</v>
      </c>
      <c r="D1450" s="93" t="s">
        <v>259</v>
      </c>
      <c r="E1450" s="94" t="s">
        <v>4</v>
      </c>
      <c r="F1450" s="87">
        <v>45548</v>
      </c>
      <c r="G1450" t="str">
        <f t="shared" si="46"/>
        <v>Sep</v>
      </c>
      <c r="H1450" t="str">
        <f t="shared" si="47"/>
        <v>2024</v>
      </c>
    </row>
    <row r="1451" spans="1:8" hidden="1" x14ac:dyDescent="0.35">
      <c r="A1451" t="s">
        <v>183</v>
      </c>
      <c r="B1451" s="92">
        <v>4000</v>
      </c>
      <c r="C1451" s="76">
        <f>Balance[[#This Row],[COST]]/147</f>
        <v>27.210884353741495</v>
      </c>
      <c r="D1451" s="93" t="s">
        <v>259</v>
      </c>
      <c r="E1451" s="94" t="s">
        <v>4</v>
      </c>
      <c r="F1451" s="87">
        <v>45549</v>
      </c>
      <c r="G1451" t="str">
        <f t="shared" si="46"/>
        <v>Sep</v>
      </c>
      <c r="H1451" t="str">
        <f t="shared" si="47"/>
        <v>2024</v>
      </c>
    </row>
    <row r="1452" spans="1:8" hidden="1" x14ac:dyDescent="0.35">
      <c r="A1452" t="s">
        <v>643</v>
      </c>
      <c r="B1452" s="92">
        <v>965</v>
      </c>
      <c r="C1452" s="76">
        <f>Balance[[#This Row],[COST]]/147</f>
        <v>6.5646258503401365</v>
      </c>
      <c r="D1452" s="93" t="s">
        <v>259</v>
      </c>
      <c r="E1452" s="94" t="s">
        <v>265</v>
      </c>
      <c r="F1452" s="87">
        <v>45550</v>
      </c>
      <c r="G1452" t="str">
        <f t="shared" si="46"/>
        <v>Sep</v>
      </c>
      <c r="H1452" t="str">
        <f t="shared" si="47"/>
        <v>2024</v>
      </c>
    </row>
    <row r="1453" spans="1:8" hidden="1" x14ac:dyDescent="0.35">
      <c r="A1453" t="s">
        <v>312</v>
      </c>
      <c r="B1453" s="76">
        <f>Balance[[#This Row],[Cost USD]]*147</f>
        <v>70560</v>
      </c>
      <c r="C1453" s="76">
        <v>480</v>
      </c>
      <c r="D1453" s="1" t="s">
        <v>259</v>
      </c>
      <c r="E1453" s="27" t="s">
        <v>4</v>
      </c>
      <c r="F1453" s="87">
        <v>45550</v>
      </c>
      <c r="G1453" t="str">
        <f t="shared" si="46"/>
        <v>Sep</v>
      </c>
      <c r="H1453" t="str">
        <f t="shared" si="47"/>
        <v>2024</v>
      </c>
    </row>
    <row r="1454" spans="1:8" hidden="1" x14ac:dyDescent="0.35">
      <c r="A1454" t="s">
        <v>229</v>
      </c>
      <c r="B1454" s="76">
        <f>Balance[[#This Row],[Cost USD]]*157</f>
        <v>940.43000000000006</v>
      </c>
      <c r="C1454" s="76">
        <v>5.99</v>
      </c>
      <c r="D1454" s="76" t="s">
        <v>259</v>
      </c>
      <c r="E1454" s="27" t="s">
        <v>267</v>
      </c>
      <c r="F1454" s="87">
        <v>45550</v>
      </c>
      <c r="G1454" t="str">
        <f t="shared" si="46"/>
        <v>Sep</v>
      </c>
      <c r="H1454" t="str">
        <f t="shared" si="47"/>
        <v>2024</v>
      </c>
    </row>
    <row r="1455" spans="1:8" hidden="1" x14ac:dyDescent="0.35">
      <c r="A1455" t="s">
        <v>669</v>
      </c>
      <c r="B1455" s="92">
        <v>1410</v>
      </c>
      <c r="C1455" s="76">
        <f>Balance[[#This Row],[COST]]/147</f>
        <v>9.591836734693878</v>
      </c>
      <c r="D1455" s="93" t="s">
        <v>259</v>
      </c>
      <c r="E1455" s="94" t="s">
        <v>265</v>
      </c>
      <c r="F1455" s="2">
        <v>45551</v>
      </c>
      <c r="G1455" t="str">
        <f t="shared" si="46"/>
        <v>Sep</v>
      </c>
      <c r="H1455" t="str">
        <f t="shared" si="47"/>
        <v>2024</v>
      </c>
    </row>
    <row r="1456" spans="1:8" hidden="1" x14ac:dyDescent="0.35">
      <c r="A1456" t="s">
        <v>430</v>
      </c>
      <c r="B1456" s="92">
        <v>1510</v>
      </c>
      <c r="C1456" s="76">
        <f>Balance[[#This Row],[COST]]/147</f>
        <v>10.272108843537415</v>
      </c>
      <c r="D1456" s="93" t="s">
        <v>259</v>
      </c>
      <c r="E1456" s="94" t="s">
        <v>265</v>
      </c>
      <c r="F1456" s="2">
        <v>45553</v>
      </c>
      <c r="G1456" t="str">
        <f t="shared" si="46"/>
        <v>Sep</v>
      </c>
      <c r="H1456" t="str">
        <f t="shared" si="47"/>
        <v>2024</v>
      </c>
    </row>
    <row r="1457" spans="1:8" hidden="1" x14ac:dyDescent="0.35">
      <c r="A1457" t="s">
        <v>49</v>
      </c>
      <c r="B1457" s="76">
        <v>25000</v>
      </c>
      <c r="C1457" s="76">
        <f>Balance[[#This Row],[COST]]/147</f>
        <v>170.06802721088437</v>
      </c>
      <c r="D1457" s="76" t="s">
        <v>263</v>
      </c>
      <c r="E1457" s="27" t="s">
        <v>274</v>
      </c>
      <c r="F1457" s="2">
        <v>45557</v>
      </c>
      <c r="G1457" t="str">
        <f t="shared" si="46"/>
        <v>Sep</v>
      </c>
      <c r="H1457" t="str">
        <f t="shared" si="47"/>
        <v>2024</v>
      </c>
    </row>
    <row r="1458" spans="1:8" hidden="1" x14ac:dyDescent="0.35">
      <c r="A1458" t="s">
        <v>671</v>
      </c>
      <c r="B1458" s="76">
        <v>10000</v>
      </c>
      <c r="C1458" s="76">
        <f>Balance[[#This Row],[COST]]/147</f>
        <v>68.027210884353735</v>
      </c>
      <c r="D1458" s="76" t="s">
        <v>263</v>
      </c>
      <c r="E1458" s="27" t="s">
        <v>274</v>
      </c>
      <c r="F1458" s="2">
        <v>45562</v>
      </c>
      <c r="G1458" t="str">
        <f t="shared" si="46"/>
        <v>Sep</v>
      </c>
      <c r="H1458" t="str">
        <f t="shared" si="47"/>
        <v>2024</v>
      </c>
    </row>
    <row r="1459" spans="1:8" hidden="1" x14ac:dyDescent="0.35">
      <c r="A1459" t="s">
        <v>283</v>
      </c>
      <c r="B1459" s="76">
        <v>57040</v>
      </c>
      <c r="C1459" s="76">
        <f>Balance[[#This Row],[COST]]/147</f>
        <v>388.02721088435374</v>
      </c>
      <c r="D1459" s="76" t="s">
        <v>15</v>
      </c>
      <c r="E1459" s="27" t="s">
        <v>269</v>
      </c>
      <c r="F1459" s="2">
        <v>45563</v>
      </c>
      <c r="G1459" t="str">
        <f t="shared" si="46"/>
        <v>Sep</v>
      </c>
      <c r="H1459" t="str">
        <f t="shared" si="47"/>
        <v>2024</v>
      </c>
    </row>
    <row r="1460" spans="1:8" hidden="1" x14ac:dyDescent="0.35">
      <c r="A1460" t="s">
        <v>42</v>
      </c>
      <c r="B1460" s="76">
        <v>7884</v>
      </c>
      <c r="C1460" s="76">
        <f>Balance[[#This Row],[COST]]/147</f>
        <v>53.632653061224488</v>
      </c>
      <c r="D1460" s="76" t="s">
        <v>42</v>
      </c>
      <c r="E1460" s="27" t="s">
        <v>270</v>
      </c>
      <c r="F1460" s="2">
        <v>45563</v>
      </c>
      <c r="G1460" t="str">
        <f t="shared" si="46"/>
        <v>Sep</v>
      </c>
      <c r="H1460" t="str">
        <f t="shared" si="47"/>
        <v>2024</v>
      </c>
    </row>
    <row r="1461" spans="1:8" hidden="1" x14ac:dyDescent="0.35">
      <c r="A1461" t="s">
        <v>680</v>
      </c>
      <c r="B1461" s="76">
        <f>Balance[[#This Row],[Cost USD]]*147</f>
        <v>3675</v>
      </c>
      <c r="C1461" s="76">
        <v>25</v>
      </c>
      <c r="D1461" s="1" t="s">
        <v>259</v>
      </c>
      <c r="E1461" s="27" t="s">
        <v>267</v>
      </c>
      <c r="F1461" s="87">
        <v>45570</v>
      </c>
      <c r="G1461" t="str">
        <f t="shared" si="46"/>
        <v>Oct</v>
      </c>
      <c r="H1461" t="str">
        <f t="shared" si="47"/>
        <v>2024</v>
      </c>
    </row>
    <row r="1462" spans="1:8" hidden="1" x14ac:dyDescent="0.35">
      <c r="A1462" t="s">
        <v>680</v>
      </c>
      <c r="B1462" s="76">
        <f>Balance[[#This Row],[Cost USD]]*147</f>
        <v>2205</v>
      </c>
      <c r="C1462" s="76">
        <v>15</v>
      </c>
      <c r="D1462" s="1" t="s">
        <v>259</v>
      </c>
      <c r="E1462" s="27" t="s">
        <v>267</v>
      </c>
      <c r="F1462" s="87">
        <v>45570</v>
      </c>
      <c r="G1462" t="str">
        <f t="shared" si="46"/>
        <v>Oct</v>
      </c>
      <c r="H1462" t="str">
        <f t="shared" si="47"/>
        <v>2024</v>
      </c>
    </row>
    <row r="1463" spans="1:8" hidden="1" x14ac:dyDescent="0.35">
      <c r="A1463" t="s">
        <v>479</v>
      </c>
      <c r="B1463" s="76">
        <f>Balance[[#This Row],[Cost USD]]*147</f>
        <v>1470</v>
      </c>
      <c r="C1463" s="76">
        <v>10</v>
      </c>
      <c r="D1463" s="1" t="s">
        <v>259</v>
      </c>
      <c r="E1463" s="27" t="s">
        <v>267</v>
      </c>
      <c r="F1463" s="2">
        <v>45570</v>
      </c>
      <c r="G1463" t="str">
        <f t="shared" si="46"/>
        <v>Oct</v>
      </c>
      <c r="H1463" t="str">
        <f t="shared" si="47"/>
        <v>2024</v>
      </c>
    </row>
    <row r="1464" spans="1:8" hidden="1" x14ac:dyDescent="0.35">
      <c r="A1464" t="s">
        <v>679</v>
      </c>
      <c r="B1464" s="76">
        <f>Balance[[#This Row],[Cost USD]]*147</f>
        <v>8820</v>
      </c>
      <c r="C1464" s="76">
        <v>60</v>
      </c>
      <c r="D1464" s="1" t="s">
        <v>259</v>
      </c>
      <c r="E1464" s="27" t="s">
        <v>4</v>
      </c>
      <c r="F1464" s="2">
        <v>45571</v>
      </c>
      <c r="G1464" t="str">
        <f t="shared" si="46"/>
        <v>Oct</v>
      </c>
      <c r="H1464" t="str">
        <f t="shared" si="47"/>
        <v>2024</v>
      </c>
    </row>
    <row r="1465" spans="1:8" hidden="1" x14ac:dyDescent="0.35">
      <c r="A1465" t="s">
        <v>323</v>
      </c>
      <c r="B1465" s="92">
        <v>3750</v>
      </c>
      <c r="C1465" s="76">
        <f>Balance[[#This Row],[COST]]/147</f>
        <v>25.510204081632654</v>
      </c>
      <c r="D1465" s="93" t="s">
        <v>259</v>
      </c>
      <c r="E1465" s="102" t="s">
        <v>267</v>
      </c>
      <c r="F1465" s="2">
        <v>45572</v>
      </c>
      <c r="G1465" t="str">
        <f t="shared" si="46"/>
        <v>Oct</v>
      </c>
      <c r="H1465" t="str">
        <f t="shared" si="47"/>
        <v>2024</v>
      </c>
    </row>
    <row r="1466" spans="1:8" hidden="1" x14ac:dyDescent="0.35">
      <c r="A1466" t="s">
        <v>485</v>
      </c>
      <c r="B1466" s="76">
        <f>60*4</f>
        <v>240</v>
      </c>
      <c r="C1466" s="76">
        <f>Balance[[#This Row],[COST]]/147</f>
        <v>1.6326530612244898</v>
      </c>
      <c r="D1466" s="93" t="s">
        <v>259</v>
      </c>
      <c r="E1466" s="94" t="s">
        <v>265</v>
      </c>
      <c r="F1466" s="2">
        <v>45572</v>
      </c>
      <c r="G1466" t="str">
        <f t="shared" si="46"/>
        <v>Oct</v>
      </c>
      <c r="H1466" t="str">
        <f t="shared" si="47"/>
        <v>2024</v>
      </c>
    </row>
    <row r="1467" spans="1:8" hidden="1" x14ac:dyDescent="0.35">
      <c r="A1467" t="s">
        <v>592</v>
      </c>
      <c r="B1467" s="76">
        <v>120</v>
      </c>
      <c r="C1467" s="76">
        <f>Balance[[#This Row],[COST]]/147</f>
        <v>0.81632653061224492</v>
      </c>
      <c r="D1467" s="93" t="s">
        <v>259</v>
      </c>
      <c r="E1467" s="94" t="s">
        <v>265</v>
      </c>
      <c r="F1467" s="2">
        <v>45572</v>
      </c>
      <c r="G1467" t="str">
        <f t="shared" si="46"/>
        <v>Oct</v>
      </c>
      <c r="H1467" t="str">
        <f t="shared" si="47"/>
        <v>2024</v>
      </c>
    </row>
    <row r="1468" spans="1:8" hidden="1" x14ac:dyDescent="0.35">
      <c r="A1468" t="s">
        <v>8</v>
      </c>
      <c r="B1468" s="76">
        <v>1350</v>
      </c>
      <c r="C1468" s="76">
        <f>Balance[[#This Row],[COST]]/147</f>
        <v>9.183673469387756</v>
      </c>
      <c r="D1468" s="1" t="s">
        <v>259</v>
      </c>
      <c r="E1468" s="27" t="s">
        <v>268</v>
      </c>
      <c r="F1468" s="2">
        <v>45572</v>
      </c>
      <c r="G1468" t="str">
        <f t="shared" si="46"/>
        <v>Oct</v>
      </c>
      <c r="H1468" t="str">
        <f t="shared" si="47"/>
        <v>2024</v>
      </c>
    </row>
    <row r="1469" spans="1:8" hidden="1" x14ac:dyDescent="0.35">
      <c r="A1469" t="s">
        <v>183</v>
      </c>
      <c r="B1469" s="92">
        <v>4000</v>
      </c>
      <c r="C1469" s="76">
        <f>Balance[[#This Row],[COST]]/147</f>
        <v>27.210884353741495</v>
      </c>
      <c r="D1469" s="93" t="s">
        <v>259</v>
      </c>
      <c r="E1469" s="94" t="s">
        <v>4</v>
      </c>
      <c r="F1469" s="2">
        <v>45573</v>
      </c>
      <c r="G1469" t="str">
        <f t="shared" si="46"/>
        <v>Oct</v>
      </c>
      <c r="H1469" t="str">
        <f t="shared" si="47"/>
        <v>2024</v>
      </c>
    </row>
    <row r="1470" spans="1:8" hidden="1" x14ac:dyDescent="0.35">
      <c r="A1470" t="s">
        <v>485</v>
      </c>
      <c r="B1470" s="76">
        <f>60*5</f>
        <v>300</v>
      </c>
      <c r="C1470" s="76">
        <f>Balance[[#This Row],[COST]]/147</f>
        <v>2.0408163265306123</v>
      </c>
      <c r="D1470" s="93" t="s">
        <v>259</v>
      </c>
      <c r="E1470" s="94" t="s">
        <v>265</v>
      </c>
      <c r="F1470" s="2">
        <v>45573</v>
      </c>
      <c r="G1470" t="str">
        <f t="shared" si="46"/>
        <v>Oct</v>
      </c>
      <c r="H1470" t="str">
        <f t="shared" si="47"/>
        <v>2024</v>
      </c>
    </row>
    <row r="1471" spans="1:8" hidden="1" x14ac:dyDescent="0.35">
      <c r="A1471" t="s">
        <v>497</v>
      </c>
      <c r="B1471" s="76">
        <v>150</v>
      </c>
      <c r="C1471" s="76">
        <f>Balance[[#This Row],[COST]]/147</f>
        <v>1.0204081632653061</v>
      </c>
      <c r="D1471" s="93" t="s">
        <v>259</v>
      </c>
      <c r="E1471" s="94" t="s">
        <v>265</v>
      </c>
      <c r="F1471" s="2">
        <v>45573</v>
      </c>
      <c r="G1471" t="str">
        <f t="shared" si="46"/>
        <v>Oct</v>
      </c>
      <c r="H1471" t="str">
        <f t="shared" si="47"/>
        <v>2024</v>
      </c>
    </row>
    <row r="1472" spans="1:8" hidden="1" x14ac:dyDescent="0.35">
      <c r="A1472" t="s">
        <v>497</v>
      </c>
      <c r="B1472" s="76">
        <v>170</v>
      </c>
      <c r="C1472" s="76">
        <f>Balance[[#This Row],[COST]]/147</f>
        <v>1.1564625850340136</v>
      </c>
      <c r="D1472" s="93" t="s">
        <v>259</v>
      </c>
      <c r="E1472" s="94" t="s">
        <v>265</v>
      </c>
      <c r="F1472" s="2">
        <v>45573</v>
      </c>
      <c r="G1472" t="str">
        <f t="shared" si="46"/>
        <v>Oct</v>
      </c>
      <c r="H1472" t="str">
        <f t="shared" si="47"/>
        <v>2024</v>
      </c>
    </row>
    <row r="1473" spans="1:8" hidden="1" x14ac:dyDescent="0.35">
      <c r="A1473" t="s">
        <v>67</v>
      </c>
      <c r="B1473" s="76">
        <v>650</v>
      </c>
      <c r="C1473" s="76">
        <f>Balance[[#This Row],[COST]]/147</f>
        <v>4.4217687074829932</v>
      </c>
      <c r="D1473" s="1" t="s">
        <v>259</v>
      </c>
      <c r="E1473" s="27" t="s">
        <v>265</v>
      </c>
      <c r="F1473" s="2">
        <v>45574</v>
      </c>
      <c r="G1473" t="str">
        <f t="shared" si="46"/>
        <v>Oct</v>
      </c>
      <c r="H1473" t="str">
        <f t="shared" si="47"/>
        <v>2024</v>
      </c>
    </row>
    <row r="1474" spans="1:8" hidden="1" x14ac:dyDescent="0.35">
      <c r="A1474" t="s">
        <v>242</v>
      </c>
      <c r="B1474" s="76">
        <v>980</v>
      </c>
      <c r="C1474" s="76">
        <f>Balance[[#This Row],[COST]]/147</f>
        <v>6.666666666666667</v>
      </c>
      <c r="D1474" s="1" t="s">
        <v>259</v>
      </c>
      <c r="E1474" s="27" t="s">
        <v>265</v>
      </c>
      <c r="F1474" s="2">
        <v>45574</v>
      </c>
      <c r="G1474" t="str">
        <f t="shared" si="46"/>
        <v>Oct</v>
      </c>
      <c r="H1474" t="str">
        <f t="shared" si="47"/>
        <v>2024</v>
      </c>
    </row>
    <row r="1475" spans="1:8" hidden="1" x14ac:dyDescent="0.35">
      <c r="A1475" t="s">
        <v>8</v>
      </c>
      <c r="B1475" s="92">
        <v>1200</v>
      </c>
      <c r="C1475" s="76">
        <f>Balance[[#This Row],[COST]]/147</f>
        <v>8.1632653061224492</v>
      </c>
      <c r="D1475" s="93" t="s">
        <v>259</v>
      </c>
      <c r="E1475" s="94" t="s">
        <v>268</v>
      </c>
      <c r="F1475" s="87">
        <v>45574</v>
      </c>
      <c r="G1475" t="str">
        <f t="shared" si="46"/>
        <v>Oct</v>
      </c>
      <c r="H1475" t="str">
        <f t="shared" si="47"/>
        <v>2024</v>
      </c>
    </row>
    <row r="1476" spans="1:8" hidden="1" x14ac:dyDescent="0.35">
      <c r="A1476" t="s">
        <v>485</v>
      </c>
      <c r="B1476" s="92">
        <v>400</v>
      </c>
      <c r="C1476" s="76">
        <f>Balance[[#This Row],[COST]]/147</f>
        <v>2.7210884353741496</v>
      </c>
      <c r="D1476" s="93" t="s">
        <v>259</v>
      </c>
      <c r="E1476" s="94" t="s">
        <v>265</v>
      </c>
      <c r="F1476" s="87">
        <v>45574</v>
      </c>
      <c r="G1476" t="str">
        <f t="shared" si="46"/>
        <v>Oct</v>
      </c>
      <c r="H1476" t="str">
        <f t="shared" si="47"/>
        <v>2024</v>
      </c>
    </row>
    <row r="1477" spans="1:8" hidden="1" x14ac:dyDescent="0.35">
      <c r="A1477" t="s">
        <v>497</v>
      </c>
      <c r="B1477" s="92">
        <v>200</v>
      </c>
      <c r="C1477" s="76">
        <f>Balance[[#This Row],[COST]]/147</f>
        <v>1.3605442176870748</v>
      </c>
      <c r="D1477" s="93" t="s">
        <v>259</v>
      </c>
      <c r="E1477" s="94" t="s">
        <v>265</v>
      </c>
      <c r="F1477" s="87">
        <v>45574</v>
      </c>
      <c r="G1477" t="str">
        <f t="shared" si="46"/>
        <v>Oct</v>
      </c>
      <c r="H1477" t="str">
        <f t="shared" si="47"/>
        <v>2024</v>
      </c>
    </row>
    <row r="1478" spans="1:8" hidden="1" x14ac:dyDescent="0.35">
      <c r="A1478" t="s">
        <v>457</v>
      </c>
      <c r="B1478" s="92">
        <v>3000</v>
      </c>
      <c r="C1478" s="76">
        <f>Balance[[#This Row],[COST]]/147</f>
        <v>20.408163265306122</v>
      </c>
      <c r="D1478" s="93" t="s">
        <v>259</v>
      </c>
      <c r="E1478" s="94" t="s">
        <v>265</v>
      </c>
      <c r="F1478" s="87">
        <v>45574</v>
      </c>
      <c r="G1478" t="str">
        <f t="shared" si="46"/>
        <v>Oct</v>
      </c>
      <c r="H1478" t="str">
        <f t="shared" si="47"/>
        <v>2024</v>
      </c>
    </row>
    <row r="1479" spans="1:8" hidden="1" x14ac:dyDescent="0.35">
      <c r="A1479" t="s">
        <v>497</v>
      </c>
      <c r="B1479" s="92">
        <v>4000</v>
      </c>
      <c r="C1479" s="76">
        <f>Balance[[#This Row],[COST]]/147</f>
        <v>27.210884353741495</v>
      </c>
      <c r="D1479" s="93" t="s">
        <v>259</v>
      </c>
      <c r="E1479" s="94" t="s">
        <v>265</v>
      </c>
      <c r="F1479" s="87">
        <v>45574</v>
      </c>
      <c r="G1479" t="str">
        <f t="shared" si="46"/>
        <v>Oct</v>
      </c>
      <c r="H1479" t="str">
        <f t="shared" si="47"/>
        <v>2024</v>
      </c>
    </row>
    <row r="1480" spans="1:8" hidden="1" x14ac:dyDescent="0.35">
      <c r="A1480" t="s">
        <v>246</v>
      </c>
      <c r="B1480" s="76">
        <v>800</v>
      </c>
      <c r="C1480" s="76">
        <f>Balance[[#This Row],[COST]]/147</f>
        <v>5.4421768707482991</v>
      </c>
      <c r="D1480" s="1" t="s">
        <v>259</v>
      </c>
      <c r="E1480" s="27" t="s">
        <v>265</v>
      </c>
      <c r="F1480" s="2">
        <v>45577</v>
      </c>
      <c r="G1480" t="str">
        <f t="shared" si="46"/>
        <v>Oct</v>
      </c>
      <c r="H1480" t="str">
        <f t="shared" si="47"/>
        <v>2024</v>
      </c>
    </row>
    <row r="1481" spans="1:8" x14ac:dyDescent="0.35">
      <c r="A1481" t="s">
        <v>197</v>
      </c>
      <c r="B1481" s="95">
        <v>15000</v>
      </c>
      <c r="C1481" s="76">
        <f>Balance[[#This Row],[COST]]/147</f>
        <v>102.04081632653062</v>
      </c>
      <c r="D1481" s="1" t="s">
        <v>689</v>
      </c>
      <c r="E1481" s="27" t="s">
        <v>275</v>
      </c>
      <c r="F1481" s="87">
        <v>45577</v>
      </c>
      <c r="G1481" t="str">
        <f t="shared" si="46"/>
        <v>Oct</v>
      </c>
      <c r="H1481" t="str">
        <f t="shared" si="47"/>
        <v>2024</v>
      </c>
    </row>
    <row r="1482" spans="1:8" hidden="1" x14ac:dyDescent="0.35">
      <c r="A1482" t="s">
        <v>681</v>
      </c>
      <c r="B1482" s="95">
        <v>13500</v>
      </c>
      <c r="C1482" s="76">
        <f>Balance[[#This Row],[COST]]/147</f>
        <v>91.836734693877546</v>
      </c>
      <c r="D1482" s="1" t="s">
        <v>259</v>
      </c>
      <c r="E1482" s="44" t="s">
        <v>265</v>
      </c>
      <c r="F1482" s="87">
        <v>45579</v>
      </c>
      <c r="G1482" t="str">
        <f t="shared" si="46"/>
        <v>Oct</v>
      </c>
      <c r="H1482" t="str">
        <f t="shared" si="47"/>
        <v>2024</v>
      </c>
    </row>
    <row r="1483" spans="1:8" hidden="1" x14ac:dyDescent="0.35">
      <c r="A1483" t="s">
        <v>229</v>
      </c>
      <c r="B1483" s="76">
        <f>Balance[[#This Row],[Cost USD]]*157</f>
        <v>940.43000000000006</v>
      </c>
      <c r="C1483" s="76">
        <v>5.99</v>
      </c>
      <c r="D1483" s="76" t="s">
        <v>259</v>
      </c>
      <c r="E1483" s="27" t="s">
        <v>267</v>
      </c>
      <c r="F1483" s="87">
        <v>45580</v>
      </c>
      <c r="G1483" t="str">
        <f t="shared" si="46"/>
        <v>Oct</v>
      </c>
      <c r="H1483" t="str">
        <f t="shared" si="47"/>
        <v>2024</v>
      </c>
    </row>
    <row r="1484" spans="1:8" hidden="1" x14ac:dyDescent="0.35">
      <c r="A1484" t="s">
        <v>183</v>
      </c>
      <c r="B1484" s="95">
        <v>4000</v>
      </c>
      <c r="C1484" s="76">
        <f>Balance[[#This Row],[COST]]/147</f>
        <v>27.210884353741495</v>
      </c>
      <c r="D1484" s="1" t="s">
        <v>259</v>
      </c>
      <c r="E1484" s="44" t="s">
        <v>4</v>
      </c>
      <c r="F1484" s="2">
        <v>45582</v>
      </c>
      <c r="G1484" t="str">
        <f t="shared" si="46"/>
        <v>Oct</v>
      </c>
      <c r="H1484" t="str">
        <f t="shared" si="47"/>
        <v>2024</v>
      </c>
    </row>
    <row r="1485" spans="1:8" hidden="1" x14ac:dyDescent="0.35">
      <c r="A1485" t="s">
        <v>246</v>
      </c>
      <c r="B1485" s="76">
        <v>800</v>
      </c>
      <c r="C1485" s="76">
        <f>Balance[[#This Row],[COST]]/147</f>
        <v>5.4421768707482991</v>
      </c>
      <c r="D1485" s="1" t="s">
        <v>259</v>
      </c>
      <c r="E1485" s="27" t="s">
        <v>265</v>
      </c>
      <c r="F1485" s="2">
        <v>45582</v>
      </c>
      <c r="G1485" t="str">
        <f t="shared" si="46"/>
        <v>Oct</v>
      </c>
      <c r="H1485" t="str">
        <f t="shared" si="47"/>
        <v>2024</v>
      </c>
    </row>
    <row r="1486" spans="1:8" hidden="1" x14ac:dyDescent="0.35">
      <c r="A1486" t="s">
        <v>296</v>
      </c>
      <c r="B1486" s="76">
        <v>800</v>
      </c>
      <c r="C1486" s="76">
        <f>Balance[[#This Row],[COST]]/147</f>
        <v>5.4421768707482991</v>
      </c>
      <c r="D1486" s="1" t="s">
        <v>259</v>
      </c>
      <c r="E1486" s="27" t="s">
        <v>265</v>
      </c>
      <c r="F1486" s="87">
        <v>45583</v>
      </c>
      <c r="G1486" t="str">
        <f t="shared" si="46"/>
        <v>Oct</v>
      </c>
      <c r="H1486" t="str">
        <f t="shared" si="47"/>
        <v>2024</v>
      </c>
    </row>
    <row r="1487" spans="1:8" hidden="1" x14ac:dyDescent="0.35">
      <c r="A1487" t="s">
        <v>563</v>
      </c>
      <c r="B1487" s="92">
        <v>160</v>
      </c>
      <c r="C1487" s="76">
        <f>Balance[[#This Row],[COST]]/147</f>
        <v>1.08843537414966</v>
      </c>
      <c r="D1487" s="93" t="s">
        <v>259</v>
      </c>
      <c r="E1487" s="94" t="s">
        <v>265</v>
      </c>
      <c r="F1487" s="87">
        <v>45584</v>
      </c>
      <c r="G1487" t="str">
        <f t="shared" si="46"/>
        <v>Oct</v>
      </c>
      <c r="H1487" t="str">
        <f t="shared" si="47"/>
        <v>2024</v>
      </c>
    </row>
    <row r="1488" spans="1:8" hidden="1" x14ac:dyDescent="0.35">
      <c r="A1488" t="s">
        <v>497</v>
      </c>
      <c r="B1488" s="92">
        <v>180</v>
      </c>
      <c r="C1488" s="76">
        <f>Balance[[#This Row],[COST]]/147</f>
        <v>1.2244897959183674</v>
      </c>
      <c r="D1488" s="93" t="s">
        <v>259</v>
      </c>
      <c r="E1488" s="94" t="s">
        <v>265</v>
      </c>
      <c r="F1488" s="87">
        <v>45584</v>
      </c>
      <c r="G1488" t="str">
        <f t="shared" si="46"/>
        <v>Oct</v>
      </c>
      <c r="H1488" t="str">
        <f t="shared" si="47"/>
        <v>2024</v>
      </c>
    </row>
    <row r="1489" spans="1:8" hidden="1" x14ac:dyDescent="0.35">
      <c r="A1489" t="s">
        <v>534</v>
      </c>
      <c r="B1489" s="92">
        <v>100</v>
      </c>
      <c r="C1489" s="76">
        <f>Balance[[#This Row],[COST]]/147</f>
        <v>0.68027210884353739</v>
      </c>
      <c r="D1489" s="93" t="s">
        <v>259</v>
      </c>
      <c r="E1489" s="94" t="s">
        <v>265</v>
      </c>
      <c r="F1489" s="87">
        <v>45584</v>
      </c>
      <c r="G1489" t="str">
        <f t="shared" si="46"/>
        <v>Oct</v>
      </c>
      <c r="H1489" t="str">
        <f t="shared" si="47"/>
        <v>2024</v>
      </c>
    </row>
    <row r="1490" spans="1:8" hidden="1" x14ac:dyDescent="0.35">
      <c r="A1490" t="s">
        <v>650</v>
      </c>
      <c r="B1490" s="92">
        <v>140</v>
      </c>
      <c r="C1490" s="76">
        <f>Balance[[#This Row],[COST]]/147</f>
        <v>0.95238095238095233</v>
      </c>
      <c r="D1490" s="93" t="s">
        <v>259</v>
      </c>
      <c r="E1490" s="94" t="s">
        <v>265</v>
      </c>
      <c r="F1490" s="87">
        <v>45584</v>
      </c>
      <c r="G1490" t="str">
        <f t="shared" si="46"/>
        <v>Oct</v>
      </c>
      <c r="H1490" t="str">
        <f t="shared" si="47"/>
        <v>2024</v>
      </c>
    </row>
    <row r="1491" spans="1:8" hidden="1" x14ac:dyDescent="0.35">
      <c r="A1491" t="s">
        <v>129</v>
      </c>
      <c r="B1491" s="92">
        <v>1245</v>
      </c>
      <c r="C1491" s="76">
        <f>Balance[[#This Row],[COST]]/147</f>
        <v>8.4693877551020407</v>
      </c>
      <c r="D1491" s="93" t="s">
        <v>259</v>
      </c>
      <c r="E1491" s="94" t="s">
        <v>265</v>
      </c>
      <c r="F1491" s="87">
        <v>45585</v>
      </c>
      <c r="G1491" t="str">
        <f t="shared" si="46"/>
        <v>Oct</v>
      </c>
      <c r="H1491" t="str">
        <f t="shared" si="47"/>
        <v>2024</v>
      </c>
    </row>
    <row r="1492" spans="1:8" hidden="1" x14ac:dyDescent="0.35">
      <c r="A1492" t="s">
        <v>643</v>
      </c>
      <c r="B1492" s="92">
        <v>965</v>
      </c>
      <c r="C1492" s="76">
        <f>Balance[[#This Row],[COST]]/147</f>
        <v>6.5646258503401365</v>
      </c>
      <c r="D1492" s="93" t="s">
        <v>259</v>
      </c>
      <c r="E1492" s="94" t="s">
        <v>265</v>
      </c>
      <c r="F1492" s="87">
        <v>45586</v>
      </c>
      <c r="G1492" t="str">
        <f t="shared" si="46"/>
        <v>Oct</v>
      </c>
      <c r="H1492" t="str">
        <f t="shared" si="47"/>
        <v>2024</v>
      </c>
    </row>
    <row r="1493" spans="1:8" hidden="1" x14ac:dyDescent="0.35">
      <c r="A1493" t="s">
        <v>224</v>
      </c>
      <c r="B1493" s="76">
        <v>2500</v>
      </c>
      <c r="C1493" s="76">
        <f>Balance[[#This Row],[COST]]/147</f>
        <v>17.006802721088434</v>
      </c>
      <c r="D1493" s="97" t="s">
        <v>259</v>
      </c>
      <c r="E1493" s="89" t="s">
        <v>4</v>
      </c>
      <c r="F1493" s="87">
        <v>45587</v>
      </c>
      <c r="G1493" t="str">
        <f t="shared" si="46"/>
        <v>Oct</v>
      </c>
      <c r="H1493" t="str">
        <f t="shared" si="47"/>
        <v>2024</v>
      </c>
    </row>
    <row r="1494" spans="1:8" hidden="1" x14ac:dyDescent="0.35">
      <c r="A1494" t="s">
        <v>685</v>
      </c>
      <c r="B1494" s="76">
        <v>2000</v>
      </c>
      <c r="C1494" s="76">
        <f>Balance[[#This Row],[COST]]/147</f>
        <v>13.605442176870747</v>
      </c>
      <c r="D1494" s="97" t="s">
        <v>259</v>
      </c>
      <c r="E1494" s="89" t="s">
        <v>4</v>
      </c>
      <c r="F1494" s="87">
        <v>45587</v>
      </c>
      <c r="G1494" t="str">
        <f t="shared" si="46"/>
        <v>Oct</v>
      </c>
      <c r="H1494" t="str">
        <f t="shared" si="47"/>
        <v>2024</v>
      </c>
    </row>
    <row r="1495" spans="1:8" hidden="1" x14ac:dyDescent="0.35">
      <c r="A1495" t="s">
        <v>686</v>
      </c>
      <c r="B1495" s="76">
        <v>1800</v>
      </c>
      <c r="C1495" s="76">
        <f>Balance[[#This Row],[COST]]/147</f>
        <v>12.244897959183673</v>
      </c>
      <c r="D1495" s="97" t="s">
        <v>259</v>
      </c>
      <c r="E1495" s="89" t="s">
        <v>4</v>
      </c>
      <c r="F1495" s="2">
        <v>45587</v>
      </c>
      <c r="G1495" t="str">
        <f t="shared" si="46"/>
        <v>Oct</v>
      </c>
      <c r="H1495" t="str">
        <f t="shared" si="47"/>
        <v>2024</v>
      </c>
    </row>
    <row r="1496" spans="1:8" hidden="1" x14ac:dyDescent="0.35">
      <c r="A1496" t="s">
        <v>283</v>
      </c>
      <c r="B1496" s="76">
        <v>57040</v>
      </c>
      <c r="C1496" s="76">
        <f>Balance[[#This Row],[COST]]/147</f>
        <v>388.02721088435374</v>
      </c>
      <c r="D1496" s="76" t="s">
        <v>15</v>
      </c>
      <c r="E1496" s="27" t="s">
        <v>269</v>
      </c>
      <c r="F1496" s="87">
        <v>45588</v>
      </c>
      <c r="G1496" t="str">
        <f t="shared" si="46"/>
        <v>Oct</v>
      </c>
      <c r="H1496" t="str">
        <f t="shared" si="47"/>
        <v>2024</v>
      </c>
    </row>
    <row r="1497" spans="1:8" hidden="1" x14ac:dyDescent="0.35">
      <c r="A1497" t="s">
        <v>183</v>
      </c>
      <c r="B1497" s="92">
        <v>4000</v>
      </c>
      <c r="C1497" s="76">
        <f>Balance[[#This Row],[COST]]/147</f>
        <v>27.210884353741495</v>
      </c>
      <c r="D1497" s="93" t="s">
        <v>259</v>
      </c>
      <c r="E1497" s="94" t="s">
        <v>4</v>
      </c>
      <c r="F1497" s="87">
        <v>45589</v>
      </c>
      <c r="G1497" t="str">
        <f t="shared" si="46"/>
        <v>Oct</v>
      </c>
      <c r="H1497" t="str">
        <f t="shared" si="47"/>
        <v>2024</v>
      </c>
    </row>
    <row r="1498" spans="1:8" hidden="1" x14ac:dyDescent="0.35">
      <c r="A1498" t="s">
        <v>183</v>
      </c>
      <c r="B1498" s="92">
        <v>4000</v>
      </c>
      <c r="C1498" s="76">
        <f>Balance[[#This Row],[COST]]/147</f>
        <v>27.210884353741495</v>
      </c>
      <c r="D1498" s="97" t="s">
        <v>259</v>
      </c>
      <c r="E1498" s="89" t="s">
        <v>4</v>
      </c>
      <c r="F1498" s="87">
        <v>45589</v>
      </c>
      <c r="G1498" t="str">
        <f t="shared" si="46"/>
        <v>Oct</v>
      </c>
      <c r="H1498" t="str">
        <f t="shared" si="47"/>
        <v>2024</v>
      </c>
    </row>
    <row r="1499" spans="1:8" hidden="1" x14ac:dyDescent="0.35">
      <c r="A1499" t="s">
        <v>683</v>
      </c>
      <c r="B1499" s="76">
        <v>360</v>
      </c>
      <c r="C1499" s="76">
        <f>Balance[[#This Row],[COST]]/147</f>
        <v>2.4489795918367347</v>
      </c>
      <c r="D1499" s="1" t="s">
        <v>259</v>
      </c>
      <c r="E1499" s="27" t="s">
        <v>265</v>
      </c>
      <c r="F1499" s="87">
        <v>45590</v>
      </c>
      <c r="G1499" t="str">
        <f t="shared" si="46"/>
        <v>Oct</v>
      </c>
      <c r="H1499" t="str">
        <f t="shared" si="47"/>
        <v>2024</v>
      </c>
    </row>
    <row r="1500" spans="1:8" hidden="1" x14ac:dyDescent="0.35">
      <c r="A1500" t="s">
        <v>682</v>
      </c>
      <c r="B1500" s="92">
        <v>57000</v>
      </c>
      <c r="C1500" s="76">
        <f>Balance[[#This Row],[COST]]/147</f>
        <v>387.75510204081633</v>
      </c>
      <c r="D1500" s="93" t="s">
        <v>259</v>
      </c>
      <c r="E1500" s="94" t="s">
        <v>268</v>
      </c>
      <c r="F1500" s="87">
        <v>45591</v>
      </c>
      <c r="G1500" t="str">
        <f t="shared" si="46"/>
        <v>Oct</v>
      </c>
      <c r="H1500" t="str">
        <f t="shared" si="47"/>
        <v>2024</v>
      </c>
    </row>
    <row r="1501" spans="1:8" hidden="1" x14ac:dyDescent="0.35">
      <c r="A1501" t="s">
        <v>666</v>
      </c>
      <c r="B1501" s="92">
        <v>600</v>
      </c>
      <c r="C1501" s="76">
        <f>Balance[[#This Row],[COST]]/147</f>
        <v>4.0816326530612246</v>
      </c>
      <c r="D1501" s="93" t="s">
        <v>259</v>
      </c>
      <c r="E1501" s="94" t="s">
        <v>265</v>
      </c>
      <c r="F1501" s="87">
        <v>45591</v>
      </c>
      <c r="G1501" t="str">
        <f t="shared" si="46"/>
        <v>Oct</v>
      </c>
      <c r="H1501" t="str">
        <f t="shared" si="47"/>
        <v>2024</v>
      </c>
    </row>
    <row r="1502" spans="1:8" hidden="1" x14ac:dyDescent="0.35">
      <c r="A1502" t="s">
        <v>682</v>
      </c>
      <c r="B1502" s="92">
        <v>58000</v>
      </c>
      <c r="C1502" s="76">
        <f>Balance[[#This Row],[COST]]/147</f>
        <v>394.55782312925169</v>
      </c>
      <c r="D1502" s="97" t="s">
        <v>259</v>
      </c>
      <c r="E1502" s="89" t="s">
        <v>268</v>
      </c>
      <c r="F1502" s="2">
        <v>45591</v>
      </c>
      <c r="G1502" t="str">
        <f t="shared" si="46"/>
        <v>Oct</v>
      </c>
      <c r="H1502" t="str">
        <f t="shared" si="47"/>
        <v>2024</v>
      </c>
    </row>
    <row r="1503" spans="1:8" hidden="1" x14ac:dyDescent="0.35">
      <c r="A1503" t="s">
        <v>666</v>
      </c>
      <c r="B1503" s="92">
        <v>600</v>
      </c>
      <c r="C1503" s="76">
        <f>Balance[[#This Row],[COST]]/147</f>
        <v>4.0816326530612246</v>
      </c>
      <c r="D1503" s="97" t="s">
        <v>259</v>
      </c>
      <c r="E1503" s="89" t="s">
        <v>265</v>
      </c>
      <c r="F1503" s="2">
        <v>45591</v>
      </c>
      <c r="G1503" t="str">
        <f t="shared" ref="G1503:G1515" si="48">TEXT(F1503,"mmm")</f>
        <v>Oct</v>
      </c>
      <c r="H1503" t="str">
        <f t="shared" ref="H1503:H1515" si="49">TEXT(F1503,"yyy")</f>
        <v>2024</v>
      </c>
    </row>
    <row r="1504" spans="1:8" hidden="1" x14ac:dyDescent="0.35">
      <c r="A1504" t="s">
        <v>643</v>
      </c>
      <c r="B1504" s="92">
        <v>965</v>
      </c>
      <c r="C1504" s="76">
        <f>Balance[[#This Row],[COST]]/147</f>
        <v>6.5646258503401365</v>
      </c>
      <c r="D1504" s="93" t="s">
        <v>259</v>
      </c>
      <c r="E1504" s="94" t="s">
        <v>265</v>
      </c>
      <c r="F1504" s="87">
        <v>45592</v>
      </c>
      <c r="G1504" t="str">
        <f t="shared" si="48"/>
        <v>Oct</v>
      </c>
      <c r="H1504" t="str">
        <f t="shared" si="49"/>
        <v>2024</v>
      </c>
    </row>
    <row r="1505" spans="1:8" x14ac:dyDescent="0.35">
      <c r="A1505" t="s">
        <v>343</v>
      </c>
      <c r="B1505" s="92">
        <v>1300</v>
      </c>
      <c r="C1505" s="76">
        <f>Balance[[#This Row],[COST]]/147</f>
        <v>8.8435374149659864</v>
      </c>
      <c r="D1505" s="1" t="s">
        <v>689</v>
      </c>
      <c r="E1505" s="27" t="s">
        <v>275</v>
      </c>
      <c r="F1505" s="2">
        <v>45592</v>
      </c>
      <c r="G1505" t="str">
        <f t="shared" si="48"/>
        <v>Oct</v>
      </c>
      <c r="H1505" t="str">
        <f t="shared" si="49"/>
        <v>2024</v>
      </c>
    </row>
    <row r="1506" spans="1:8" hidden="1" x14ac:dyDescent="0.35">
      <c r="A1506" t="s">
        <v>49</v>
      </c>
      <c r="B1506" s="76">
        <v>25000</v>
      </c>
      <c r="C1506" s="76">
        <f>Balance[[#This Row],[COST]]/147</f>
        <v>170.06802721088437</v>
      </c>
      <c r="D1506" s="76" t="s">
        <v>263</v>
      </c>
      <c r="E1506" s="27" t="s">
        <v>274</v>
      </c>
      <c r="F1506" s="2">
        <v>45592</v>
      </c>
      <c r="G1506" t="str">
        <f t="shared" si="48"/>
        <v>Oct</v>
      </c>
      <c r="H1506" t="str">
        <f t="shared" si="49"/>
        <v>2024</v>
      </c>
    </row>
    <row r="1507" spans="1:8" hidden="1" x14ac:dyDescent="0.35">
      <c r="A1507" t="s">
        <v>42</v>
      </c>
      <c r="B1507" s="76">
        <v>7884</v>
      </c>
      <c r="C1507" s="76">
        <f>Balance[[#This Row],[COST]]/147</f>
        <v>53.632653061224488</v>
      </c>
      <c r="D1507" s="76" t="s">
        <v>42</v>
      </c>
      <c r="E1507" s="27" t="s">
        <v>270</v>
      </c>
      <c r="F1507" s="2">
        <v>45593</v>
      </c>
      <c r="G1507" t="str">
        <f t="shared" si="48"/>
        <v>Oct</v>
      </c>
      <c r="H1507" t="str">
        <f t="shared" si="49"/>
        <v>2024</v>
      </c>
    </row>
    <row r="1508" spans="1:8" x14ac:dyDescent="0.35">
      <c r="A1508" t="s">
        <v>524</v>
      </c>
      <c r="B1508" s="92">
        <v>8858</v>
      </c>
      <c r="C1508" s="76">
        <f>Balance[[#This Row],[COST]]/147</f>
        <v>60.258503401360542</v>
      </c>
      <c r="D1508" s="1" t="s">
        <v>689</v>
      </c>
      <c r="E1508" s="27" t="s">
        <v>275</v>
      </c>
      <c r="F1508" s="2">
        <v>45594</v>
      </c>
      <c r="G1508" t="str">
        <f t="shared" si="48"/>
        <v>Oct</v>
      </c>
      <c r="H1508" t="str">
        <f t="shared" si="49"/>
        <v>2024</v>
      </c>
    </row>
    <row r="1509" spans="1:8" x14ac:dyDescent="0.35">
      <c r="A1509" t="s">
        <v>684</v>
      </c>
      <c r="B1509" s="92">
        <v>2000</v>
      </c>
      <c r="C1509" s="76">
        <v>5.99</v>
      </c>
      <c r="D1509" s="1" t="s">
        <v>689</v>
      </c>
      <c r="E1509" s="27" t="s">
        <v>275</v>
      </c>
      <c r="F1509" s="2">
        <v>45595</v>
      </c>
      <c r="G1509" t="str">
        <f t="shared" si="48"/>
        <v>Oct</v>
      </c>
      <c r="H1509" t="str">
        <f t="shared" si="49"/>
        <v>2024</v>
      </c>
    </row>
    <row r="1510" spans="1:8" x14ac:dyDescent="0.35">
      <c r="A1510" t="s">
        <v>494</v>
      </c>
      <c r="B1510" s="76">
        <v>300</v>
      </c>
      <c r="C1510" s="76">
        <f>Balance[[#This Row],[COST]]/147</f>
        <v>2.0408163265306123</v>
      </c>
      <c r="D1510" s="1" t="s">
        <v>689</v>
      </c>
      <c r="E1510" s="27" t="s">
        <v>275</v>
      </c>
      <c r="F1510" s="2">
        <v>45596</v>
      </c>
      <c r="G1510" t="str">
        <f t="shared" si="48"/>
        <v>Oct</v>
      </c>
      <c r="H1510" t="str">
        <f t="shared" si="49"/>
        <v>2024</v>
      </c>
    </row>
    <row r="1511" spans="1:8" x14ac:dyDescent="0.35">
      <c r="A1511" t="s">
        <v>433</v>
      </c>
      <c r="B1511" s="76">
        <v>650</v>
      </c>
      <c r="C1511" s="76">
        <f>Balance[[#This Row],[COST]]/147</f>
        <v>4.4217687074829932</v>
      </c>
      <c r="D1511" s="1" t="s">
        <v>689</v>
      </c>
      <c r="E1511" s="27" t="s">
        <v>275</v>
      </c>
      <c r="F1511" s="2">
        <v>45596</v>
      </c>
      <c r="G1511" t="str">
        <f t="shared" si="48"/>
        <v>Oct</v>
      </c>
      <c r="H1511" t="str">
        <f t="shared" si="49"/>
        <v>2024</v>
      </c>
    </row>
    <row r="1512" spans="1:8" x14ac:dyDescent="0.35">
      <c r="A1512" t="s">
        <v>687</v>
      </c>
      <c r="B1512" s="76">
        <v>1000</v>
      </c>
      <c r="C1512" s="76">
        <f>Balance[[#This Row],[COST]]/147</f>
        <v>6.8027210884353737</v>
      </c>
      <c r="D1512" s="1" t="s">
        <v>689</v>
      </c>
      <c r="E1512" s="27" t="s">
        <v>275</v>
      </c>
      <c r="F1512" s="87">
        <v>45596</v>
      </c>
      <c r="G1512" t="str">
        <f t="shared" si="48"/>
        <v>Oct</v>
      </c>
      <c r="H1512" t="str">
        <f t="shared" si="49"/>
        <v>2024</v>
      </c>
    </row>
    <row r="1513" spans="1:8" hidden="1" x14ac:dyDescent="0.35">
      <c r="A1513" t="s">
        <v>3</v>
      </c>
      <c r="B1513" s="92">
        <v>750</v>
      </c>
      <c r="C1513" s="76">
        <f>Balance[[#This Row],[COST]]/147</f>
        <v>5.1020408163265305</v>
      </c>
      <c r="D1513" s="93" t="s">
        <v>259</v>
      </c>
      <c r="E1513" s="94" t="s">
        <v>265</v>
      </c>
      <c r="F1513" s="87">
        <v>45597</v>
      </c>
      <c r="G1513" t="str">
        <f t="shared" si="48"/>
        <v>Nov</v>
      </c>
      <c r="H1513" t="str">
        <f t="shared" si="49"/>
        <v>2024</v>
      </c>
    </row>
    <row r="1514" spans="1:8" hidden="1" x14ac:dyDescent="0.35">
      <c r="A1514" t="s">
        <v>183</v>
      </c>
      <c r="B1514" s="92">
        <v>1000</v>
      </c>
      <c r="C1514" s="76">
        <f>Balance[[#This Row],[COST]]/147</f>
        <v>6.8027210884353737</v>
      </c>
      <c r="D1514" s="93" t="s">
        <v>259</v>
      </c>
      <c r="E1514" s="94" t="s">
        <v>4</v>
      </c>
      <c r="F1514" s="87">
        <v>45598</v>
      </c>
      <c r="G1514" t="str">
        <f t="shared" si="48"/>
        <v>Nov</v>
      </c>
      <c r="H1514" t="str">
        <f t="shared" si="49"/>
        <v>2024</v>
      </c>
    </row>
    <row r="1515" spans="1:8" x14ac:dyDescent="0.35">
      <c r="A1515" t="s">
        <v>343</v>
      </c>
      <c r="B1515" s="76">
        <v>1260</v>
      </c>
      <c r="C1515" s="76">
        <f>Balance[[#This Row],[COST]]/147</f>
        <v>8.5714285714285712</v>
      </c>
      <c r="D1515" s="1" t="s">
        <v>689</v>
      </c>
      <c r="E1515" s="27" t="s">
        <v>275</v>
      </c>
      <c r="F1515" s="2">
        <v>45599</v>
      </c>
      <c r="G1515" t="str">
        <f t="shared" si="48"/>
        <v>Nov</v>
      </c>
      <c r="H1515" t="str">
        <f t="shared" si="49"/>
        <v>2024</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B9A69-5700-4E58-B516-F175FA4DADAC}">
  <dimension ref="A1:H112"/>
  <sheetViews>
    <sheetView topLeftCell="A95" workbookViewId="0">
      <selection activeCell="A110" sqref="A110:F112"/>
    </sheetView>
  </sheetViews>
  <sheetFormatPr defaultRowHeight="14.5" x14ac:dyDescent="0.35"/>
  <cols>
    <col min="1" max="1" width="29.453125" bestFit="1" customWidth="1"/>
    <col min="2" max="2" width="11.08984375" style="3" bestFit="1" customWidth="1"/>
    <col min="3" max="3" width="19.90625" customWidth="1"/>
    <col min="4" max="4" width="19.453125" style="44" customWidth="1"/>
    <col min="5" max="5" width="16.1796875" style="44" customWidth="1"/>
    <col min="6" max="6" width="10.453125" bestFit="1" customWidth="1"/>
    <col min="9" max="9" width="9.08984375" customWidth="1"/>
  </cols>
  <sheetData>
    <row r="1" spans="1:8" x14ac:dyDescent="0.35">
      <c r="A1" s="77" t="s">
        <v>10</v>
      </c>
      <c r="B1" s="86" t="s">
        <v>0</v>
      </c>
      <c r="C1" s="78" t="s">
        <v>279</v>
      </c>
      <c r="D1" s="88" t="s">
        <v>281</v>
      </c>
      <c r="E1" s="88" t="s">
        <v>266</v>
      </c>
      <c r="F1" s="79" t="s">
        <v>1</v>
      </c>
      <c r="G1" s="80" t="s">
        <v>70</v>
      </c>
      <c r="H1" s="80" t="s">
        <v>150</v>
      </c>
    </row>
    <row r="2" spans="1:8" x14ac:dyDescent="0.35">
      <c r="A2" s="81" t="s">
        <v>465</v>
      </c>
      <c r="B2" s="82">
        <v>550</v>
      </c>
      <c r="C2" s="82">
        <f>Table5[[#This Row],[COST]]/147</f>
        <v>3.7414965986394559</v>
      </c>
      <c r="D2" s="44" t="s">
        <v>264</v>
      </c>
      <c r="E2" s="44" t="s">
        <v>275</v>
      </c>
      <c r="F2" s="83">
        <v>45494</v>
      </c>
      <c r="G2" s="84" t="str">
        <f t="shared" ref="G2" si="0">TEXT(F2,"mmm")</f>
        <v>Jul</v>
      </c>
      <c r="H2" s="84" t="str">
        <f t="shared" ref="H2" si="1">TEXT(F2,"yyy")</f>
        <v>2024</v>
      </c>
    </row>
    <row r="3" spans="1:8" x14ac:dyDescent="0.35">
      <c r="A3" t="s">
        <v>425</v>
      </c>
      <c r="B3" s="61">
        <v>300</v>
      </c>
      <c r="C3" s="85">
        <f>Table5[[#This Row],[COST]]/147</f>
        <v>2.0408163265306123</v>
      </c>
      <c r="D3" s="44" t="s">
        <v>259</v>
      </c>
      <c r="E3" s="44" t="s">
        <v>265</v>
      </c>
      <c r="F3" s="83">
        <v>45494</v>
      </c>
      <c r="G3" s="84" t="str">
        <f t="shared" ref="G3:G6" si="2">TEXT(F3,"mmm")</f>
        <v>Jul</v>
      </c>
      <c r="H3" s="84" t="str">
        <f t="shared" ref="H3:H6" si="3">TEXT(F3,"yyy")</f>
        <v>2024</v>
      </c>
    </row>
    <row r="4" spans="1:8" x14ac:dyDescent="0.35">
      <c r="A4" t="s">
        <v>343</v>
      </c>
      <c r="B4" s="61">
        <v>1300</v>
      </c>
      <c r="C4" s="85">
        <f>Table5[[#This Row],[COST]]/147</f>
        <v>8.8435374149659864</v>
      </c>
      <c r="D4" s="44" t="s">
        <v>264</v>
      </c>
      <c r="E4" s="44" t="s">
        <v>275</v>
      </c>
      <c r="F4" s="83">
        <v>45494</v>
      </c>
      <c r="G4" s="84" t="str">
        <f t="shared" si="2"/>
        <v>Jul</v>
      </c>
      <c r="H4" s="84" t="str">
        <f t="shared" si="3"/>
        <v>2024</v>
      </c>
    </row>
    <row r="5" spans="1:8" x14ac:dyDescent="0.35">
      <c r="A5" t="s">
        <v>39</v>
      </c>
      <c r="B5" s="61">
        <v>3000</v>
      </c>
      <c r="C5" s="85">
        <f>Table5[[#This Row],[COST]]/147</f>
        <v>20.408163265306122</v>
      </c>
      <c r="D5" s="44" t="s">
        <v>264</v>
      </c>
      <c r="E5" s="44" t="s">
        <v>275</v>
      </c>
      <c r="F5" s="83">
        <v>45495</v>
      </c>
      <c r="G5" s="84" t="str">
        <f t="shared" si="2"/>
        <v>Jul</v>
      </c>
      <c r="H5" s="84" t="str">
        <f t="shared" si="3"/>
        <v>2024</v>
      </c>
    </row>
    <row r="6" spans="1:8" x14ac:dyDescent="0.35">
      <c r="A6" t="s">
        <v>40</v>
      </c>
      <c r="B6" s="61">
        <v>3500</v>
      </c>
      <c r="C6" s="85">
        <f>Table5[[#This Row],[COST]]/147</f>
        <v>23.80952380952381</v>
      </c>
      <c r="D6" s="44" t="s">
        <v>264</v>
      </c>
      <c r="E6" s="44" t="s">
        <v>275</v>
      </c>
      <c r="F6" s="83">
        <v>45495</v>
      </c>
      <c r="G6" s="84" t="str">
        <f t="shared" si="2"/>
        <v>Jul</v>
      </c>
      <c r="H6" s="84" t="str">
        <f t="shared" si="3"/>
        <v>2024</v>
      </c>
    </row>
    <row r="7" spans="1:8" x14ac:dyDescent="0.35">
      <c r="A7" t="s">
        <v>628</v>
      </c>
      <c r="B7" s="95">
        <v>1000</v>
      </c>
      <c r="C7" s="85">
        <f>Table5[[#This Row],[COST]]/147</f>
        <v>6.8027210884353737</v>
      </c>
      <c r="D7" s="44" t="s">
        <v>259</v>
      </c>
      <c r="E7" s="44" t="s">
        <v>268</v>
      </c>
      <c r="F7" s="87">
        <v>45499</v>
      </c>
      <c r="G7" s="96" t="str">
        <f t="shared" ref="G7:G13" si="4">TEXT(F7,"mmm")</f>
        <v>Jul</v>
      </c>
      <c r="H7" s="96" t="str">
        <f t="shared" ref="H7:H13" si="5">TEXT(F7,"yyy")</f>
        <v>2024</v>
      </c>
    </row>
    <row r="8" spans="1:8" x14ac:dyDescent="0.35">
      <c r="A8" t="s">
        <v>629</v>
      </c>
      <c r="B8" s="95">
        <v>400</v>
      </c>
      <c r="C8" s="85">
        <f>Table5[[#This Row],[COST]]/147</f>
        <v>2.7210884353741496</v>
      </c>
      <c r="D8" s="44" t="s">
        <v>264</v>
      </c>
      <c r="E8" s="44" t="s">
        <v>275</v>
      </c>
      <c r="F8" s="87">
        <v>45499</v>
      </c>
      <c r="G8" s="96" t="str">
        <f t="shared" si="4"/>
        <v>Jul</v>
      </c>
      <c r="H8" s="96" t="str">
        <f t="shared" si="5"/>
        <v>2024</v>
      </c>
    </row>
    <row r="9" spans="1:8" x14ac:dyDescent="0.35">
      <c r="A9" t="s">
        <v>183</v>
      </c>
      <c r="B9" s="95">
        <v>4000</v>
      </c>
      <c r="C9" s="85">
        <f>Table5[[#This Row],[COST]]/147</f>
        <v>27.210884353741495</v>
      </c>
      <c r="D9" s="44" t="s">
        <v>259</v>
      </c>
      <c r="E9" s="44" t="s">
        <v>4</v>
      </c>
      <c r="F9" s="87">
        <v>45501</v>
      </c>
      <c r="G9" s="96" t="str">
        <f t="shared" si="4"/>
        <v>Jul</v>
      </c>
      <c r="H9" s="96" t="str">
        <f t="shared" si="5"/>
        <v>2024</v>
      </c>
    </row>
    <row r="10" spans="1:8" x14ac:dyDescent="0.35">
      <c r="A10" t="s">
        <v>67</v>
      </c>
      <c r="B10" s="95">
        <v>5000</v>
      </c>
      <c r="C10" s="85">
        <f>Table5[[#This Row],[COST]]/147</f>
        <v>34.013605442176868</v>
      </c>
      <c r="D10" s="44" t="s">
        <v>259</v>
      </c>
      <c r="E10" s="44" t="s">
        <v>265</v>
      </c>
      <c r="F10" s="87">
        <v>45501</v>
      </c>
      <c r="G10" s="96" t="str">
        <f t="shared" si="4"/>
        <v>Jul</v>
      </c>
      <c r="H10" s="96" t="str">
        <f t="shared" si="5"/>
        <v>2024</v>
      </c>
    </row>
    <row r="11" spans="1:8" x14ac:dyDescent="0.35">
      <c r="A11" t="s">
        <v>631</v>
      </c>
      <c r="B11" s="95">
        <v>700</v>
      </c>
      <c r="C11" s="85">
        <f>Table5[[#This Row],[COST]]/147</f>
        <v>4.7619047619047619</v>
      </c>
      <c r="D11" s="44" t="s">
        <v>259</v>
      </c>
      <c r="E11" s="44" t="s">
        <v>265</v>
      </c>
      <c r="F11" s="87">
        <v>45501</v>
      </c>
      <c r="G11" s="96" t="str">
        <f t="shared" si="4"/>
        <v>Jul</v>
      </c>
      <c r="H11" s="96" t="str">
        <f t="shared" si="5"/>
        <v>2024</v>
      </c>
    </row>
    <row r="12" spans="1:8" x14ac:dyDescent="0.35">
      <c r="A12" t="s">
        <v>524</v>
      </c>
      <c r="B12" s="95">
        <v>4380</v>
      </c>
      <c r="C12" s="85">
        <f>Table5[[#This Row],[COST]]/147</f>
        <v>29.795918367346939</v>
      </c>
      <c r="D12" s="44" t="s">
        <v>264</v>
      </c>
      <c r="E12" s="44" t="s">
        <v>275</v>
      </c>
      <c r="F12" s="87">
        <v>45501</v>
      </c>
      <c r="G12" s="96" t="str">
        <f t="shared" si="4"/>
        <v>Jul</v>
      </c>
      <c r="H12" s="96" t="str">
        <f t="shared" si="5"/>
        <v>2024</v>
      </c>
    </row>
    <row r="13" spans="1:8" x14ac:dyDescent="0.35">
      <c r="A13" t="s">
        <v>457</v>
      </c>
      <c r="B13" s="95">
        <v>4600</v>
      </c>
      <c r="C13" s="85">
        <f>Table5[[#This Row],[COST]]/147</f>
        <v>31.292517006802722</v>
      </c>
      <c r="D13" s="44" t="s">
        <v>264</v>
      </c>
      <c r="E13" s="44" t="s">
        <v>275</v>
      </c>
      <c r="F13" s="87">
        <v>45501</v>
      </c>
      <c r="G13" s="96" t="str">
        <f t="shared" si="4"/>
        <v>Jul</v>
      </c>
      <c r="H13" s="96" t="str">
        <f t="shared" si="5"/>
        <v>2024</v>
      </c>
    </row>
    <row r="14" spans="1:8" x14ac:dyDescent="0.35">
      <c r="A14" t="s">
        <v>114</v>
      </c>
      <c r="B14" s="95">
        <v>1310</v>
      </c>
      <c r="C14" s="85">
        <f>Table5[[#This Row],[COST]]/147</f>
        <v>8.9115646258503407</v>
      </c>
      <c r="D14" s="44" t="s">
        <v>259</v>
      </c>
      <c r="E14" s="44" t="s">
        <v>265</v>
      </c>
      <c r="F14" s="87">
        <v>45503</v>
      </c>
      <c r="G14" s="96" t="str">
        <f>TEXT(F14,"mmm")</f>
        <v>Jul</v>
      </c>
      <c r="H14" s="96" t="str">
        <f>TEXT(F14,"yyy")</f>
        <v>2024</v>
      </c>
    </row>
    <row r="15" spans="1:8" x14ac:dyDescent="0.35">
      <c r="A15" t="s">
        <v>633</v>
      </c>
      <c r="B15" s="95">
        <v>4485</v>
      </c>
      <c r="C15" s="85">
        <f>Table5[[#This Row],[COST]]/147</f>
        <v>30.510204081632654</v>
      </c>
      <c r="D15" s="44" t="s">
        <v>264</v>
      </c>
      <c r="E15" s="44" t="s">
        <v>275</v>
      </c>
      <c r="F15" s="87">
        <v>45503</v>
      </c>
      <c r="G15" s="96" t="str">
        <f>TEXT(F15,"mmm")</f>
        <v>Jul</v>
      </c>
      <c r="H15" s="96" t="str">
        <f>TEXT(F15,"yyy")</f>
        <v>2024</v>
      </c>
    </row>
    <row r="16" spans="1:8" x14ac:dyDescent="0.35">
      <c r="A16" t="s">
        <v>114</v>
      </c>
      <c r="B16" s="95">
        <v>1490</v>
      </c>
      <c r="C16" s="85">
        <f>Table5[[#This Row],[COST]]/147</f>
        <v>10.136054421768707</v>
      </c>
      <c r="D16" s="44" t="s">
        <v>259</v>
      </c>
      <c r="E16" s="44" t="s">
        <v>265</v>
      </c>
      <c r="F16" s="87">
        <v>45502</v>
      </c>
      <c r="G16" s="96" t="str">
        <f>TEXT(F16,"mmm")</f>
        <v>Jul</v>
      </c>
      <c r="H16" s="96" t="str">
        <f>TEXT(F16,"yyy")</f>
        <v>2024</v>
      </c>
    </row>
    <row r="17" spans="1:8" x14ac:dyDescent="0.35">
      <c r="A17" t="s">
        <v>419</v>
      </c>
      <c r="B17" s="98">
        <v>1830</v>
      </c>
      <c r="C17" s="98">
        <f>Table5[[#This Row],[COST]]/147</f>
        <v>12.448979591836734</v>
      </c>
      <c r="D17" s="44" t="s">
        <v>264</v>
      </c>
      <c r="E17" s="44" t="s">
        <v>275</v>
      </c>
      <c r="F17" s="83">
        <v>45504</v>
      </c>
      <c r="G17" s="84" t="str">
        <f t="shared" ref="G17:G19" si="6">TEXT(F17,"mmm")</f>
        <v>Jul</v>
      </c>
      <c r="H17" s="84" t="str">
        <f t="shared" ref="H17:H19" si="7">TEXT(F17,"yyy")</f>
        <v>2024</v>
      </c>
    </row>
    <row r="18" spans="1:8" x14ac:dyDescent="0.35">
      <c r="A18" t="s">
        <v>560</v>
      </c>
      <c r="B18" s="98">
        <v>1260</v>
      </c>
      <c r="C18" s="98">
        <f>Table5[[#This Row],[COST]]/147</f>
        <v>8.5714285714285712</v>
      </c>
      <c r="D18" s="44" t="s">
        <v>264</v>
      </c>
      <c r="E18" s="44" t="s">
        <v>275</v>
      </c>
      <c r="F18" s="83">
        <v>45504</v>
      </c>
      <c r="G18" s="84" t="str">
        <f t="shared" si="6"/>
        <v>Jul</v>
      </c>
      <c r="H18" s="84" t="str">
        <f t="shared" si="7"/>
        <v>2024</v>
      </c>
    </row>
    <row r="19" spans="1:8" x14ac:dyDescent="0.35">
      <c r="A19" t="s">
        <v>635</v>
      </c>
      <c r="B19" s="98">
        <v>745</v>
      </c>
      <c r="C19" s="98">
        <f>Table5[[#This Row],[COST]]/147</f>
        <v>5.0680272108843534</v>
      </c>
      <c r="D19" s="44" t="s">
        <v>264</v>
      </c>
      <c r="E19" s="44" t="s">
        <v>275</v>
      </c>
      <c r="F19" s="83">
        <v>45504</v>
      </c>
      <c r="G19" s="96" t="str">
        <f t="shared" si="6"/>
        <v>Jul</v>
      </c>
      <c r="H19" s="96" t="str">
        <f t="shared" si="7"/>
        <v>2024</v>
      </c>
    </row>
    <row r="20" spans="1:8" x14ac:dyDescent="0.35">
      <c r="A20" t="s">
        <v>636</v>
      </c>
      <c r="B20" s="95">
        <v>20000</v>
      </c>
      <c r="C20" s="85">
        <f>Table5[[#This Row],[COST]]/147</f>
        <v>136.05442176870747</v>
      </c>
      <c r="D20" s="44" t="s">
        <v>259</v>
      </c>
      <c r="E20" s="44" t="s">
        <v>265</v>
      </c>
      <c r="F20" s="83">
        <v>45504</v>
      </c>
      <c r="G20" s="96" t="str">
        <f t="shared" ref="G20:G31" si="8">TEXT(F20,"mmm")</f>
        <v>Jul</v>
      </c>
      <c r="H20" s="96" t="str">
        <f t="shared" ref="H20:H31" si="9">TEXT(F20,"yyy")</f>
        <v>2024</v>
      </c>
    </row>
    <row r="21" spans="1:8" x14ac:dyDescent="0.35">
      <c r="A21" t="s">
        <v>183</v>
      </c>
      <c r="B21" s="95">
        <v>4000</v>
      </c>
      <c r="C21" s="85">
        <f>Table5[[#This Row],[COST]]/147</f>
        <v>27.210884353741495</v>
      </c>
      <c r="D21" s="44" t="s">
        <v>259</v>
      </c>
      <c r="E21" s="44" t="s">
        <v>4</v>
      </c>
      <c r="F21" s="87">
        <v>45506</v>
      </c>
      <c r="G21" s="96" t="str">
        <f t="shared" si="8"/>
        <v>Aug</v>
      </c>
      <c r="H21" s="96" t="str">
        <f t="shared" si="9"/>
        <v>2024</v>
      </c>
    </row>
    <row r="22" spans="1:8" x14ac:dyDescent="0.35">
      <c r="A22" t="s">
        <v>114</v>
      </c>
      <c r="B22" s="95">
        <v>1490</v>
      </c>
      <c r="C22" s="85">
        <f>Table5[[#This Row],[COST]]/147</f>
        <v>10.136054421768707</v>
      </c>
      <c r="D22" s="44" t="s">
        <v>259</v>
      </c>
      <c r="E22" s="44" t="s">
        <v>265</v>
      </c>
      <c r="F22" s="87">
        <v>45508</v>
      </c>
      <c r="G22" s="96" t="str">
        <f t="shared" si="8"/>
        <v>Aug</v>
      </c>
      <c r="H22" s="96" t="str">
        <f t="shared" si="9"/>
        <v>2024</v>
      </c>
    </row>
    <row r="23" spans="1:8" x14ac:dyDescent="0.35">
      <c r="A23" t="s">
        <v>457</v>
      </c>
      <c r="B23" s="95">
        <v>1700</v>
      </c>
      <c r="C23" s="85">
        <f>Table5[[#This Row],[COST]]/147</f>
        <v>11.564625850340136</v>
      </c>
      <c r="D23" s="44" t="s">
        <v>259</v>
      </c>
      <c r="E23" s="44" t="s">
        <v>265</v>
      </c>
      <c r="F23" s="87">
        <v>45508</v>
      </c>
      <c r="G23" s="96" t="str">
        <f t="shared" si="8"/>
        <v>Aug</v>
      </c>
      <c r="H23" s="96" t="str">
        <f t="shared" si="9"/>
        <v>2024</v>
      </c>
    </row>
    <row r="24" spans="1:8" x14ac:dyDescent="0.35">
      <c r="A24" t="s">
        <v>497</v>
      </c>
      <c r="B24" s="95">
        <v>4000</v>
      </c>
      <c r="C24" s="85">
        <f>Table5[[#This Row],[COST]]/147</f>
        <v>27.210884353741495</v>
      </c>
      <c r="D24" s="44" t="s">
        <v>259</v>
      </c>
      <c r="E24" s="44" t="s">
        <v>265</v>
      </c>
      <c r="F24" s="87">
        <v>45508</v>
      </c>
      <c r="G24" s="96" t="str">
        <f t="shared" si="8"/>
        <v>Aug</v>
      </c>
      <c r="H24" s="96" t="str">
        <f t="shared" si="9"/>
        <v>2024</v>
      </c>
    </row>
    <row r="25" spans="1:8" x14ac:dyDescent="0.35">
      <c r="A25" t="s">
        <v>504</v>
      </c>
      <c r="B25" s="95">
        <v>1600</v>
      </c>
      <c r="C25" s="85">
        <f>Table5[[#This Row],[COST]]/147</f>
        <v>10.884353741496598</v>
      </c>
      <c r="D25" s="44" t="s">
        <v>264</v>
      </c>
      <c r="E25" s="44" t="s">
        <v>275</v>
      </c>
      <c r="F25" s="87">
        <v>45509</v>
      </c>
      <c r="G25" s="96" t="str">
        <f t="shared" si="8"/>
        <v>Aug</v>
      </c>
      <c r="H25" s="96" t="str">
        <f t="shared" si="9"/>
        <v>2024</v>
      </c>
    </row>
    <row r="26" spans="1:8" x14ac:dyDescent="0.35">
      <c r="A26" t="s">
        <v>183</v>
      </c>
      <c r="B26" s="95">
        <v>4000</v>
      </c>
      <c r="C26" s="85">
        <f>Table5[[#This Row],[COST]]/147</f>
        <v>27.210884353741495</v>
      </c>
      <c r="D26" s="44" t="s">
        <v>259</v>
      </c>
      <c r="E26" s="44" t="s">
        <v>4</v>
      </c>
      <c r="F26" s="87">
        <v>45513</v>
      </c>
      <c r="G26" s="96" t="str">
        <f t="shared" si="8"/>
        <v>Aug</v>
      </c>
      <c r="H26" s="96" t="str">
        <f t="shared" si="9"/>
        <v>2024</v>
      </c>
    </row>
    <row r="27" spans="1:8" x14ac:dyDescent="0.35">
      <c r="A27" t="s">
        <v>639</v>
      </c>
      <c r="B27" s="95">
        <v>200</v>
      </c>
      <c r="C27" s="85">
        <f>Table5[[#This Row],[COST]]/147</f>
        <v>1.3605442176870748</v>
      </c>
      <c r="D27" s="44" t="s">
        <v>259</v>
      </c>
      <c r="E27" s="44" t="s">
        <v>265</v>
      </c>
      <c r="F27" s="87">
        <v>45511</v>
      </c>
      <c r="G27" s="96" t="str">
        <f t="shared" si="8"/>
        <v>Aug</v>
      </c>
      <c r="H27" s="96" t="str">
        <f t="shared" si="9"/>
        <v>2024</v>
      </c>
    </row>
    <row r="28" spans="1:8" x14ac:dyDescent="0.35">
      <c r="A28" t="s">
        <v>640</v>
      </c>
      <c r="B28" s="95">
        <v>2000</v>
      </c>
      <c r="C28" s="85">
        <f>Table5[[#This Row],[COST]]/147</f>
        <v>13.605442176870747</v>
      </c>
      <c r="D28" s="44" t="s">
        <v>264</v>
      </c>
      <c r="E28" s="44" t="s">
        <v>275</v>
      </c>
      <c r="F28" s="87">
        <v>45511</v>
      </c>
      <c r="G28" s="96" t="str">
        <f t="shared" si="8"/>
        <v>Aug</v>
      </c>
      <c r="H28" s="96" t="str">
        <f t="shared" si="9"/>
        <v>2024</v>
      </c>
    </row>
    <row r="29" spans="1:8" x14ac:dyDescent="0.35">
      <c r="A29" t="s">
        <v>639</v>
      </c>
      <c r="B29" s="95">
        <v>400</v>
      </c>
      <c r="C29" s="85">
        <f>Table5[[#This Row],[COST]]/147</f>
        <v>2.7210884353741496</v>
      </c>
      <c r="D29" s="44" t="s">
        <v>259</v>
      </c>
      <c r="E29" s="44" t="s">
        <v>265</v>
      </c>
      <c r="F29" s="87">
        <v>45510</v>
      </c>
      <c r="G29" s="96" t="str">
        <f t="shared" si="8"/>
        <v>Aug</v>
      </c>
      <c r="H29" s="96" t="str">
        <f t="shared" si="9"/>
        <v>2024</v>
      </c>
    </row>
    <row r="30" spans="1:8" x14ac:dyDescent="0.35">
      <c r="A30" t="s">
        <v>641</v>
      </c>
      <c r="B30" s="95">
        <v>1600</v>
      </c>
      <c r="C30" s="85">
        <f>Table5[[#This Row],[COST]]/147</f>
        <v>10.884353741496598</v>
      </c>
      <c r="D30" s="44" t="s">
        <v>259</v>
      </c>
      <c r="E30" s="44" t="s">
        <v>265</v>
      </c>
      <c r="F30" s="87">
        <v>45510</v>
      </c>
      <c r="G30" s="96" t="str">
        <f t="shared" si="8"/>
        <v>Aug</v>
      </c>
      <c r="H30" s="96" t="str">
        <f t="shared" si="9"/>
        <v>2024</v>
      </c>
    </row>
    <row r="31" spans="1:8" x14ac:dyDescent="0.35">
      <c r="A31" t="s">
        <v>642</v>
      </c>
      <c r="B31" s="95">
        <v>1560</v>
      </c>
      <c r="C31" s="85">
        <f>Table5[[#This Row],[COST]]/147</f>
        <v>10.612244897959183</v>
      </c>
      <c r="D31" s="44" t="s">
        <v>259</v>
      </c>
      <c r="E31" s="44" t="s">
        <v>268</v>
      </c>
      <c r="F31" s="87">
        <v>45500</v>
      </c>
      <c r="G31" s="96" t="str">
        <f t="shared" si="8"/>
        <v>Jul</v>
      </c>
      <c r="H31" s="96" t="str">
        <f t="shared" si="9"/>
        <v>2024</v>
      </c>
    </row>
    <row r="32" spans="1:8" x14ac:dyDescent="0.35">
      <c r="A32" t="s">
        <v>643</v>
      </c>
      <c r="B32" s="95">
        <v>1945</v>
      </c>
      <c r="C32" s="85">
        <f>Table5[[#This Row],[COST]]/147</f>
        <v>13.231292517006803</v>
      </c>
      <c r="D32" s="44" t="s">
        <v>259</v>
      </c>
      <c r="E32" s="44" t="s">
        <v>265</v>
      </c>
      <c r="F32" s="87">
        <v>45515</v>
      </c>
      <c r="G32" s="96" t="str">
        <f t="shared" ref="G32:G39" si="10">TEXT(F32,"mmm")</f>
        <v>Aug</v>
      </c>
      <c r="H32" s="96" t="str">
        <f t="shared" ref="H32:H39" si="11">TEXT(F32,"yyy")</f>
        <v>2024</v>
      </c>
    </row>
    <row r="33" spans="1:8" x14ac:dyDescent="0.35">
      <c r="A33" t="s">
        <v>644</v>
      </c>
      <c r="B33" s="95">
        <v>6335</v>
      </c>
      <c r="C33" s="85">
        <f>Table5[[#This Row],[COST]]/147</f>
        <v>43.095238095238095</v>
      </c>
      <c r="D33" s="44" t="s">
        <v>259</v>
      </c>
      <c r="E33" s="44" t="s">
        <v>268</v>
      </c>
      <c r="F33" s="87">
        <v>45514</v>
      </c>
      <c r="G33" s="96" t="str">
        <f t="shared" si="10"/>
        <v>Aug</v>
      </c>
      <c r="H33" s="96" t="str">
        <f t="shared" si="11"/>
        <v>2024</v>
      </c>
    </row>
    <row r="34" spans="1:8" x14ac:dyDescent="0.35">
      <c r="A34" t="s">
        <v>645</v>
      </c>
      <c r="B34" s="95">
        <v>3300</v>
      </c>
      <c r="C34" s="85">
        <f>Table5[[#This Row],[COST]]/147</f>
        <v>22.448979591836736</v>
      </c>
      <c r="D34" s="44" t="s">
        <v>259</v>
      </c>
      <c r="E34" s="44" t="s">
        <v>268</v>
      </c>
      <c r="F34" s="87">
        <v>45514</v>
      </c>
      <c r="G34" s="96" t="str">
        <f t="shared" si="10"/>
        <v>Aug</v>
      </c>
      <c r="H34" s="96" t="str">
        <f t="shared" si="11"/>
        <v>2024</v>
      </c>
    </row>
    <row r="35" spans="1:8" x14ac:dyDescent="0.35">
      <c r="A35" t="s">
        <v>646</v>
      </c>
      <c r="B35" s="95">
        <v>1100</v>
      </c>
      <c r="C35" s="85">
        <f>Table5[[#This Row],[COST]]/147</f>
        <v>7.4829931972789119</v>
      </c>
      <c r="D35" s="44" t="s">
        <v>259</v>
      </c>
      <c r="E35" s="44" t="s">
        <v>265</v>
      </c>
      <c r="F35" s="87">
        <v>45514</v>
      </c>
      <c r="G35" s="96" t="str">
        <f t="shared" si="10"/>
        <v>Aug</v>
      </c>
      <c r="H35" s="96" t="str">
        <f t="shared" si="11"/>
        <v>2024</v>
      </c>
    </row>
    <row r="36" spans="1:8" x14ac:dyDescent="0.35">
      <c r="A36" t="s">
        <v>647</v>
      </c>
      <c r="B36" s="95">
        <v>550</v>
      </c>
      <c r="C36" s="85">
        <f>Table5[[#This Row],[COST]]/147</f>
        <v>3.7414965986394559</v>
      </c>
      <c r="D36" s="44" t="s">
        <v>259</v>
      </c>
      <c r="E36" s="44" t="s">
        <v>265</v>
      </c>
      <c r="F36" s="87">
        <v>45514</v>
      </c>
      <c r="G36" s="96" t="str">
        <f t="shared" si="10"/>
        <v>Aug</v>
      </c>
      <c r="H36" s="96" t="str">
        <f t="shared" si="11"/>
        <v>2024</v>
      </c>
    </row>
    <row r="37" spans="1:8" x14ac:dyDescent="0.35">
      <c r="A37" t="s">
        <v>129</v>
      </c>
      <c r="B37" s="95">
        <v>1250</v>
      </c>
      <c r="C37" s="85">
        <f>Table5[[#This Row],[COST]]/147</f>
        <v>8.5034013605442169</v>
      </c>
      <c r="D37" s="44" t="s">
        <v>259</v>
      </c>
      <c r="E37" s="44" t="s">
        <v>265</v>
      </c>
      <c r="F37" s="87">
        <v>45514</v>
      </c>
      <c r="G37" s="96" t="str">
        <f t="shared" si="10"/>
        <v>Aug</v>
      </c>
      <c r="H37" s="96" t="str">
        <f t="shared" si="11"/>
        <v>2024</v>
      </c>
    </row>
    <row r="38" spans="1:8" x14ac:dyDescent="0.35">
      <c r="A38" t="s">
        <v>114</v>
      </c>
      <c r="B38" s="95">
        <v>1740</v>
      </c>
      <c r="C38" s="85">
        <f>Table5[[#This Row],[COST]]/147</f>
        <v>11.836734693877551</v>
      </c>
      <c r="D38" s="44" t="s">
        <v>259</v>
      </c>
      <c r="E38" s="44" t="s">
        <v>265</v>
      </c>
      <c r="F38" s="87">
        <v>45516</v>
      </c>
      <c r="G38" s="96" t="str">
        <f t="shared" si="10"/>
        <v>Aug</v>
      </c>
      <c r="H38" s="96" t="str">
        <f t="shared" si="11"/>
        <v>2024</v>
      </c>
    </row>
    <row r="39" spans="1:8" x14ac:dyDescent="0.35">
      <c r="A39" t="s">
        <v>648</v>
      </c>
      <c r="B39" s="95">
        <v>29800</v>
      </c>
      <c r="C39" s="85">
        <f>Table5[[#This Row],[COST]]/147</f>
        <v>202.72108843537416</v>
      </c>
      <c r="D39" s="44" t="s">
        <v>264</v>
      </c>
      <c r="E39" s="44" t="s">
        <v>275</v>
      </c>
      <c r="F39" s="87">
        <v>45517</v>
      </c>
      <c r="G39" s="96" t="str">
        <f t="shared" si="10"/>
        <v>Aug</v>
      </c>
      <c r="H39" s="96" t="str">
        <f t="shared" si="11"/>
        <v>2024</v>
      </c>
    </row>
    <row r="40" spans="1:8" x14ac:dyDescent="0.35">
      <c r="A40" t="s">
        <v>562</v>
      </c>
      <c r="B40" s="95">
        <v>600</v>
      </c>
      <c r="C40" s="85">
        <f>Table5[[#This Row],[COST]]/147</f>
        <v>4.0816326530612246</v>
      </c>
      <c r="D40" s="44" t="s">
        <v>259</v>
      </c>
      <c r="E40" s="44" t="s">
        <v>265</v>
      </c>
      <c r="F40" s="87">
        <v>45519</v>
      </c>
      <c r="G40" s="96" t="str">
        <f t="shared" ref="G40:G45" si="12">TEXT(F40,"mmm")</f>
        <v>Aug</v>
      </c>
      <c r="H40" s="96" t="str">
        <f t="shared" ref="H40:H45" si="13">TEXT(F40,"yyy")</f>
        <v>2024</v>
      </c>
    </row>
    <row r="41" spans="1:8" x14ac:dyDescent="0.35">
      <c r="A41" t="s">
        <v>649</v>
      </c>
      <c r="B41" s="95">
        <v>600</v>
      </c>
      <c r="C41" s="85">
        <f>Table5[[#This Row],[COST]]/147</f>
        <v>4.0816326530612246</v>
      </c>
      <c r="D41" s="44" t="s">
        <v>259</v>
      </c>
      <c r="E41" s="44" t="s">
        <v>265</v>
      </c>
      <c r="F41" s="87">
        <v>45519</v>
      </c>
      <c r="G41" s="96" t="str">
        <f t="shared" si="12"/>
        <v>Aug</v>
      </c>
      <c r="H41" s="96" t="str">
        <f t="shared" si="13"/>
        <v>2024</v>
      </c>
    </row>
    <row r="42" spans="1:8" x14ac:dyDescent="0.35">
      <c r="A42" t="s">
        <v>650</v>
      </c>
      <c r="B42" s="95">
        <v>80</v>
      </c>
      <c r="C42" s="85">
        <f>Table5[[#This Row],[COST]]/147</f>
        <v>0.54421768707482998</v>
      </c>
      <c r="D42" s="44" t="s">
        <v>259</v>
      </c>
      <c r="E42" s="44" t="s">
        <v>265</v>
      </c>
      <c r="F42" s="87">
        <v>45519</v>
      </c>
      <c r="G42" s="96" t="str">
        <f t="shared" si="12"/>
        <v>Aug</v>
      </c>
      <c r="H42" s="96" t="str">
        <f t="shared" si="13"/>
        <v>2024</v>
      </c>
    </row>
    <row r="43" spans="1:8" x14ac:dyDescent="0.35">
      <c r="A43" t="s">
        <v>114</v>
      </c>
      <c r="B43" s="95">
        <v>2000</v>
      </c>
      <c r="C43" s="85">
        <f>Table5[[#This Row],[COST]]/147</f>
        <v>13.605442176870747</v>
      </c>
      <c r="D43" s="44" t="s">
        <v>259</v>
      </c>
      <c r="E43" s="44" t="s">
        <v>265</v>
      </c>
      <c r="F43" s="87">
        <v>45518</v>
      </c>
      <c r="G43" s="96" t="str">
        <f t="shared" si="12"/>
        <v>Aug</v>
      </c>
      <c r="H43" s="96" t="str">
        <f t="shared" si="13"/>
        <v>2024</v>
      </c>
    </row>
    <row r="44" spans="1:8" x14ac:dyDescent="0.35">
      <c r="A44" t="s">
        <v>644</v>
      </c>
      <c r="B44" s="95">
        <v>6553</v>
      </c>
      <c r="C44" s="85">
        <f>Table5[[#This Row],[COST]]/147</f>
        <v>44.57823129251701</v>
      </c>
      <c r="D44" s="44" t="s">
        <v>259</v>
      </c>
      <c r="E44" s="44" t="s">
        <v>268</v>
      </c>
      <c r="F44" s="87">
        <v>45520</v>
      </c>
      <c r="G44" s="96" t="str">
        <f t="shared" si="12"/>
        <v>Aug</v>
      </c>
      <c r="H44" s="96" t="str">
        <f t="shared" si="13"/>
        <v>2024</v>
      </c>
    </row>
    <row r="45" spans="1:8" x14ac:dyDescent="0.35">
      <c r="A45" t="s">
        <v>511</v>
      </c>
      <c r="B45" s="95">
        <v>900</v>
      </c>
      <c r="C45" s="85">
        <f>Table5[[#This Row],[COST]]/147</f>
        <v>6.1224489795918364</v>
      </c>
      <c r="D45" s="44" t="s">
        <v>259</v>
      </c>
      <c r="E45" s="44" t="s">
        <v>265</v>
      </c>
      <c r="F45" s="87">
        <v>45519</v>
      </c>
      <c r="G45" s="96" t="str">
        <f t="shared" si="12"/>
        <v>Aug</v>
      </c>
      <c r="H45" s="96" t="str">
        <f t="shared" si="13"/>
        <v>2024</v>
      </c>
    </row>
    <row r="46" spans="1:8" x14ac:dyDescent="0.35">
      <c r="A46" t="s">
        <v>183</v>
      </c>
      <c r="B46" s="95">
        <v>4000</v>
      </c>
      <c r="C46" s="85">
        <f>Table5[[#This Row],[COST]]/147</f>
        <v>27.210884353741495</v>
      </c>
      <c r="D46" s="44" t="s">
        <v>259</v>
      </c>
      <c r="E46" s="44" t="s">
        <v>4</v>
      </c>
      <c r="F46" s="87">
        <v>45521</v>
      </c>
      <c r="G46" s="96" t="str">
        <f t="shared" ref="G46:G55" si="14">TEXT(F46,"mmm")</f>
        <v>Aug</v>
      </c>
      <c r="H46" s="96" t="str">
        <f t="shared" ref="H46:H55" si="15">TEXT(F46,"yyy")</f>
        <v>2024</v>
      </c>
    </row>
    <row r="47" spans="1:8" x14ac:dyDescent="0.35">
      <c r="A47" t="s">
        <v>651</v>
      </c>
      <c r="B47" s="92">
        <v>450</v>
      </c>
      <c r="C47" s="85">
        <f>Table5[[#This Row],[COST]]/147</f>
        <v>3.0612244897959182</v>
      </c>
      <c r="D47" s="44" t="s">
        <v>259</v>
      </c>
      <c r="E47" s="44" t="s">
        <v>265</v>
      </c>
      <c r="F47" s="87">
        <v>45521</v>
      </c>
      <c r="G47" s="96" t="str">
        <f t="shared" si="14"/>
        <v>Aug</v>
      </c>
      <c r="H47" s="96" t="str">
        <f t="shared" si="15"/>
        <v>2024</v>
      </c>
    </row>
    <row r="48" spans="1:8" x14ac:dyDescent="0.35">
      <c r="A48" t="s">
        <v>562</v>
      </c>
      <c r="B48" s="92">
        <v>900</v>
      </c>
      <c r="C48" s="85">
        <f>Table5[[#This Row],[COST]]/147</f>
        <v>6.1224489795918364</v>
      </c>
      <c r="D48" s="44" t="s">
        <v>259</v>
      </c>
      <c r="E48" s="44" t="s">
        <v>265</v>
      </c>
      <c r="F48" s="87">
        <v>45521</v>
      </c>
      <c r="G48" s="96" t="str">
        <f t="shared" si="14"/>
        <v>Aug</v>
      </c>
      <c r="H48" s="96" t="str">
        <f t="shared" si="15"/>
        <v>2024</v>
      </c>
    </row>
    <row r="49" spans="1:8" x14ac:dyDescent="0.35">
      <c r="A49" t="s">
        <v>562</v>
      </c>
      <c r="B49" s="92">
        <v>7000</v>
      </c>
      <c r="C49" s="85">
        <f>Table5[[#This Row],[COST]]/147</f>
        <v>47.61904761904762</v>
      </c>
      <c r="D49" s="44" t="s">
        <v>259</v>
      </c>
      <c r="E49" s="44" t="s">
        <v>265</v>
      </c>
      <c r="F49" s="87">
        <v>45521</v>
      </c>
      <c r="G49" s="96" t="str">
        <f t="shared" si="14"/>
        <v>Aug</v>
      </c>
      <c r="H49" s="96" t="str">
        <f t="shared" si="15"/>
        <v>2024</v>
      </c>
    </row>
    <row r="50" spans="1:8" x14ac:dyDescent="0.35">
      <c r="A50" t="s">
        <v>384</v>
      </c>
      <c r="B50" s="92">
        <v>11000</v>
      </c>
      <c r="C50" s="85">
        <f>Table5[[#This Row],[COST]]/147</f>
        <v>74.829931972789112</v>
      </c>
      <c r="D50" s="44" t="s">
        <v>259</v>
      </c>
      <c r="E50" s="44" t="s">
        <v>265</v>
      </c>
      <c r="F50" s="87">
        <v>45521</v>
      </c>
      <c r="G50" s="96" t="str">
        <f t="shared" si="14"/>
        <v>Aug</v>
      </c>
      <c r="H50" s="96" t="str">
        <f t="shared" si="15"/>
        <v>2024</v>
      </c>
    </row>
    <row r="51" spans="1:8" x14ac:dyDescent="0.35">
      <c r="A51" t="s">
        <v>652</v>
      </c>
      <c r="B51" s="92">
        <v>1600</v>
      </c>
      <c r="C51" s="85">
        <f>Table5[[#This Row],[COST]]/147</f>
        <v>10.884353741496598</v>
      </c>
      <c r="D51" s="44" t="s">
        <v>259</v>
      </c>
      <c r="E51" s="44" t="s">
        <v>265</v>
      </c>
      <c r="F51" s="87">
        <v>45521</v>
      </c>
      <c r="G51" s="96" t="str">
        <f t="shared" si="14"/>
        <v>Aug</v>
      </c>
      <c r="H51" s="96" t="str">
        <f t="shared" si="15"/>
        <v>2024</v>
      </c>
    </row>
    <row r="52" spans="1:8" x14ac:dyDescent="0.35">
      <c r="A52" t="s">
        <v>592</v>
      </c>
      <c r="B52" s="92">
        <v>560</v>
      </c>
      <c r="C52" s="85">
        <f>Table5[[#This Row],[COST]]/147</f>
        <v>3.8095238095238093</v>
      </c>
      <c r="D52" s="44" t="s">
        <v>259</v>
      </c>
      <c r="E52" s="44" t="s">
        <v>265</v>
      </c>
      <c r="F52" s="87">
        <v>45521</v>
      </c>
      <c r="G52" s="96" t="str">
        <f t="shared" si="14"/>
        <v>Aug</v>
      </c>
      <c r="H52" s="96" t="str">
        <f t="shared" si="15"/>
        <v>2024</v>
      </c>
    </row>
    <row r="53" spans="1:8" x14ac:dyDescent="0.35">
      <c r="A53" t="s">
        <v>653</v>
      </c>
      <c r="B53" s="92">
        <v>500</v>
      </c>
      <c r="C53" s="85">
        <f>Table5[[#This Row],[COST]]/147</f>
        <v>3.4013605442176869</v>
      </c>
      <c r="D53" s="44" t="s">
        <v>259</v>
      </c>
      <c r="E53" s="44" t="s">
        <v>265</v>
      </c>
      <c r="F53" s="87">
        <v>45521</v>
      </c>
      <c r="G53" s="96" t="str">
        <f t="shared" si="14"/>
        <v>Aug</v>
      </c>
      <c r="H53" s="96" t="str">
        <f t="shared" si="15"/>
        <v>2024</v>
      </c>
    </row>
    <row r="54" spans="1:8" x14ac:dyDescent="0.35">
      <c r="A54" t="s">
        <v>654</v>
      </c>
      <c r="B54" s="95">
        <v>500</v>
      </c>
      <c r="C54" s="85">
        <f>Table5[[#This Row],[COST]]/147</f>
        <v>3.4013605442176869</v>
      </c>
      <c r="D54" s="44" t="s">
        <v>259</v>
      </c>
      <c r="E54" s="44" t="s">
        <v>265</v>
      </c>
      <c r="F54" s="87">
        <v>45521</v>
      </c>
      <c r="G54" s="96" t="str">
        <f t="shared" si="14"/>
        <v>Aug</v>
      </c>
      <c r="H54" s="96" t="str">
        <f t="shared" si="15"/>
        <v>2024</v>
      </c>
    </row>
    <row r="55" spans="1:8" x14ac:dyDescent="0.35">
      <c r="A55" t="s">
        <v>655</v>
      </c>
      <c r="B55" s="95">
        <v>400</v>
      </c>
      <c r="C55" s="85">
        <f>Table5[[#This Row],[COST]]/147</f>
        <v>2.7210884353741496</v>
      </c>
      <c r="D55" s="44" t="s">
        <v>259</v>
      </c>
      <c r="E55" s="44" t="s">
        <v>265</v>
      </c>
      <c r="F55" s="87">
        <v>45521</v>
      </c>
      <c r="G55" s="96" t="str">
        <f t="shared" si="14"/>
        <v>Aug</v>
      </c>
      <c r="H55" s="96" t="str">
        <f t="shared" si="15"/>
        <v>2024</v>
      </c>
    </row>
    <row r="56" spans="1:8" x14ac:dyDescent="0.35">
      <c r="A56" t="s">
        <v>343</v>
      </c>
      <c r="B56" s="95">
        <v>2025</v>
      </c>
      <c r="C56" s="85">
        <f>Table5[[#This Row],[COST]]/147</f>
        <v>13.775510204081632</v>
      </c>
      <c r="D56" s="44" t="s">
        <v>264</v>
      </c>
      <c r="E56" s="44" t="s">
        <v>275</v>
      </c>
      <c r="F56" s="87">
        <v>45523</v>
      </c>
      <c r="G56" s="96" t="str">
        <f t="shared" ref="G56:G62" si="16">TEXT(F56,"mmm")</f>
        <v>Aug</v>
      </c>
      <c r="H56" s="96" t="str">
        <f t="shared" ref="H56:H62" si="17">TEXT(F56,"yyy")</f>
        <v>2024</v>
      </c>
    </row>
    <row r="57" spans="1:8" x14ac:dyDescent="0.35">
      <c r="A57" t="s">
        <v>114</v>
      </c>
      <c r="B57" s="95">
        <v>1270</v>
      </c>
      <c r="C57" s="85">
        <f>Table5[[#This Row],[COST]]/147</f>
        <v>8.6394557823129254</v>
      </c>
      <c r="D57" s="44" t="s">
        <v>259</v>
      </c>
      <c r="E57" s="44" t="s">
        <v>265</v>
      </c>
      <c r="F57" s="87">
        <v>45524</v>
      </c>
      <c r="G57" s="96" t="str">
        <f t="shared" si="16"/>
        <v>Aug</v>
      </c>
      <c r="H57" s="96" t="str">
        <f t="shared" si="17"/>
        <v>2024</v>
      </c>
    </row>
    <row r="58" spans="1:8" x14ac:dyDescent="0.35">
      <c r="A58" t="s">
        <v>114</v>
      </c>
      <c r="B58" s="95">
        <v>1100</v>
      </c>
      <c r="C58" s="85">
        <f>Table5[[#This Row],[COST]]/147</f>
        <v>7.4829931972789119</v>
      </c>
      <c r="D58" s="44" t="s">
        <v>259</v>
      </c>
      <c r="E58" s="44" t="s">
        <v>265</v>
      </c>
      <c r="F58" s="87">
        <v>45524</v>
      </c>
      <c r="G58" s="96" t="str">
        <f t="shared" si="16"/>
        <v>Aug</v>
      </c>
      <c r="H58" s="96" t="str">
        <f t="shared" si="17"/>
        <v>2024</v>
      </c>
    </row>
    <row r="59" spans="1:8" x14ac:dyDescent="0.35">
      <c r="A59" t="s">
        <v>183</v>
      </c>
      <c r="B59" s="95">
        <v>4000</v>
      </c>
      <c r="C59" s="85">
        <f>Table5[[#This Row],[COST]]/147</f>
        <v>27.210884353741495</v>
      </c>
      <c r="D59" s="44" t="s">
        <v>259</v>
      </c>
      <c r="E59" s="44" t="s">
        <v>4</v>
      </c>
      <c r="F59" s="87">
        <v>45527</v>
      </c>
      <c r="G59" s="96" t="str">
        <f t="shared" si="16"/>
        <v>Aug</v>
      </c>
      <c r="H59" s="96" t="str">
        <f t="shared" si="17"/>
        <v>2024</v>
      </c>
    </row>
    <row r="60" spans="1:8" x14ac:dyDescent="0.35">
      <c r="A60" t="s">
        <v>656</v>
      </c>
      <c r="B60" s="95">
        <v>4000</v>
      </c>
      <c r="C60" s="85">
        <f>Table5[[#This Row],[COST]]/147</f>
        <v>27.210884353741495</v>
      </c>
      <c r="D60" s="44" t="s">
        <v>259</v>
      </c>
      <c r="E60" s="44" t="s">
        <v>265</v>
      </c>
      <c r="F60" s="87">
        <v>45527</v>
      </c>
      <c r="G60" s="96" t="str">
        <f t="shared" si="16"/>
        <v>Aug</v>
      </c>
      <c r="H60" s="96" t="str">
        <f t="shared" si="17"/>
        <v>2024</v>
      </c>
    </row>
    <row r="61" spans="1:8" x14ac:dyDescent="0.35">
      <c r="A61" t="s">
        <v>534</v>
      </c>
      <c r="B61" s="95">
        <v>300</v>
      </c>
      <c r="C61" s="85">
        <f>Table5[[#This Row],[COST]]/147</f>
        <v>2.0408163265306123</v>
      </c>
      <c r="D61" s="44" t="s">
        <v>259</v>
      </c>
      <c r="E61" s="44" t="s">
        <v>265</v>
      </c>
      <c r="F61" s="87">
        <v>45527</v>
      </c>
      <c r="G61" s="96" t="str">
        <f t="shared" si="16"/>
        <v>Aug</v>
      </c>
      <c r="H61" s="96" t="str">
        <f t="shared" si="17"/>
        <v>2024</v>
      </c>
    </row>
    <row r="62" spans="1:8" x14ac:dyDescent="0.35">
      <c r="A62" t="s">
        <v>485</v>
      </c>
      <c r="B62" s="95">
        <v>250</v>
      </c>
      <c r="C62" s="85">
        <f>Table5[[#This Row],[COST]]/147</f>
        <v>1.7006802721088434</v>
      </c>
      <c r="D62" s="44" t="s">
        <v>259</v>
      </c>
      <c r="E62" s="44" t="s">
        <v>265</v>
      </c>
      <c r="F62" s="87">
        <v>45527</v>
      </c>
      <c r="G62" s="96" t="str">
        <f t="shared" si="16"/>
        <v>Aug</v>
      </c>
      <c r="H62" s="96" t="str">
        <f t="shared" si="17"/>
        <v>2024</v>
      </c>
    </row>
    <row r="63" spans="1:8" x14ac:dyDescent="0.35">
      <c r="A63" t="s">
        <v>643</v>
      </c>
      <c r="B63" s="95">
        <v>965</v>
      </c>
      <c r="C63" s="85">
        <f>Table5[[#This Row],[COST]]/147</f>
        <v>6.5646258503401365</v>
      </c>
      <c r="D63" s="44" t="s">
        <v>259</v>
      </c>
      <c r="E63" s="44" t="s">
        <v>265</v>
      </c>
      <c r="F63" s="87">
        <v>45530</v>
      </c>
      <c r="G63" s="96" t="str">
        <f t="shared" ref="G63:G72" si="18">TEXT(F63,"mmm")</f>
        <v>Aug</v>
      </c>
      <c r="H63" s="96" t="str">
        <f t="shared" ref="H63:H72" si="19">TEXT(F63,"yyy")</f>
        <v>2024</v>
      </c>
    </row>
    <row r="64" spans="1:8" x14ac:dyDescent="0.35">
      <c r="A64" t="s">
        <v>114</v>
      </c>
      <c r="B64" s="95">
        <v>1300</v>
      </c>
      <c r="C64" s="85">
        <f>Table5[[#This Row],[COST]]/147</f>
        <v>8.8435374149659864</v>
      </c>
      <c r="D64" s="44" t="s">
        <v>259</v>
      </c>
      <c r="E64" s="44" t="s">
        <v>265</v>
      </c>
      <c r="F64" s="87">
        <v>45531</v>
      </c>
      <c r="G64" s="96" t="str">
        <f t="shared" si="18"/>
        <v>Aug</v>
      </c>
      <c r="H64" s="96" t="str">
        <f t="shared" si="19"/>
        <v>2024</v>
      </c>
    </row>
    <row r="65" spans="1:8" x14ac:dyDescent="0.35">
      <c r="A65" t="s">
        <v>563</v>
      </c>
      <c r="B65" s="95">
        <v>300</v>
      </c>
      <c r="C65" s="85">
        <f>Table5[[#This Row],[COST]]/147</f>
        <v>2.0408163265306123</v>
      </c>
      <c r="D65" s="44" t="s">
        <v>259</v>
      </c>
      <c r="E65" s="44" t="s">
        <v>265</v>
      </c>
      <c r="F65" s="87">
        <v>45532</v>
      </c>
      <c r="G65" s="96" t="str">
        <f t="shared" si="18"/>
        <v>Aug</v>
      </c>
      <c r="H65" s="96" t="str">
        <f t="shared" si="19"/>
        <v>2024</v>
      </c>
    </row>
    <row r="66" spans="1:8" x14ac:dyDescent="0.35">
      <c r="A66" t="s">
        <v>650</v>
      </c>
      <c r="B66" s="95">
        <v>280</v>
      </c>
      <c r="C66" s="85">
        <f>Table5[[#This Row],[COST]]/147</f>
        <v>1.9047619047619047</v>
      </c>
      <c r="D66" s="44" t="s">
        <v>259</v>
      </c>
      <c r="E66" s="44" t="s">
        <v>265</v>
      </c>
      <c r="F66" s="87">
        <v>45532</v>
      </c>
      <c r="G66" s="96" t="str">
        <f t="shared" si="18"/>
        <v>Aug</v>
      </c>
      <c r="H66" s="96" t="str">
        <f t="shared" si="19"/>
        <v>2024</v>
      </c>
    </row>
    <row r="67" spans="1:8" x14ac:dyDescent="0.35">
      <c r="A67" t="s">
        <v>650</v>
      </c>
      <c r="B67" s="95">
        <v>165</v>
      </c>
      <c r="C67" s="85">
        <f>Table5[[#This Row],[COST]]/147</f>
        <v>1.1224489795918366</v>
      </c>
      <c r="D67" s="44" t="s">
        <v>259</v>
      </c>
      <c r="E67" s="44" t="s">
        <v>265</v>
      </c>
      <c r="F67" s="87">
        <v>45532</v>
      </c>
      <c r="G67" s="96" t="str">
        <f t="shared" si="18"/>
        <v>Aug</v>
      </c>
      <c r="H67" s="96" t="str">
        <f t="shared" si="19"/>
        <v>2024</v>
      </c>
    </row>
    <row r="68" spans="1:8" x14ac:dyDescent="0.35">
      <c r="A68" t="s">
        <v>663</v>
      </c>
      <c r="B68" s="95">
        <v>1850</v>
      </c>
      <c r="C68" s="85">
        <f>Table5[[#This Row],[COST]]/147</f>
        <v>12.585034013605442</v>
      </c>
      <c r="D68" s="44" t="s">
        <v>264</v>
      </c>
      <c r="E68" s="44" t="s">
        <v>275</v>
      </c>
      <c r="F68" s="87">
        <v>45532</v>
      </c>
      <c r="G68" s="96" t="str">
        <f t="shared" si="18"/>
        <v>Aug</v>
      </c>
      <c r="H68" s="96" t="str">
        <f t="shared" si="19"/>
        <v>2024</v>
      </c>
    </row>
    <row r="69" spans="1:8" x14ac:dyDescent="0.35">
      <c r="A69" t="s">
        <v>563</v>
      </c>
      <c r="B69" s="95">
        <v>170</v>
      </c>
      <c r="C69" s="85">
        <f>Table5[[#This Row],[COST]]/147</f>
        <v>1.1564625850340136</v>
      </c>
      <c r="D69" s="44" t="s">
        <v>259</v>
      </c>
      <c r="E69" s="44" t="s">
        <v>265</v>
      </c>
      <c r="F69" s="87">
        <v>45532</v>
      </c>
      <c r="G69" s="96" t="str">
        <f t="shared" si="18"/>
        <v>Aug</v>
      </c>
      <c r="H69" s="96" t="str">
        <f t="shared" si="19"/>
        <v>2024</v>
      </c>
    </row>
    <row r="70" spans="1:8" x14ac:dyDescent="0.35">
      <c r="A70" t="s">
        <v>664</v>
      </c>
      <c r="B70" s="95">
        <v>710</v>
      </c>
      <c r="C70" s="85">
        <f>Table5[[#This Row],[COST]]/147</f>
        <v>4.8299319727891152</v>
      </c>
      <c r="D70" s="44" t="s">
        <v>259</v>
      </c>
      <c r="E70" s="44" t="s">
        <v>265</v>
      </c>
      <c r="F70" s="87">
        <v>45534</v>
      </c>
      <c r="G70" s="96" t="str">
        <f t="shared" si="18"/>
        <v>Aug</v>
      </c>
      <c r="H70" s="96" t="str">
        <f t="shared" si="19"/>
        <v>2024</v>
      </c>
    </row>
    <row r="71" spans="1:8" x14ac:dyDescent="0.35">
      <c r="A71" t="s">
        <v>183</v>
      </c>
      <c r="B71" s="95">
        <v>3000</v>
      </c>
      <c r="C71" s="85">
        <f>Table5[[#This Row],[COST]]/147</f>
        <v>20.408163265306122</v>
      </c>
      <c r="D71" s="44" t="s">
        <v>259</v>
      </c>
      <c r="E71" s="44" t="s">
        <v>4</v>
      </c>
      <c r="F71" s="87">
        <v>45534</v>
      </c>
      <c r="G71" s="96" t="str">
        <f t="shared" si="18"/>
        <v>Aug</v>
      </c>
      <c r="H71" s="96" t="str">
        <f t="shared" si="19"/>
        <v>2024</v>
      </c>
    </row>
    <row r="72" spans="1:8" x14ac:dyDescent="0.35">
      <c r="A72" t="s">
        <v>129</v>
      </c>
      <c r="B72" s="95">
        <v>2350</v>
      </c>
      <c r="C72" s="85">
        <f>Table5[[#This Row],[COST]]/147</f>
        <v>15.986394557823129</v>
      </c>
      <c r="D72" s="44" t="s">
        <v>259</v>
      </c>
      <c r="E72" s="44" t="s">
        <v>265</v>
      </c>
      <c r="F72" s="87">
        <v>45530</v>
      </c>
      <c r="G72" s="96" t="str">
        <f t="shared" si="18"/>
        <v>Aug</v>
      </c>
      <c r="H72" s="96" t="str">
        <f t="shared" si="19"/>
        <v>2024</v>
      </c>
    </row>
    <row r="73" spans="1:8" x14ac:dyDescent="0.35">
      <c r="A73" t="s">
        <v>538</v>
      </c>
      <c r="B73" s="98">
        <v>18000</v>
      </c>
      <c r="C73" s="76">
        <f>Table5[[#This Row],[COST]]/147</f>
        <v>122.44897959183673</v>
      </c>
      <c r="D73" s="44" t="s">
        <v>264</v>
      </c>
      <c r="E73" s="44" t="s">
        <v>275</v>
      </c>
      <c r="F73" s="87">
        <v>45541</v>
      </c>
      <c r="G73" s="96" t="str">
        <f t="shared" ref="G73:G86" si="20">TEXT(F73,"mmm")</f>
        <v>Sep</v>
      </c>
      <c r="H73" s="96" t="str">
        <f t="shared" ref="H73:H86" si="21">TEXT(F73,"yyy")</f>
        <v>2024</v>
      </c>
    </row>
    <row r="74" spans="1:8" x14ac:dyDescent="0.35">
      <c r="A74" t="s">
        <v>538</v>
      </c>
      <c r="B74" s="98">
        <v>30000</v>
      </c>
      <c r="C74" s="76">
        <f>Table5[[#This Row],[COST]]/147</f>
        <v>204.08163265306123</v>
      </c>
      <c r="D74" s="44" t="s">
        <v>264</v>
      </c>
      <c r="E74" s="44" t="s">
        <v>275</v>
      </c>
      <c r="F74" s="87">
        <v>45542</v>
      </c>
      <c r="G74" s="84" t="str">
        <f t="shared" si="20"/>
        <v>Sep</v>
      </c>
      <c r="H74" s="84" t="str">
        <f t="shared" si="21"/>
        <v>2024</v>
      </c>
    </row>
    <row r="75" spans="1:8" x14ac:dyDescent="0.35">
      <c r="A75" t="s">
        <v>183</v>
      </c>
      <c r="B75" s="95">
        <v>3000</v>
      </c>
      <c r="C75" s="85">
        <f>Table5[[#This Row],[COST]]/147</f>
        <v>20.408163265306122</v>
      </c>
      <c r="D75" s="44" t="s">
        <v>259</v>
      </c>
      <c r="E75" s="44" t="s">
        <v>4</v>
      </c>
      <c r="F75" s="87">
        <v>45542</v>
      </c>
      <c r="G75" s="96" t="str">
        <f t="shared" si="20"/>
        <v>Sep</v>
      </c>
      <c r="H75" s="96" t="str">
        <f t="shared" si="21"/>
        <v>2024</v>
      </c>
    </row>
    <row r="76" spans="1:8" x14ac:dyDescent="0.35">
      <c r="A76" t="s">
        <v>594</v>
      </c>
      <c r="B76" s="95">
        <v>630</v>
      </c>
      <c r="C76" s="85">
        <f>Table5[[#This Row],[COST]]/147</f>
        <v>4.2857142857142856</v>
      </c>
      <c r="D76" s="44" t="s">
        <v>264</v>
      </c>
      <c r="E76" s="44" t="s">
        <v>275</v>
      </c>
      <c r="F76" s="87">
        <v>45543</v>
      </c>
      <c r="G76" s="96" t="str">
        <f t="shared" si="20"/>
        <v>Sep</v>
      </c>
      <c r="H76" s="96" t="str">
        <f t="shared" si="21"/>
        <v>2024</v>
      </c>
    </row>
    <row r="77" spans="1:8" x14ac:dyDescent="0.35">
      <c r="A77" t="s">
        <v>667</v>
      </c>
      <c r="B77" s="95">
        <v>400</v>
      </c>
      <c r="C77" s="85">
        <f>Table5[[#This Row],[COST]]/147</f>
        <v>2.7210884353741496</v>
      </c>
      <c r="D77" s="44" t="s">
        <v>259</v>
      </c>
      <c r="E77" s="44" t="s">
        <v>265</v>
      </c>
      <c r="F77" s="87">
        <v>45548</v>
      </c>
      <c r="G77" s="96" t="str">
        <f t="shared" si="20"/>
        <v>Sep</v>
      </c>
      <c r="H77" s="96" t="str">
        <f t="shared" si="21"/>
        <v>2024</v>
      </c>
    </row>
    <row r="78" spans="1:8" x14ac:dyDescent="0.35">
      <c r="A78" t="s">
        <v>563</v>
      </c>
      <c r="B78" s="95">
        <v>150</v>
      </c>
      <c r="C78" s="85">
        <f>Table5[[#This Row],[COST]]/147</f>
        <v>1.0204081632653061</v>
      </c>
      <c r="D78" s="44" t="s">
        <v>259</v>
      </c>
      <c r="E78" s="44" t="s">
        <v>265</v>
      </c>
      <c r="F78" s="87">
        <v>45548</v>
      </c>
      <c r="G78" s="96" t="str">
        <f t="shared" si="20"/>
        <v>Sep</v>
      </c>
      <c r="H78" s="96" t="str">
        <f t="shared" si="21"/>
        <v>2024</v>
      </c>
    </row>
    <row r="79" spans="1:8" x14ac:dyDescent="0.35">
      <c r="A79" t="s">
        <v>650</v>
      </c>
      <c r="B79" s="95">
        <v>300</v>
      </c>
      <c r="C79" s="85">
        <f>Table5[[#This Row],[COST]]/147</f>
        <v>2.0408163265306123</v>
      </c>
      <c r="D79" s="44" t="s">
        <v>259</v>
      </c>
      <c r="E79" s="44" t="s">
        <v>265</v>
      </c>
      <c r="F79" s="87">
        <v>45548</v>
      </c>
      <c r="G79" s="96" t="str">
        <f t="shared" si="20"/>
        <v>Sep</v>
      </c>
      <c r="H79" s="96" t="str">
        <f t="shared" si="21"/>
        <v>2024</v>
      </c>
    </row>
    <row r="80" spans="1:8" x14ac:dyDescent="0.35">
      <c r="A80" t="s">
        <v>524</v>
      </c>
      <c r="B80" s="95">
        <v>4429</v>
      </c>
      <c r="C80" s="85">
        <f>Table5[[#This Row],[COST]]/147</f>
        <v>30.129251700680271</v>
      </c>
      <c r="D80" s="44" t="s">
        <v>264</v>
      </c>
      <c r="E80" s="44" t="s">
        <v>275</v>
      </c>
      <c r="F80" s="87">
        <v>45547</v>
      </c>
      <c r="G80" s="96" t="str">
        <f t="shared" si="20"/>
        <v>Sep</v>
      </c>
      <c r="H80" s="96" t="str">
        <f t="shared" si="21"/>
        <v>2024</v>
      </c>
    </row>
    <row r="81" spans="1:8" x14ac:dyDescent="0.35">
      <c r="A81" t="s">
        <v>643</v>
      </c>
      <c r="B81" s="95">
        <v>965</v>
      </c>
      <c r="C81" s="85">
        <f>Table5[[#This Row],[COST]]/147</f>
        <v>6.5646258503401365</v>
      </c>
      <c r="D81" s="44" t="s">
        <v>259</v>
      </c>
      <c r="E81" s="44" t="s">
        <v>265</v>
      </c>
      <c r="F81" s="87">
        <v>45550</v>
      </c>
      <c r="G81" s="96" t="str">
        <f t="shared" si="20"/>
        <v>Sep</v>
      </c>
      <c r="H81" s="96" t="str">
        <f t="shared" si="21"/>
        <v>2024</v>
      </c>
    </row>
    <row r="82" spans="1:8" x14ac:dyDescent="0.35">
      <c r="A82" t="s">
        <v>668</v>
      </c>
      <c r="B82" s="95">
        <v>1100</v>
      </c>
      <c r="C82" s="85">
        <f>Table5[[#This Row],[COST]]/147</f>
        <v>7.4829931972789119</v>
      </c>
      <c r="D82" s="44" t="s">
        <v>259</v>
      </c>
      <c r="E82" s="44" t="s">
        <v>265</v>
      </c>
      <c r="F82" s="87">
        <v>45548</v>
      </c>
      <c r="G82" s="96" t="str">
        <f t="shared" si="20"/>
        <v>Sep</v>
      </c>
      <c r="H82" s="96" t="str">
        <f t="shared" si="21"/>
        <v>2024</v>
      </c>
    </row>
    <row r="83" spans="1:8" x14ac:dyDescent="0.35">
      <c r="A83" t="s">
        <v>183</v>
      </c>
      <c r="B83" s="95">
        <v>4000</v>
      </c>
      <c r="C83" s="85">
        <f>Table5[[#This Row],[COST]]/147</f>
        <v>27.210884353741495</v>
      </c>
      <c r="D83" s="44" t="s">
        <v>259</v>
      </c>
      <c r="E83" s="44" t="s">
        <v>4</v>
      </c>
      <c r="F83" s="87">
        <v>45549</v>
      </c>
      <c r="G83" s="96" t="str">
        <f t="shared" si="20"/>
        <v>Sep</v>
      </c>
      <c r="H83" s="96" t="str">
        <f t="shared" si="21"/>
        <v>2024</v>
      </c>
    </row>
    <row r="84" spans="1:8" x14ac:dyDescent="0.35">
      <c r="A84" t="s">
        <v>669</v>
      </c>
      <c r="B84" s="95">
        <v>1410</v>
      </c>
      <c r="C84" s="85">
        <f>Table5[[#This Row],[COST]]/147</f>
        <v>9.591836734693878</v>
      </c>
      <c r="D84" s="44" t="s">
        <v>259</v>
      </c>
      <c r="E84" s="44" t="s">
        <v>265</v>
      </c>
      <c r="F84" s="87">
        <v>45551</v>
      </c>
      <c r="G84" s="96" t="str">
        <f t="shared" si="20"/>
        <v>Sep</v>
      </c>
      <c r="H84" s="96" t="str">
        <f t="shared" si="21"/>
        <v>2024</v>
      </c>
    </row>
    <row r="85" spans="1:8" x14ac:dyDescent="0.35">
      <c r="A85" t="s">
        <v>643</v>
      </c>
      <c r="B85" s="95">
        <v>1200</v>
      </c>
      <c r="C85" s="85">
        <f>Table5[[#This Row],[COST]]/147</f>
        <v>8.1632653061224492</v>
      </c>
      <c r="D85" s="44" t="s">
        <v>259</v>
      </c>
      <c r="E85" s="44" t="s">
        <v>265</v>
      </c>
      <c r="F85" s="87">
        <v>45548</v>
      </c>
      <c r="G85" s="96" t="str">
        <f t="shared" si="20"/>
        <v>Sep</v>
      </c>
      <c r="H85" s="96" t="str">
        <f t="shared" si="21"/>
        <v>2024</v>
      </c>
    </row>
    <row r="86" spans="1:8" x14ac:dyDescent="0.35">
      <c r="A86" t="s">
        <v>670</v>
      </c>
      <c r="B86" s="95">
        <v>9000</v>
      </c>
      <c r="C86" s="85">
        <f>Table5[[#This Row],[COST]]/147</f>
        <v>61.224489795918366</v>
      </c>
      <c r="D86" s="44" t="s">
        <v>259</v>
      </c>
      <c r="E86" s="44" t="s">
        <v>4</v>
      </c>
      <c r="F86" s="87">
        <v>45548</v>
      </c>
      <c r="G86" s="96" t="str">
        <f t="shared" si="20"/>
        <v>Sep</v>
      </c>
      <c r="H86" s="96" t="str">
        <f t="shared" si="21"/>
        <v>2024</v>
      </c>
    </row>
    <row r="87" spans="1:8" x14ac:dyDescent="0.35">
      <c r="A87" t="s">
        <v>430</v>
      </c>
      <c r="B87" s="95">
        <v>1510</v>
      </c>
      <c r="C87" s="85">
        <f>Table5[[#This Row],[COST]]/147</f>
        <v>10.272108843537415</v>
      </c>
      <c r="D87" s="44" t="s">
        <v>259</v>
      </c>
      <c r="E87" s="44" t="s">
        <v>265</v>
      </c>
      <c r="F87" s="87">
        <v>45553</v>
      </c>
      <c r="G87" s="96" t="str">
        <f t="shared" ref="G87:G94" si="22">TEXT(F87,"mmm")</f>
        <v>Sep</v>
      </c>
      <c r="H87" s="96" t="str">
        <f t="shared" ref="H87:H94" si="23">TEXT(F87,"yyy")</f>
        <v>2024</v>
      </c>
    </row>
    <row r="88" spans="1:8" x14ac:dyDescent="0.35">
      <c r="A88" t="s">
        <v>323</v>
      </c>
      <c r="B88" s="95">
        <v>3750</v>
      </c>
      <c r="C88" s="85">
        <f>Table5[[#This Row],[COST]]/147</f>
        <v>25.510204081632654</v>
      </c>
      <c r="D88" s="44" t="s">
        <v>259</v>
      </c>
      <c r="E88" s="103" t="s">
        <v>267</v>
      </c>
      <c r="F88" s="87">
        <v>45572</v>
      </c>
      <c r="G88" s="96" t="str">
        <f t="shared" si="22"/>
        <v>Oct</v>
      </c>
      <c r="H88" s="96" t="str">
        <f t="shared" si="23"/>
        <v>2024</v>
      </c>
    </row>
    <row r="89" spans="1:8" x14ac:dyDescent="0.35">
      <c r="A89" t="s">
        <v>183</v>
      </c>
      <c r="B89" s="95">
        <v>4000</v>
      </c>
      <c r="C89" s="85">
        <f>Table5[[#This Row],[COST]]/147</f>
        <v>27.210884353741495</v>
      </c>
      <c r="D89" s="44" t="s">
        <v>259</v>
      </c>
      <c r="E89" s="44" t="s">
        <v>4</v>
      </c>
      <c r="F89" s="87">
        <v>45573</v>
      </c>
      <c r="G89" s="96" t="str">
        <f t="shared" si="22"/>
        <v>Oct</v>
      </c>
      <c r="H89" s="96" t="str">
        <f t="shared" si="23"/>
        <v>2024</v>
      </c>
    </row>
    <row r="90" spans="1:8" x14ac:dyDescent="0.35">
      <c r="A90" t="s">
        <v>8</v>
      </c>
      <c r="B90" s="95">
        <v>1200</v>
      </c>
      <c r="C90" s="85">
        <f>Table5[[#This Row],[COST]]/147</f>
        <v>8.1632653061224492</v>
      </c>
      <c r="D90" s="44" t="s">
        <v>259</v>
      </c>
      <c r="E90" s="44" t="s">
        <v>268</v>
      </c>
      <c r="F90" s="87">
        <v>45574</v>
      </c>
      <c r="G90" s="96" t="str">
        <f t="shared" si="22"/>
        <v>Oct</v>
      </c>
      <c r="H90" s="96" t="str">
        <f t="shared" si="23"/>
        <v>2024</v>
      </c>
    </row>
    <row r="91" spans="1:8" x14ac:dyDescent="0.35">
      <c r="A91" t="s">
        <v>485</v>
      </c>
      <c r="B91" s="95">
        <v>400</v>
      </c>
      <c r="C91" s="85">
        <f>Table5[[#This Row],[COST]]/147</f>
        <v>2.7210884353741496</v>
      </c>
      <c r="D91" s="44" t="s">
        <v>259</v>
      </c>
      <c r="E91" s="44" t="s">
        <v>265</v>
      </c>
      <c r="F91" s="87">
        <v>45574</v>
      </c>
      <c r="G91" s="96" t="str">
        <f t="shared" si="22"/>
        <v>Oct</v>
      </c>
      <c r="H91" s="96" t="str">
        <f t="shared" si="23"/>
        <v>2024</v>
      </c>
    </row>
    <row r="92" spans="1:8" x14ac:dyDescent="0.35">
      <c r="A92" t="s">
        <v>497</v>
      </c>
      <c r="B92" s="95">
        <v>200</v>
      </c>
      <c r="C92" s="85">
        <f>Table5[[#This Row],[COST]]/147</f>
        <v>1.3605442176870748</v>
      </c>
      <c r="D92" s="44" t="s">
        <v>259</v>
      </c>
      <c r="E92" s="44" t="s">
        <v>265</v>
      </c>
      <c r="F92" s="87">
        <v>45574</v>
      </c>
      <c r="G92" s="96" t="str">
        <f t="shared" si="22"/>
        <v>Oct</v>
      </c>
      <c r="H92" s="96" t="str">
        <f t="shared" si="23"/>
        <v>2024</v>
      </c>
    </row>
    <row r="93" spans="1:8" x14ac:dyDescent="0.35">
      <c r="A93" t="s">
        <v>457</v>
      </c>
      <c r="B93" s="95">
        <v>3000</v>
      </c>
      <c r="C93" s="85">
        <f>Table5[[#This Row],[COST]]/147</f>
        <v>20.408163265306122</v>
      </c>
      <c r="D93" s="44" t="s">
        <v>259</v>
      </c>
      <c r="E93" s="44" t="s">
        <v>265</v>
      </c>
      <c r="F93" s="87">
        <v>45574</v>
      </c>
      <c r="G93" s="96" t="str">
        <f t="shared" si="22"/>
        <v>Oct</v>
      </c>
      <c r="H93" s="96" t="str">
        <f t="shared" si="23"/>
        <v>2024</v>
      </c>
    </row>
    <row r="94" spans="1:8" x14ac:dyDescent="0.35">
      <c r="A94" t="s">
        <v>497</v>
      </c>
      <c r="B94" s="95">
        <v>4000</v>
      </c>
      <c r="C94" s="85">
        <f>Table5[[#This Row],[COST]]/147</f>
        <v>27.210884353741495</v>
      </c>
      <c r="D94" s="44" t="s">
        <v>259</v>
      </c>
      <c r="E94" s="44" t="s">
        <v>265</v>
      </c>
      <c r="F94" s="87">
        <v>45574</v>
      </c>
      <c r="G94" s="96" t="str">
        <f t="shared" si="22"/>
        <v>Oct</v>
      </c>
      <c r="H94" s="96" t="str">
        <f t="shared" si="23"/>
        <v>2024</v>
      </c>
    </row>
    <row r="95" spans="1:8" x14ac:dyDescent="0.35">
      <c r="A95" t="s">
        <v>183</v>
      </c>
      <c r="B95" s="95">
        <v>4000</v>
      </c>
      <c r="C95" s="85">
        <f>Table5[[#This Row],[COST]]/147</f>
        <v>27.210884353741495</v>
      </c>
      <c r="D95" s="44" t="s">
        <v>259</v>
      </c>
      <c r="E95" s="44" t="s">
        <v>4</v>
      </c>
      <c r="F95" s="87">
        <v>45582</v>
      </c>
      <c r="G95" s="96" t="str">
        <f t="shared" ref="G95:G103" si="24">TEXT(F95,"mmm")</f>
        <v>Oct</v>
      </c>
      <c r="H95" s="96" t="str">
        <f t="shared" ref="H95:H103" si="25">TEXT(F95,"yyy")</f>
        <v>2024</v>
      </c>
    </row>
    <row r="96" spans="1:8" x14ac:dyDescent="0.35">
      <c r="A96" t="s">
        <v>681</v>
      </c>
      <c r="B96" s="95">
        <v>13500</v>
      </c>
      <c r="C96" s="85">
        <f>Table5[[#This Row],[COST]]/147</f>
        <v>91.836734693877546</v>
      </c>
      <c r="D96" s="44" t="s">
        <v>259</v>
      </c>
      <c r="E96" s="44" t="s">
        <v>265</v>
      </c>
      <c r="F96" s="87">
        <v>45579</v>
      </c>
      <c r="G96" s="96" t="str">
        <f t="shared" si="24"/>
        <v>Oct</v>
      </c>
      <c r="H96" s="96" t="str">
        <f t="shared" si="25"/>
        <v>2024</v>
      </c>
    </row>
    <row r="97" spans="1:8" x14ac:dyDescent="0.35">
      <c r="A97" t="s">
        <v>197</v>
      </c>
      <c r="B97" s="95">
        <v>15000</v>
      </c>
      <c r="C97" s="85">
        <f>Table5[[#This Row],[COST]]/147</f>
        <v>102.04081632653062</v>
      </c>
      <c r="D97" s="44" t="s">
        <v>264</v>
      </c>
      <c r="E97" s="44" t="s">
        <v>275</v>
      </c>
      <c r="F97" s="87">
        <v>45577</v>
      </c>
      <c r="G97" s="96" t="str">
        <f t="shared" si="24"/>
        <v>Oct</v>
      </c>
      <c r="H97" s="96" t="str">
        <f t="shared" si="25"/>
        <v>2024</v>
      </c>
    </row>
    <row r="98" spans="1:8" x14ac:dyDescent="0.35">
      <c r="A98" t="s">
        <v>129</v>
      </c>
      <c r="B98" s="95">
        <v>1245</v>
      </c>
      <c r="C98" s="85">
        <f>Table5[[#This Row],[COST]]/147</f>
        <v>8.4693877551020407</v>
      </c>
      <c r="D98" s="44" t="s">
        <v>259</v>
      </c>
      <c r="E98" s="44" t="s">
        <v>265</v>
      </c>
      <c r="F98" s="87">
        <v>45585</v>
      </c>
      <c r="G98" s="96" t="str">
        <f t="shared" si="24"/>
        <v>Oct</v>
      </c>
      <c r="H98" s="96" t="str">
        <f t="shared" si="25"/>
        <v>2024</v>
      </c>
    </row>
    <row r="99" spans="1:8" x14ac:dyDescent="0.35">
      <c r="A99" t="s">
        <v>643</v>
      </c>
      <c r="B99" s="95">
        <v>965</v>
      </c>
      <c r="C99" s="85">
        <f>Table5[[#This Row],[COST]]/147</f>
        <v>6.5646258503401365</v>
      </c>
      <c r="D99" s="44" t="s">
        <v>259</v>
      </c>
      <c r="E99" s="44" t="s">
        <v>265</v>
      </c>
      <c r="F99" s="87">
        <v>45586</v>
      </c>
      <c r="G99" s="96" t="str">
        <f t="shared" si="24"/>
        <v>Oct</v>
      </c>
      <c r="H99" s="96" t="str">
        <f t="shared" si="25"/>
        <v>2024</v>
      </c>
    </row>
    <row r="100" spans="1:8" x14ac:dyDescent="0.35">
      <c r="A100" t="s">
        <v>563</v>
      </c>
      <c r="B100" s="95">
        <v>160</v>
      </c>
      <c r="C100" s="85">
        <f>Table5[[#This Row],[COST]]/147</f>
        <v>1.08843537414966</v>
      </c>
      <c r="D100" s="44" t="s">
        <v>259</v>
      </c>
      <c r="E100" s="44" t="s">
        <v>265</v>
      </c>
      <c r="F100" s="87">
        <v>45584</v>
      </c>
      <c r="G100" s="96" t="str">
        <f t="shared" si="24"/>
        <v>Oct</v>
      </c>
      <c r="H100" s="96" t="str">
        <f t="shared" si="25"/>
        <v>2024</v>
      </c>
    </row>
    <row r="101" spans="1:8" x14ac:dyDescent="0.35">
      <c r="A101" t="s">
        <v>497</v>
      </c>
      <c r="B101" s="95">
        <v>180</v>
      </c>
      <c r="C101" s="85">
        <f>Table5[[#This Row],[COST]]/147</f>
        <v>1.2244897959183674</v>
      </c>
      <c r="D101" s="44" t="s">
        <v>259</v>
      </c>
      <c r="E101" s="44" t="s">
        <v>265</v>
      </c>
      <c r="F101" s="87">
        <v>45584</v>
      </c>
      <c r="G101" s="96" t="str">
        <f t="shared" si="24"/>
        <v>Oct</v>
      </c>
      <c r="H101" s="96" t="str">
        <f t="shared" si="25"/>
        <v>2024</v>
      </c>
    </row>
    <row r="102" spans="1:8" x14ac:dyDescent="0.35">
      <c r="A102" t="s">
        <v>534</v>
      </c>
      <c r="B102" s="95">
        <v>100</v>
      </c>
      <c r="C102" s="85">
        <f>Table5[[#This Row],[COST]]/147</f>
        <v>0.68027210884353739</v>
      </c>
      <c r="D102" s="44" t="s">
        <v>259</v>
      </c>
      <c r="E102" s="44" t="s">
        <v>265</v>
      </c>
      <c r="F102" s="87">
        <v>45584</v>
      </c>
      <c r="G102" s="96" t="str">
        <f t="shared" si="24"/>
        <v>Oct</v>
      </c>
      <c r="H102" s="96" t="str">
        <f t="shared" si="25"/>
        <v>2024</v>
      </c>
    </row>
    <row r="103" spans="1:8" x14ac:dyDescent="0.35">
      <c r="A103" t="s">
        <v>650</v>
      </c>
      <c r="B103" s="95">
        <v>140</v>
      </c>
      <c r="C103" s="85">
        <f>Table5[[#This Row],[COST]]/147</f>
        <v>0.95238095238095233</v>
      </c>
      <c r="D103" s="44" t="s">
        <v>259</v>
      </c>
      <c r="E103" s="44" t="s">
        <v>265</v>
      </c>
      <c r="F103" s="87">
        <v>45584</v>
      </c>
      <c r="G103" s="96" t="str">
        <f t="shared" si="24"/>
        <v>Oct</v>
      </c>
      <c r="H103" s="96" t="str">
        <f t="shared" si="25"/>
        <v>2024</v>
      </c>
    </row>
    <row r="104" spans="1:8" x14ac:dyDescent="0.35">
      <c r="A104" t="s">
        <v>682</v>
      </c>
      <c r="B104" s="95">
        <v>58000</v>
      </c>
      <c r="C104" s="85">
        <f>Table5[[#This Row],[COST]]/147</f>
        <v>394.55782312925169</v>
      </c>
      <c r="D104" s="44" t="s">
        <v>259</v>
      </c>
      <c r="E104" s="44" t="s">
        <v>268</v>
      </c>
      <c r="F104" s="87">
        <v>45591</v>
      </c>
      <c r="G104" s="96" t="str">
        <f t="shared" ref="G104:G109" si="26">TEXT(F104,"mmm")</f>
        <v>Oct</v>
      </c>
      <c r="H104" s="96" t="str">
        <f t="shared" ref="H104:H109" si="27">TEXT(F104,"yyy")</f>
        <v>2024</v>
      </c>
    </row>
    <row r="105" spans="1:8" x14ac:dyDescent="0.35">
      <c r="A105" t="s">
        <v>183</v>
      </c>
      <c r="B105" s="95">
        <v>4000</v>
      </c>
      <c r="C105" s="85">
        <f>Table5[[#This Row],[COST]]/147</f>
        <v>27.210884353741495</v>
      </c>
      <c r="D105" s="44" t="s">
        <v>259</v>
      </c>
      <c r="E105" s="44" t="s">
        <v>4</v>
      </c>
      <c r="F105" s="87">
        <v>45589</v>
      </c>
      <c r="G105" s="96" t="str">
        <f t="shared" si="26"/>
        <v>Oct</v>
      </c>
      <c r="H105" s="96" t="str">
        <f t="shared" si="27"/>
        <v>2024</v>
      </c>
    </row>
    <row r="106" spans="1:8" x14ac:dyDescent="0.35">
      <c r="A106" t="s">
        <v>666</v>
      </c>
      <c r="B106" s="95">
        <v>600</v>
      </c>
      <c r="C106" s="85">
        <f>Table5[[#This Row],[COST]]/147</f>
        <v>4.0816326530612246</v>
      </c>
      <c r="D106" s="44" t="s">
        <v>259</v>
      </c>
      <c r="E106" s="44" t="s">
        <v>265</v>
      </c>
      <c r="F106" s="87">
        <v>45591</v>
      </c>
      <c r="G106" s="96" t="str">
        <f t="shared" si="26"/>
        <v>Oct</v>
      </c>
      <c r="H106" s="96" t="str">
        <f t="shared" si="27"/>
        <v>2024</v>
      </c>
    </row>
    <row r="107" spans="1:8" x14ac:dyDescent="0.35">
      <c r="A107" t="s">
        <v>643</v>
      </c>
      <c r="B107" s="95">
        <v>965</v>
      </c>
      <c r="C107" s="85">
        <f>Table5[[#This Row],[COST]]/147</f>
        <v>6.5646258503401365</v>
      </c>
      <c r="D107" s="44" t="s">
        <v>259</v>
      </c>
      <c r="E107" s="44" t="s">
        <v>265</v>
      </c>
      <c r="F107" s="87">
        <v>45592</v>
      </c>
      <c r="G107" s="96" t="str">
        <f t="shared" si="26"/>
        <v>Oct</v>
      </c>
      <c r="H107" s="96" t="str">
        <f t="shared" si="27"/>
        <v>2024</v>
      </c>
    </row>
    <row r="108" spans="1:8" x14ac:dyDescent="0.35">
      <c r="A108" t="s">
        <v>343</v>
      </c>
      <c r="B108" s="95">
        <v>1300</v>
      </c>
      <c r="C108" s="85">
        <f>Table5[[#This Row],[COST]]/147</f>
        <v>8.8435374149659864</v>
      </c>
      <c r="D108" s="44" t="s">
        <v>264</v>
      </c>
      <c r="E108" s="44" t="s">
        <v>275</v>
      </c>
      <c r="F108" s="87">
        <v>45592</v>
      </c>
      <c r="G108" s="96" t="str">
        <f t="shared" si="26"/>
        <v>Oct</v>
      </c>
      <c r="H108" s="96" t="str">
        <f t="shared" si="27"/>
        <v>2024</v>
      </c>
    </row>
    <row r="109" spans="1:8" x14ac:dyDescent="0.35">
      <c r="A109" t="s">
        <v>684</v>
      </c>
      <c r="B109" s="95">
        <v>2000</v>
      </c>
      <c r="C109" s="85">
        <f>Table5[[#This Row],[COST]]/147</f>
        <v>13.605442176870747</v>
      </c>
      <c r="D109" s="44" t="s">
        <v>264</v>
      </c>
      <c r="E109" s="44" t="s">
        <v>275</v>
      </c>
      <c r="F109" s="87">
        <v>45595</v>
      </c>
      <c r="G109" s="96" t="str">
        <f t="shared" si="26"/>
        <v>Oct</v>
      </c>
      <c r="H109" s="96" t="str">
        <f t="shared" si="27"/>
        <v>2024</v>
      </c>
    </row>
    <row r="110" spans="1:8" x14ac:dyDescent="0.35">
      <c r="A110" t="s">
        <v>3</v>
      </c>
      <c r="B110" s="95">
        <v>750</v>
      </c>
      <c r="C110" s="85">
        <f>Table5[[#This Row],[COST]]/147</f>
        <v>5.1020408163265305</v>
      </c>
      <c r="D110" s="44" t="s">
        <v>259</v>
      </c>
      <c r="E110" s="44" t="s">
        <v>265</v>
      </c>
      <c r="F110" s="87">
        <v>45597</v>
      </c>
      <c r="G110" s="96" t="str">
        <f>TEXT(F110,"mmm")</f>
        <v>Nov</v>
      </c>
      <c r="H110" s="96" t="str">
        <f>TEXT(F110,"yyy")</f>
        <v>2024</v>
      </c>
    </row>
    <row r="111" spans="1:8" x14ac:dyDescent="0.35">
      <c r="A111" t="s">
        <v>524</v>
      </c>
      <c r="B111" s="95">
        <v>8858</v>
      </c>
      <c r="C111" s="85">
        <f>Table5[[#This Row],[COST]]/147</f>
        <v>60.258503401360542</v>
      </c>
      <c r="D111" s="44" t="s">
        <v>264</v>
      </c>
      <c r="E111" s="44" t="s">
        <v>275</v>
      </c>
      <c r="F111" s="87">
        <v>45594</v>
      </c>
      <c r="G111" s="96" t="str">
        <f>TEXT(F111,"mmm")</f>
        <v>Oct</v>
      </c>
      <c r="H111" s="96" t="str">
        <f>TEXT(F111,"yyy")</f>
        <v>2024</v>
      </c>
    </row>
    <row r="112" spans="1:8" x14ac:dyDescent="0.35">
      <c r="A112" t="s">
        <v>183</v>
      </c>
      <c r="B112" s="95">
        <v>1000</v>
      </c>
      <c r="C112" s="85">
        <f>Table5[[#This Row],[COST]]/147</f>
        <v>6.8027210884353737</v>
      </c>
      <c r="D112" s="44" t="s">
        <v>259</v>
      </c>
      <c r="E112" s="44" t="s">
        <v>4</v>
      </c>
      <c r="F112" s="87">
        <v>45598</v>
      </c>
      <c r="G112" s="96" t="str">
        <f>TEXT(F112,"mmm")</f>
        <v>Nov</v>
      </c>
      <c r="H112" s="96" t="str">
        <f>TEXT(F112,"yyy")</f>
        <v>2024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AF35C-03FB-442D-BAC2-6F78907AF234}">
  <dimension ref="A1:I147"/>
  <sheetViews>
    <sheetView topLeftCell="A127" workbookViewId="0">
      <selection activeCell="E140" sqref="E140"/>
    </sheetView>
  </sheetViews>
  <sheetFormatPr defaultRowHeight="14.5" x14ac:dyDescent="0.35"/>
  <cols>
    <col min="2" max="2" width="31.54296875" customWidth="1"/>
    <col min="3" max="4" width="19.26953125" style="1" customWidth="1"/>
    <col min="5" max="5" width="29.1796875" customWidth="1"/>
    <col min="8" max="8" width="11.08984375" bestFit="1" customWidth="1"/>
    <col min="9" max="9" width="12.08984375" style="1" bestFit="1" customWidth="1"/>
  </cols>
  <sheetData>
    <row r="1" spans="1:6" x14ac:dyDescent="0.35">
      <c r="A1" s="4" t="s">
        <v>15</v>
      </c>
      <c r="B1" s="4" t="s">
        <v>16</v>
      </c>
      <c r="C1" s="5" t="s">
        <v>17</v>
      </c>
      <c r="D1" s="5" t="s">
        <v>280</v>
      </c>
      <c r="E1" s="4" t="s">
        <v>12</v>
      </c>
      <c r="F1" s="4" t="s">
        <v>276</v>
      </c>
    </row>
    <row r="2" spans="1:6" x14ac:dyDescent="0.35">
      <c r="A2" t="s">
        <v>18</v>
      </c>
      <c r="B2" s="44" t="s">
        <v>19</v>
      </c>
      <c r="C2" s="1">
        <v>200638.21</v>
      </c>
      <c r="D2" s="1">
        <v>1364.8857823129251</v>
      </c>
      <c r="E2" s="2">
        <v>44105</v>
      </c>
      <c r="F2">
        <f>MONTH(Savings[[#This Row],[Date]])</f>
        <v>10</v>
      </c>
    </row>
    <row r="3" spans="1:6" x14ac:dyDescent="0.35">
      <c r="A3" t="s">
        <v>18</v>
      </c>
      <c r="B3" s="44" t="s">
        <v>20</v>
      </c>
      <c r="C3" s="1">
        <v>150249.07</v>
      </c>
      <c r="D3" s="1">
        <v>1022.1025170068027</v>
      </c>
      <c r="E3" s="2">
        <v>44106</v>
      </c>
      <c r="F3">
        <f>MONTH(Savings[[#This Row],[Date]])</f>
        <v>10</v>
      </c>
    </row>
    <row r="4" spans="1:6" x14ac:dyDescent="0.35">
      <c r="A4" t="s">
        <v>18</v>
      </c>
      <c r="B4" s="44" t="s">
        <v>19</v>
      </c>
      <c r="C4" s="1">
        <v>194013.86</v>
      </c>
      <c r="D4" s="1">
        <v>1319.8221768707483</v>
      </c>
      <c r="E4" s="2">
        <v>44136</v>
      </c>
      <c r="F4">
        <f>MONTH(Savings[[#This Row],[Date]])</f>
        <v>11</v>
      </c>
    </row>
    <row r="5" spans="1:6" x14ac:dyDescent="0.35">
      <c r="A5" t="s">
        <v>18</v>
      </c>
      <c r="B5" s="44" t="s">
        <v>20</v>
      </c>
      <c r="C5" s="1">
        <v>150249.07</v>
      </c>
      <c r="D5" s="1">
        <v>1022.1025170068027</v>
      </c>
      <c r="E5" s="2">
        <v>44137</v>
      </c>
      <c r="F5">
        <f>MONTH(Savings[[#This Row],[Date]])</f>
        <v>11</v>
      </c>
    </row>
    <row r="6" spans="1:6" x14ac:dyDescent="0.35">
      <c r="A6" t="s">
        <v>18</v>
      </c>
      <c r="B6" s="44" t="s">
        <v>19</v>
      </c>
      <c r="C6" s="1">
        <v>56000</v>
      </c>
      <c r="D6" s="1">
        <v>380.95238095238096</v>
      </c>
      <c r="E6" s="2">
        <v>44166</v>
      </c>
      <c r="F6">
        <f>MONTH(Savings[[#This Row],[Date]])</f>
        <v>12</v>
      </c>
    </row>
    <row r="7" spans="1:6" x14ac:dyDescent="0.35">
      <c r="A7" t="s">
        <v>18</v>
      </c>
      <c r="B7" s="44" t="s">
        <v>20</v>
      </c>
      <c r="C7" s="1">
        <v>350000</v>
      </c>
      <c r="D7" s="1">
        <v>2380.9523809523807</v>
      </c>
      <c r="E7" s="2">
        <v>44166</v>
      </c>
      <c r="F7">
        <f>MONTH(Savings[[#This Row],[Date]])</f>
        <v>12</v>
      </c>
    </row>
    <row r="8" spans="1:6" x14ac:dyDescent="0.35">
      <c r="A8" t="s">
        <v>18</v>
      </c>
      <c r="B8" s="44" t="s">
        <v>19</v>
      </c>
      <c r="C8" s="1">
        <v>50000</v>
      </c>
      <c r="D8" s="1">
        <v>340.13605442176873</v>
      </c>
      <c r="E8" s="2">
        <v>44197</v>
      </c>
      <c r="F8">
        <f>MONTH(Savings[[#This Row],[Date]])</f>
        <v>1</v>
      </c>
    </row>
    <row r="9" spans="1:6" x14ac:dyDescent="0.35">
      <c r="A9" t="s">
        <v>18</v>
      </c>
      <c r="B9" s="44" t="s">
        <v>20</v>
      </c>
      <c r="C9" s="1">
        <v>400000</v>
      </c>
      <c r="D9" s="1">
        <v>2721.0884353741499</v>
      </c>
      <c r="E9" s="2">
        <v>44198</v>
      </c>
      <c r="F9">
        <f>MONTH(Savings[[#This Row],[Date]])</f>
        <v>1</v>
      </c>
    </row>
    <row r="10" spans="1:6" x14ac:dyDescent="0.35">
      <c r="A10" t="s">
        <v>18</v>
      </c>
      <c r="B10" s="44" t="s">
        <v>19</v>
      </c>
      <c r="C10" s="1">
        <v>46000</v>
      </c>
      <c r="D10" s="1">
        <v>312.92517006802723</v>
      </c>
      <c r="E10" s="2">
        <v>44228</v>
      </c>
      <c r="F10">
        <f>MONTH(Savings[[#This Row],[Date]])</f>
        <v>2</v>
      </c>
    </row>
    <row r="11" spans="1:6" x14ac:dyDescent="0.35">
      <c r="A11" t="s">
        <v>18</v>
      </c>
      <c r="B11" s="44" t="s">
        <v>20</v>
      </c>
      <c r="C11" s="1">
        <v>400000</v>
      </c>
      <c r="D11" s="1">
        <v>2721.0884353741499</v>
      </c>
      <c r="E11" s="2">
        <v>44229</v>
      </c>
      <c r="F11">
        <f>MONTH(Savings[[#This Row],[Date]])</f>
        <v>2</v>
      </c>
    </row>
    <row r="12" spans="1:6" x14ac:dyDescent="0.35">
      <c r="A12" t="s">
        <v>18</v>
      </c>
      <c r="B12" s="44" t="s">
        <v>19</v>
      </c>
      <c r="C12" s="1">
        <v>46000</v>
      </c>
      <c r="D12" s="1">
        <v>312.92517006802723</v>
      </c>
      <c r="E12" s="2">
        <v>44256</v>
      </c>
      <c r="F12">
        <f>MONTH(Savings[[#This Row],[Date]])</f>
        <v>3</v>
      </c>
    </row>
    <row r="13" spans="1:6" x14ac:dyDescent="0.35">
      <c r="A13" t="s">
        <v>18</v>
      </c>
      <c r="B13" s="44" t="s">
        <v>20</v>
      </c>
      <c r="C13" s="1">
        <v>400000</v>
      </c>
      <c r="D13" s="1">
        <v>2721.0884353741499</v>
      </c>
      <c r="E13" s="2">
        <v>44257</v>
      </c>
      <c r="F13">
        <f>MONTH(Savings[[#This Row],[Date]])</f>
        <v>3</v>
      </c>
    </row>
    <row r="14" spans="1:6" x14ac:dyDescent="0.35">
      <c r="A14" t="s">
        <v>18</v>
      </c>
      <c r="B14" s="44" t="s">
        <v>19</v>
      </c>
      <c r="C14" s="1">
        <v>13730</v>
      </c>
      <c r="D14" s="1">
        <v>93.401360544217681</v>
      </c>
      <c r="E14" s="2">
        <v>44287</v>
      </c>
      <c r="F14">
        <f>MONTH(Savings[[#This Row],[Date]])</f>
        <v>4</v>
      </c>
    </row>
    <row r="15" spans="1:6" x14ac:dyDescent="0.35">
      <c r="A15" t="s">
        <v>18</v>
      </c>
      <c r="B15" s="44" t="s">
        <v>20</v>
      </c>
      <c r="C15" s="1">
        <v>540654</v>
      </c>
      <c r="D15" s="1">
        <v>3677.9183673469388</v>
      </c>
      <c r="E15" s="2">
        <v>44288</v>
      </c>
      <c r="F15">
        <f>MONTH(Savings[[#This Row],[Date]])</f>
        <v>4</v>
      </c>
    </row>
    <row r="16" spans="1:6" x14ac:dyDescent="0.35">
      <c r="A16" t="s">
        <v>18</v>
      </c>
      <c r="B16" s="44" t="s">
        <v>19</v>
      </c>
      <c r="C16" s="1">
        <f>C14</f>
        <v>13730</v>
      </c>
      <c r="D16" s="1">
        <v>93.401360544217681</v>
      </c>
      <c r="E16" s="2">
        <v>44319</v>
      </c>
      <c r="F16">
        <f>MONTH(Savings[[#This Row],[Date]])</f>
        <v>5</v>
      </c>
    </row>
    <row r="17" spans="1:6" x14ac:dyDescent="0.35">
      <c r="A17" t="s">
        <v>18</v>
      </c>
      <c r="B17" s="44" t="s">
        <v>20</v>
      </c>
      <c r="C17" s="1">
        <f>C15</f>
        <v>540654</v>
      </c>
      <c r="D17" s="1">
        <v>3677.9183673469388</v>
      </c>
      <c r="E17" s="2">
        <v>44320</v>
      </c>
      <c r="F17">
        <f>MONTH(Savings[[#This Row],[Date]])</f>
        <v>5</v>
      </c>
    </row>
    <row r="18" spans="1:6" x14ac:dyDescent="0.35">
      <c r="A18" t="s">
        <v>18</v>
      </c>
      <c r="B18" s="44" t="s">
        <v>19</v>
      </c>
      <c r="C18" s="1">
        <v>1706</v>
      </c>
      <c r="D18" s="1">
        <v>11.605442176870747</v>
      </c>
      <c r="E18" s="2">
        <v>44352</v>
      </c>
      <c r="F18">
        <f>MONTH(Savings[[#This Row],[Date]])</f>
        <v>6</v>
      </c>
    </row>
    <row r="19" spans="1:6" x14ac:dyDescent="0.35">
      <c r="A19" t="s">
        <v>18</v>
      </c>
      <c r="B19" s="44" t="s">
        <v>20</v>
      </c>
      <c r="C19" s="1">
        <f>C17</f>
        <v>540654</v>
      </c>
      <c r="D19" s="1">
        <v>3677.9183673469388</v>
      </c>
      <c r="E19" s="2">
        <v>44353</v>
      </c>
      <c r="F19">
        <f>MONTH(Savings[[#This Row],[Date]])</f>
        <v>6</v>
      </c>
    </row>
    <row r="20" spans="1:6" x14ac:dyDescent="0.35">
      <c r="A20" t="s">
        <v>18</v>
      </c>
      <c r="B20" s="44" t="s">
        <v>19</v>
      </c>
      <c r="C20" s="1">
        <v>3707</v>
      </c>
      <c r="D20" s="1">
        <v>25.217687074829932</v>
      </c>
      <c r="E20" s="2">
        <v>44384</v>
      </c>
      <c r="F20">
        <f>MONTH(Savings[[#This Row],[Date]])</f>
        <v>7</v>
      </c>
    </row>
    <row r="21" spans="1:6" x14ac:dyDescent="0.35">
      <c r="A21" t="s">
        <v>18</v>
      </c>
      <c r="B21" s="44" t="s">
        <v>20</v>
      </c>
      <c r="C21" s="1">
        <f>C19</f>
        <v>540654</v>
      </c>
      <c r="D21" s="1">
        <v>3677.9183673469388</v>
      </c>
      <c r="E21" s="2">
        <v>44385</v>
      </c>
      <c r="F21">
        <f>MONTH(Savings[[#This Row],[Date]])</f>
        <v>7</v>
      </c>
    </row>
    <row r="22" spans="1:6" x14ac:dyDescent="0.35">
      <c r="A22" t="s">
        <v>18</v>
      </c>
      <c r="B22" s="44" t="s">
        <v>19</v>
      </c>
      <c r="C22" s="1">
        <v>3708</v>
      </c>
      <c r="D22" s="1">
        <v>25.224489795918366</v>
      </c>
      <c r="E22" s="2">
        <v>44417</v>
      </c>
      <c r="F22">
        <f>MONTH(Savings[[#This Row],[Date]])</f>
        <v>8</v>
      </c>
    </row>
    <row r="23" spans="1:6" x14ac:dyDescent="0.35">
      <c r="A23" t="s">
        <v>18</v>
      </c>
      <c r="B23" s="44" t="s">
        <v>20</v>
      </c>
      <c r="C23" s="1">
        <f>C21</f>
        <v>540654</v>
      </c>
      <c r="D23" s="1">
        <v>3677.9183673469388</v>
      </c>
      <c r="E23" s="2">
        <v>44418</v>
      </c>
      <c r="F23">
        <f>MONTH(Savings[[#This Row],[Date]])</f>
        <v>8</v>
      </c>
    </row>
    <row r="24" spans="1:6" x14ac:dyDescent="0.35">
      <c r="A24" t="s">
        <v>18</v>
      </c>
      <c r="B24" s="44" t="s">
        <v>19</v>
      </c>
      <c r="C24" s="1">
        <v>14000</v>
      </c>
      <c r="D24" s="1">
        <v>95.238095238095241</v>
      </c>
      <c r="E24" s="2">
        <v>44450</v>
      </c>
      <c r="F24">
        <f>MONTH(Savings[[#This Row],[Date]])</f>
        <v>9</v>
      </c>
    </row>
    <row r="25" spans="1:6" x14ac:dyDescent="0.35">
      <c r="A25" t="s">
        <v>18</v>
      </c>
      <c r="B25" s="44" t="s">
        <v>20</v>
      </c>
      <c r="C25" s="1">
        <f>650000</f>
        <v>650000</v>
      </c>
      <c r="D25" s="1">
        <v>4421.7687074829928</v>
      </c>
      <c r="E25" s="2">
        <v>44451</v>
      </c>
      <c r="F25">
        <f>MONTH(Savings[[#This Row],[Date]])</f>
        <v>9</v>
      </c>
    </row>
    <row r="26" spans="1:6" x14ac:dyDescent="0.35">
      <c r="A26" t="s">
        <v>18</v>
      </c>
      <c r="B26" s="44" t="s">
        <v>19</v>
      </c>
      <c r="C26" s="1">
        <v>12000</v>
      </c>
      <c r="D26" s="1">
        <v>81.632653061224488</v>
      </c>
      <c r="E26" s="2">
        <v>44470</v>
      </c>
      <c r="F26">
        <f>MONTH(Savings[[#This Row],[Date]])</f>
        <v>10</v>
      </c>
    </row>
    <row r="27" spans="1:6" x14ac:dyDescent="0.35">
      <c r="A27" t="s">
        <v>18</v>
      </c>
      <c r="B27" s="44" t="s">
        <v>20</v>
      </c>
      <c r="C27" s="1">
        <f>C25+136000</f>
        <v>786000</v>
      </c>
      <c r="D27" s="1">
        <v>5346.9387755102043</v>
      </c>
      <c r="E27" s="2">
        <v>44471</v>
      </c>
      <c r="F27">
        <f>MONTH(Savings[[#This Row],[Date]])</f>
        <v>10</v>
      </c>
    </row>
    <row r="28" spans="1:6" x14ac:dyDescent="0.35">
      <c r="A28" t="s">
        <v>18</v>
      </c>
      <c r="B28" s="44" t="s">
        <v>19</v>
      </c>
      <c r="C28" s="1">
        <v>2000</v>
      </c>
      <c r="D28" s="1">
        <v>13.605442176870747</v>
      </c>
      <c r="E28" s="2">
        <v>44503</v>
      </c>
      <c r="F28">
        <f>MONTH(Savings[[#This Row],[Date]])</f>
        <v>11</v>
      </c>
    </row>
    <row r="29" spans="1:6" x14ac:dyDescent="0.35">
      <c r="A29" t="s">
        <v>18</v>
      </c>
      <c r="B29" s="44" t="s">
        <v>20</v>
      </c>
      <c r="C29" s="1">
        <f>C27+80000</f>
        <v>866000</v>
      </c>
      <c r="D29" s="1">
        <v>5891.1564625850342</v>
      </c>
      <c r="E29" s="2">
        <v>44504</v>
      </c>
      <c r="F29">
        <f>MONTH(Savings[[#This Row],[Date]])</f>
        <v>11</v>
      </c>
    </row>
    <row r="30" spans="1:6" x14ac:dyDescent="0.35">
      <c r="A30" t="s">
        <v>18</v>
      </c>
      <c r="B30" s="44" t="s">
        <v>19</v>
      </c>
      <c r="C30" s="1">
        <v>700</v>
      </c>
      <c r="D30" s="1">
        <v>4.7619047619047619</v>
      </c>
      <c r="E30" s="2">
        <v>44535</v>
      </c>
      <c r="F30">
        <f>MONTH(Savings[[#This Row],[Date]])</f>
        <v>12</v>
      </c>
    </row>
    <row r="31" spans="1:6" x14ac:dyDescent="0.35">
      <c r="A31" t="s">
        <v>18</v>
      </c>
      <c r="B31" s="44" t="s">
        <v>20</v>
      </c>
      <c r="C31" s="1">
        <v>888976.04</v>
      </c>
      <c r="D31" s="1">
        <v>6047.4560544217693</v>
      </c>
      <c r="E31" s="2">
        <v>44536</v>
      </c>
      <c r="F31">
        <f>MONTH(Savings[[#This Row],[Date]])</f>
        <v>12</v>
      </c>
    </row>
    <row r="32" spans="1:6" x14ac:dyDescent="0.35">
      <c r="A32" t="s">
        <v>18</v>
      </c>
      <c r="B32" s="44" t="s">
        <v>19</v>
      </c>
      <c r="C32" s="1">
        <v>2000</v>
      </c>
      <c r="D32" s="1">
        <v>13.605442176870747</v>
      </c>
      <c r="E32" s="2">
        <v>44568</v>
      </c>
      <c r="F32">
        <f>MONTH(Savings[[#This Row],[Date]])</f>
        <v>1</v>
      </c>
    </row>
    <row r="33" spans="1:6" x14ac:dyDescent="0.35">
      <c r="A33" t="s">
        <v>18</v>
      </c>
      <c r="B33" s="44" t="s">
        <v>20</v>
      </c>
      <c r="C33" s="1">
        <v>990000</v>
      </c>
      <c r="D33" s="1">
        <v>6734.6938775510207</v>
      </c>
      <c r="E33" s="2">
        <v>44569</v>
      </c>
      <c r="F33">
        <f>MONTH(Savings[[#This Row],[Date]])</f>
        <v>1</v>
      </c>
    </row>
    <row r="34" spans="1:6" x14ac:dyDescent="0.35">
      <c r="A34" t="s">
        <v>18</v>
      </c>
      <c r="B34" s="44" t="s">
        <v>19</v>
      </c>
      <c r="C34" s="1">
        <v>2000</v>
      </c>
      <c r="D34" s="1">
        <v>13.605442176870747</v>
      </c>
      <c r="E34" s="2">
        <v>44601</v>
      </c>
      <c r="F34">
        <f>MONTH(Savings[[#This Row],[Date]])</f>
        <v>2</v>
      </c>
    </row>
    <row r="35" spans="1:6" x14ac:dyDescent="0.35">
      <c r="A35" t="s">
        <v>18</v>
      </c>
      <c r="B35" s="44" t="s">
        <v>20</v>
      </c>
      <c r="C35" s="1">
        <v>990000</v>
      </c>
      <c r="D35" s="1">
        <v>6734.6938775510207</v>
      </c>
      <c r="E35" s="2">
        <v>44602</v>
      </c>
      <c r="F35">
        <f>MONTH(Savings[[#This Row],[Date]])</f>
        <v>2</v>
      </c>
    </row>
    <row r="36" spans="1:6" x14ac:dyDescent="0.35">
      <c r="A36" t="s">
        <v>18</v>
      </c>
      <c r="B36" s="44" t="s">
        <v>19</v>
      </c>
      <c r="C36" s="1">
        <v>2000</v>
      </c>
      <c r="D36" s="1">
        <v>13.605442176870747</v>
      </c>
      <c r="E36" s="2">
        <v>44631</v>
      </c>
      <c r="F36">
        <f>MONTH(Savings[[#This Row],[Date]])</f>
        <v>3</v>
      </c>
    </row>
    <row r="37" spans="1:6" x14ac:dyDescent="0.35">
      <c r="A37" t="s">
        <v>18</v>
      </c>
      <c r="B37" s="44" t="s">
        <v>20</v>
      </c>
      <c r="C37" s="1">
        <v>990000</v>
      </c>
      <c r="D37" s="1">
        <v>6734.6938775510207</v>
      </c>
      <c r="E37" s="2">
        <v>44632</v>
      </c>
      <c r="F37">
        <f>MONTH(Savings[[#This Row],[Date]])</f>
        <v>3</v>
      </c>
    </row>
    <row r="38" spans="1:6" x14ac:dyDescent="0.35">
      <c r="A38" t="s">
        <v>18</v>
      </c>
      <c r="B38" s="44" t="s">
        <v>19</v>
      </c>
      <c r="C38" s="1">
        <v>2000</v>
      </c>
      <c r="D38" s="1">
        <v>13.605442176870747</v>
      </c>
      <c r="E38" s="2">
        <v>44652</v>
      </c>
      <c r="F38">
        <f>MONTH(Savings[[#This Row],[Date]])</f>
        <v>4</v>
      </c>
    </row>
    <row r="39" spans="1:6" x14ac:dyDescent="0.35">
      <c r="A39" t="s">
        <v>18</v>
      </c>
      <c r="B39" s="44" t="s">
        <v>20</v>
      </c>
      <c r="C39" s="1">
        <v>990000</v>
      </c>
      <c r="D39" s="1">
        <v>6734.6938775510207</v>
      </c>
      <c r="E39" s="2">
        <v>44653</v>
      </c>
      <c r="F39">
        <f>MONTH(Savings[[#This Row],[Date]])</f>
        <v>4</v>
      </c>
    </row>
    <row r="40" spans="1:6" x14ac:dyDescent="0.35">
      <c r="A40" t="s">
        <v>18</v>
      </c>
      <c r="B40" s="44" t="s">
        <v>19</v>
      </c>
      <c r="C40" s="1">
        <v>2000</v>
      </c>
      <c r="D40" s="1">
        <v>13.605442176870747</v>
      </c>
      <c r="E40" s="2">
        <v>44684</v>
      </c>
      <c r="F40">
        <f>MONTH(Savings[[#This Row],[Date]])</f>
        <v>5</v>
      </c>
    </row>
    <row r="41" spans="1:6" x14ac:dyDescent="0.35">
      <c r="A41" t="s">
        <v>18</v>
      </c>
      <c r="B41" s="44" t="s">
        <v>20</v>
      </c>
      <c r="C41" s="1">
        <v>1000000</v>
      </c>
      <c r="D41" s="1">
        <v>6802.7210884353744</v>
      </c>
      <c r="E41" s="2">
        <v>44685</v>
      </c>
      <c r="F41">
        <f>MONTH(Savings[[#This Row],[Date]])</f>
        <v>5</v>
      </c>
    </row>
    <row r="42" spans="1:6" x14ac:dyDescent="0.35">
      <c r="A42" t="s">
        <v>18</v>
      </c>
      <c r="B42" s="44" t="s">
        <v>19</v>
      </c>
      <c r="C42" s="1">
        <v>2000</v>
      </c>
      <c r="D42" s="1">
        <v>13.605442176870747</v>
      </c>
      <c r="E42" s="2">
        <v>44717</v>
      </c>
      <c r="F42">
        <f>MONTH(Savings[[#This Row],[Date]])</f>
        <v>6</v>
      </c>
    </row>
    <row r="43" spans="1:6" x14ac:dyDescent="0.35">
      <c r="A43" t="s">
        <v>18</v>
      </c>
      <c r="B43" s="44" t="s">
        <v>20</v>
      </c>
      <c r="C43" s="1">
        <v>1000000</v>
      </c>
      <c r="D43" s="1">
        <v>6802.7210884353744</v>
      </c>
      <c r="E43" s="2">
        <v>44718</v>
      </c>
      <c r="F43">
        <f>MONTH(Savings[[#This Row],[Date]])</f>
        <v>6</v>
      </c>
    </row>
    <row r="44" spans="1:6" x14ac:dyDescent="0.35">
      <c r="A44" t="s">
        <v>18</v>
      </c>
      <c r="B44" s="44" t="s">
        <v>19</v>
      </c>
      <c r="C44" s="1">
        <v>2000</v>
      </c>
      <c r="D44" s="1">
        <v>13.605442176870747</v>
      </c>
      <c r="E44" s="2">
        <v>44749</v>
      </c>
      <c r="F44">
        <f>MONTH(Savings[[#This Row],[Date]])</f>
        <v>7</v>
      </c>
    </row>
    <row r="45" spans="1:6" x14ac:dyDescent="0.35">
      <c r="A45" t="s">
        <v>18</v>
      </c>
      <c r="B45" s="44" t="s">
        <v>20</v>
      </c>
      <c r="C45" s="1">
        <v>1000000</v>
      </c>
      <c r="D45" s="1">
        <v>6802.7210884353744</v>
      </c>
      <c r="E45" s="2">
        <v>44750</v>
      </c>
      <c r="F45">
        <f>MONTH(Savings[[#This Row],[Date]])</f>
        <v>7</v>
      </c>
    </row>
    <row r="46" spans="1:6" x14ac:dyDescent="0.35">
      <c r="A46" t="s">
        <v>18</v>
      </c>
      <c r="B46" s="44" t="s">
        <v>19</v>
      </c>
      <c r="C46" s="1">
        <v>2000</v>
      </c>
      <c r="D46" s="1">
        <v>13.605442176870747</v>
      </c>
      <c r="E46" s="2">
        <v>44780</v>
      </c>
      <c r="F46">
        <f>MONTH(Savings[[#This Row],[Date]])</f>
        <v>8</v>
      </c>
    </row>
    <row r="47" spans="1:6" x14ac:dyDescent="0.35">
      <c r="A47" t="s">
        <v>18</v>
      </c>
      <c r="B47" s="44" t="s">
        <v>20</v>
      </c>
      <c r="C47" s="1">
        <v>1000000</v>
      </c>
      <c r="D47" s="1">
        <v>6802.7210884353744</v>
      </c>
      <c r="E47" s="2">
        <v>44781</v>
      </c>
      <c r="F47">
        <f>MONTH(Savings[[#This Row],[Date]])</f>
        <v>8</v>
      </c>
    </row>
    <row r="48" spans="1:6" x14ac:dyDescent="0.35">
      <c r="A48" t="s">
        <v>18</v>
      </c>
      <c r="B48" s="44" t="s">
        <v>19</v>
      </c>
      <c r="C48" s="1">
        <v>2000</v>
      </c>
      <c r="D48" s="1">
        <v>13.605442176870747</v>
      </c>
      <c r="E48" s="2">
        <v>44811</v>
      </c>
      <c r="F48">
        <f>MONTH(Savings[[#This Row],[Date]])</f>
        <v>9</v>
      </c>
    </row>
    <row r="49" spans="1:8" x14ac:dyDescent="0.35">
      <c r="A49" t="s">
        <v>18</v>
      </c>
      <c r="B49" s="44" t="s">
        <v>20</v>
      </c>
      <c r="C49" s="1">
        <v>1000000</v>
      </c>
      <c r="D49" s="1">
        <v>6802.7210884353744</v>
      </c>
      <c r="E49" s="2">
        <v>44812</v>
      </c>
      <c r="F49">
        <f>MONTH(Savings[[#This Row],[Date]])</f>
        <v>9</v>
      </c>
    </row>
    <row r="50" spans="1:8" x14ac:dyDescent="0.35">
      <c r="A50" t="s">
        <v>18</v>
      </c>
      <c r="B50" s="44" t="s">
        <v>19</v>
      </c>
      <c r="C50" s="1">
        <v>2000</v>
      </c>
      <c r="D50" s="1">
        <v>13.605442176870747</v>
      </c>
      <c r="E50" s="2">
        <v>44841</v>
      </c>
      <c r="F50">
        <f>MONTH(Savings[[#This Row],[Date]])</f>
        <v>10</v>
      </c>
    </row>
    <row r="51" spans="1:8" x14ac:dyDescent="0.35">
      <c r="A51" t="s">
        <v>18</v>
      </c>
      <c r="B51" s="44" t="s">
        <v>20</v>
      </c>
      <c r="C51" s="1">
        <v>1000000</v>
      </c>
      <c r="D51" s="1">
        <v>6802.7210884353744</v>
      </c>
      <c r="E51" s="2">
        <v>44842</v>
      </c>
      <c r="F51">
        <f>MONTH(Savings[[#This Row],[Date]])</f>
        <v>10</v>
      </c>
    </row>
    <row r="52" spans="1:8" x14ac:dyDescent="0.35">
      <c r="A52" t="s">
        <v>18</v>
      </c>
      <c r="B52" s="44" t="s">
        <v>19</v>
      </c>
      <c r="C52" s="1">
        <v>2000</v>
      </c>
      <c r="D52" s="1">
        <v>13.605442176870747</v>
      </c>
      <c r="E52" s="2">
        <v>44872</v>
      </c>
      <c r="F52">
        <f>MONTH(Savings[[#This Row],[Date]])</f>
        <v>11</v>
      </c>
    </row>
    <row r="53" spans="1:8" x14ac:dyDescent="0.35">
      <c r="A53" t="s">
        <v>18</v>
      </c>
      <c r="B53" s="44" t="s">
        <v>20</v>
      </c>
      <c r="C53" s="1">
        <v>1000000</v>
      </c>
      <c r="D53" s="1">
        <v>6802.7210884353744</v>
      </c>
      <c r="E53" s="2">
        <v>44873</v>
      </c>
      <c r="F53">
        <f>MONTH(Savings[[#This Row],[Date]])</f>
        <v>11</v>
      </c>
    </row>
    <row r="54" spans="1:8" x14ac:dyDescent="0.35">
      <c r="A54" t="s">
        <v>18</v>
      </c>
      <c r="B54" s="44" t="s">
        <v>19</v>
      </c>
      <c r="C54" s="1">
        <v>2000</v>
      </c>
      <c r="D54" s="1">
        <v>13.605442176870747</v>
      </c>
      <c r="E54" s="2">
        <v>44902</v>
      </c>
      <c r="F54">
        <f>MONTH(Savings[[#This Row],[Date]])</f>
        <v>12</v>
      </c>
    </row>
    <row r="55" spans="1:8" x14ac:dyDescent="0.35">
      <c r="A55" t="s">
        <v>18</v>
      </c>
      <c r="B55" s="44" t="s">
        <v>20</v>
      </c>
      <c r="C55" s="1">
        <v>1000000</v>
      </c>
      <c r="D55" s="1">
        <v>6802.7210884353744</v>
      </c>
      <c r="E55" s="2">
        <v>44903</v>
      </c>
      <c r="F55">
        <f>MONTH(Savings[[#This Row],[Date]])</f>
        <v>12</v>
      </c>
    </row>
    <row r="56" spans="1:8" x14ac:dyDescent="0.35">
      <c r="A56" t="s">
        <v>174</v>
      </c>
      <c r="B56" s="44" t="s">
        <v>179</v>
      </c>
      <c r="C56" s="1">
        <v>10000</v>
      </c>
      <c r="D56" s="1">
        <v>68.027210884353735</v>
      </c>
      <c r="E56" s="2">
        <v>44601</v>
      </c>
      <c r="F56">
        <f>MONTH(Savings[[#This Row],[Date]])</f>
        <v>2</v>
      </c>
    </row>
    <row r="57" spans="1:8" x14ac:dyDescent="0.35">
      <c r="A57" t="s">
        <v>174</v>
      </c>
      <c r="B57" s="44" t="s">
        <v>180</v>
      </c>
      <c r="C57" s="1">
        <v>16023</v>
      </c>
      <c r="D57" s="1">
        <v>109</v>
      </c>
      <c r="E57" s="2">
        <v>44601</v>
      </c>
      <c r="F57">
        <f>MONTH(Savings[[#This Row],[Date]])</f>
        <v>2</v>
      </c>
      <c r="H57" s="24"/>
    </row>
    <row r="58" spans="1:8" x14ac:dyDescent="0.35">
      <c r="A58" t="s">
        <v>174</v>
      </c>
      <c r="B58" s="44" t="s">
        <v>19</v>
      </c>
      <c r="C58" s="1">
        <v>66386.67</v>
      </c>
      <c r="D58" s="1">
        <v>451.61</v>
      </c>
      <c r="E58" s="2">
        <v>44601</v>
      </c>
      <c r="F58">
        <f>MONTH(Savings[[#This Row],[Date]])</f>
        <v>2</v>
      </c>
      <c r="H58" s="24"/>
    </row>
    <row r="59" spans="1:8" x14ac:dyDescent="0.35">
      <c r="A59" t="s">
        <v>174</v>
      </c>
      <c r="B59" s="44" t="s">
        <v>181</v>
      </c>
      <c r="C59" s="1">
        <v>61642.979999999996</v>
      </c>
      <c r="D59" s="1">
        <v>419.34</v>
      </c>
      <c r="E59" s="2">
        <v>44601</v>
      </c>
      <c r="F59">
        <f>MONTH(Savings[[#This Row],[Date]])</f>
        <v>2</v>
      </c>
      <c r="H59" s="24"/>
    </row>
    <row r="60" spans="1:8" x14ac:dyDescent="0.35">
      <c r="A60" t="s">
        <v>174</v>
      </c>
      <c r="B60" s="44" t="s">
        <v>179</v>
      </c>
      <c r="C60" s="1">
        <v>0</v>
      </c>
      <c r="D60" s="1">
        <v>0</v>
      </c>
      <c r="E60" s="2">
        <v>44629</v>
      </c>
      <c r="F60">
        <f>MONTH(Savings[[#This Row],[Date]])</f>
        <v>3</v>
      </c>
      <c r="H60" s="24"/>
    </row>
    <row r="61" spans="1:8" x14ac:dyDescent="0.35">
      <c r="A61" t="s">
        <v>174</v>
      </c>
      <c r="B61" s="44" t="s">
        <v>180</v>
      </c>
      <c r="C61" s="1">
        <v>8526</v>
      </c>
      <c r="D61" s="1">
        <v>58</v>
      </c>
      <c r="E61" s="2">
        <v>44629</v>
      </c>
      <c r="F61">
        <f>MONTH(Savings[[#This Row],[Date]])</f>
        <v>3</v>
      </c>
      <c r="H61" s="24"/>
    </row>
    <row r="62" spans="1:8" x14ac:dyDescent="0.35">
      <c r="A62" t="s">
        <v>174</v>
      </c>
      <c r="B62" s="44" t="s">
        <v>19</v>
      </c>
      <c r="C62" s="1">
        <v>90096.3</v>
      </c>
      <c r="D62" s="1">
        <v>612.9</v>
      </c>
      <c r="E62" s="2">
        <v>44629</v>
      </c>
      <c r="F62">
        <f>MONTH(Savings[[#This Row],[Date]])</f>
        <v>3</v>
      </c>
      <c r="H62" s="24"/>
    </row>
    <row r="63" spans="1:8" x14ac:dyDescent="0.35">
      <c r="A63" t="s">
        <v>174</v>
      </c>
      <c r="B63" s="44" t="s">
        <v>181</v>
      </c>
      <c r="C63" s="1">
        <v>61642.98</v>
      </c>
      <c r="D63" s="1">
        <v>419.34000000000003</v>
      </c>
      <c r="E63" s="2">
        <v>44629</v>
      </c>
      <c r="F63">
        <f>MONTH(Savings[[#This Row],[Date]])</f>
        <v>3</v>
      </c>
      <c r="H63" s="24"/>
    </row>
    <row r="64" spans="1:8" x14ac:dyDescent="0.35">
      <c r="A64" t="s">
        <v>174</v>
      </c>
      <c r="B64" s="44" t="s">
        <v>179</v>
      </c>
      <c r="C64" s="51">
        <v>40000</v>
      </c>
      <c r="D64" s="51">
        <v>272.10884353741494</v>
      </c>
      <c r="E64" s="2">
        <v>44660</v>
      </c>
      <c r="F64">
        <f>MONTH(Savings[[#This Row],[Date]])</f>
        <v>4</v>
      </c>
      <c r="H64" s="24"/>
    </row>
    <row r="65" spans="1:8" x14ac:dyDescent="0.35">
      <c r="A65" t="s">
        <v>174</v>
      </c>
      <c r="B65" s="44" t="s">
        <v>180</v>
      </c>
      <c r="C65" s="1">
        <v>8526</v>
      </c>
      <c r="D65" s="1">
        <v>58</v>
      </c>
      <c r="E65" s="2">
        <v>44661</v>
      </c>
      <c r="F65">
        <f>MONTH(Savings[[#This Row],[Date]])</f>
        <v>4</v>
      </c>
      <c r="H65" s="24"/>
    </row>
    <row r="66" spans="1:8" x14ac:dyDescent="0.35">
      <c r="A66" t="s">
        <v>174</v>
      </c>
      <c r="B66" s="44" t="s">
        <v>19</v>
      </c>
      <c r="C66" s="1">
        <v>150404.51999999999</v>
      </c>
      <c r="D66" s="1">
        <v>1023.16</v>
      </c>
      <c r="E66" s="2">
        <v>44662</v>
      </c>
      <c r="F66">
        <f>MONTH(Savings[[#This Row],[Date]])</f>
        <v>4</v>
      </c>
      <c r="H66" s="24"/>
    </row>
    <row r="67" spans="1:8" x14ac:dyDescent="0.35">
      <c r="A67" t="s">
        <v>174</v>
      </c>
      <c r="B67" s="44" t="s">
        <v>181</v>
      </c>
      <c r="C67" s="1">
        <v>134200.71000000002</v>
      </c>
      <c r="D67" s="1">
        <v>912.93000000000018</v>
      </c>
      <c r="E67" s="2">
        <v>44663</v>
      </c>
      <c r="F67">
        <f>MONTH(Savings[[#This Row],[Date]])</f>
        <v>4</v>
      </c>
      <c r="H67" s="24"/>
    </row>
    <row r="68" spans="1:8" x14ac:dyDescent="0.35">
      <c r="A68" t="s">
        <v>174</v>
      </c>
      <c r="B68" s="44" t="s">
        <v>179</v>
      </c>
      <c r="C68" s="1">
        <v>48000</v>
      </c>
      <c r="D68" s="1">
        <v>326.53061224489795</v>
      </c>
      <c r="E68" s="2">
        <v>44693</v>
      </c>
      <c r="F68">
        <f>MONTH(Savings[[#This Row],[Date]])</f>
        <v>5</v>
      </c>
      <c r="H68" s="24"/>
    </row>
    <row r="69" spans="1:8" x14ac:dyDescent="0.35">
      <c r="A69" t="s">
        <v>174</v>
      </c>
      <c r="B69" s="44" t="s">
        <v>180</v>
      </c>
      <c r="C69" s="1">
        <v>1764</v>
      </c>
      <c r="D69" s="1">
        <v>12</v>
      </c>
      <c r="E69" s="2">
        <v>44694</v>
      </c>
      <c r="F69">
        <f>MONTH(Savings[[#This Row],[Date]])</f>
        <v>5</v>
      </c>
      <c r="H69" s="24"/>
    </row>
    <row r="70" spans="1:8" x14ac:dyDescent="0.35">
      <c r="A70" t="s">
        <v>174</v>
      </c>
      <c r="B70" s="44" t="s">
        <v>19</v>
      </c>
      <c r="C70" s="1">
        <v>206943.66</v>
      </c>
      <c r="D70" s="1">
        <v>1407.78</v>
      </c>
      <c r="E70" s="2">
        <v>44695</v>
      </c>
      <c r="F70">
        <f>MONTH(Savings[[#This Row],[Date]])</f>
        <v>5</v>
      </c>
      <c r="H70" s="24"/>
    </row>
    <row r="71" spans="1:8" x14ac:dyDescent="0.35">
      <c r="A71" t="s">
        <v>174</v>
      </c>
      <c r="B71" s="44" t="s">
        <v>181</v>
      </c>
      <c r="C71" s="1">
        <v>134200.71000000002</v>
      </c>
      <c r="D71" s="1">
        <v>912.93000000000018</v>
      </c>
      <c r="E71" s="2">
        <v>44696</v>
      </c>
      <c r="F71">
        <f>MONTH(Savings[[#This Row],[Date]])</f>
        <v>5</v>
      </c>
      <c r="H71" s="24"/>
    </row>
    <row r="72" spans="1:8" x14ac:dyDescent="0.35">
      <c r="A72" t="s">
        <v>174</v>
      </c>
      <c r="B72" s="44" t="s">
        <v>179</v>
      </c>
      <c r="C72" s="1">
        <v>30000</v>
      </c>
      <c r="D72" s="1">
        <v>204.08163265306123</v>
      </c>
      <c r="E72" s="2">
        <v>44727</v>
      </c>
      <c r="F72">
        <f>MONTH(Savings[[#This Row],[Date]])</f>
        <v>6</v>
      </c>
      <c r="H72" s="24"/>
    </row>
    <row r="73" spans="1:8" x14ac:dyDescent="0.35">
      <c r="A73" t="s">
        <v>174</v>
      </c>
      <c r="B73" s="44" t="s">
        <v>180</v>
      </c>
      <c r="C73" s="1">
        <v>0</v>
      </c>
      <c r="D73" s="1">
        <v>0</v>
      </c>
      <c r="E73" s="2">
        <v>44728</v>
      </c>
      <c r="F73">
        <f>MONTH(Savings[[#This Row],[Date]])</f>
        <v>6</v>
      </c>
      <c r="H73" s="24"/>
    </row>
    <row r="74" spans="1:8" x14ac:dyDescent="0.35">
      <c r="A74" t="s">
        <v>174</v>
      </c>
      <c r="B74" s="44" t="s">
        <v>19</v>
      </c>
      <c r="C74" s="1">
        <v>104043.65999999999</v>
      </c>
      <c r="D74" s="1">
        <v>707.78</v>
      </c>
      <c r="E74" s="2">
        <v>44729</v>
      </c>
      <c r="F74">
        <f>MONTH(Savings[[#This Row],[Date]])</f>
        <v>6</v>
      </c>
      <c r="H74" s="24"/>
    </row>
    <row r="75" spans="1:8" x14ac:dyDescent="0.35">
      <c r="A75" t="s">
        <v>174</v>
      </c>
      <c r="B75" s="44" t="s">
        <v>181</v>
      </c>
      <c r="C75" s="1">
        <v>16600.71000000001</v>
      </c>
      <c r="D75" s="1">
        <v>112.93000000000006</v>
      </c>
      <c r="E75" s="2">
        <v>44730</v>
      </c>
      <c r="F75">
        <f>MONTH(Savings[[#This Row],[Date]])</f>
        <v>6</v>
      </c>
      <c r="H75" s="24"/>
    </row>
    <row r="76" spans="1:8" x14ac:dyDescent="0.35">
      <c r="A76" t="s">
        <v>174</v>
      </c>
      <c r="B76" s="44" t="s">
        <v>179</v>
      </c>
      <c r="C76" s="1">
        <v>7000</v>
      </c>
      <c r="D76" s="1">
        <v>47.61904761904762</v>
      </c>
      <c r="E76" s="2">
        <v>44760</v>
      </c>
      <c r="F76">
        <f>MONTH(Savings[[#This Row],[Date]])</f>
        <v>7</v>
      </c>
      <c r="H76" s="24"/>
    </row>
    <row r="77" spans="1:8" x14ac:dyDescent="0.35">
      <c r="A77" t="s">
        <v>174</v>
      </c>
      <c r="B77" s="44" t="s">
        <v>180</v>
      </c>
      <c r="C77" s="1">
        <v>294</v>
      </c>
      <c r="D77" s="1">
        <v>2</v>
      </c>
      <c r="E77" s="2">
        <v>44761</v>
      </c>
      <c r="F77">
        <f>MONTH(Savings[[#This Row],[Date]])</f>
        <v>7</v>
      </c>
      <c r="H77" s="24"/>
    </row>
    <row r="78" spans="1:8" x14ac:dyDescent="0.35">
      <c r="A78" t="s">
        <v>174</v>
      </c>
      <c r="B78" s="44" t="s">
        <v>19</v>
      </c>
      <c r="C78" s="1">
        <v>171519.6</v>
      </c>
      <c r="D78" s="1">
        <v>1166.8</v>
      </c>
      <c r="E78" s="2">
        <v>44762</v>
      </c>
      <c r="F78">
        <f>MONTH(Savings[[#This Row],[Date]])</f>
        <v>7</v>
      </c>
      <c r="H78" s="24"/>
    </row>
    <row r="79" spans="1:8" x14ac:dyDescent="0.35">
      <c r="A79" t="s">
        <v>174</v>
      </c>
      <c r="B79" s="44" t="s">
        <v>181</v>
      </c>
      <c r="C79" s="1">
        <v>26239.500000000007</v>
      </c>
      <c r="D79" s="1">
        <v>178.50000000000006</v>
      </c>
      <c r="E79" s="2">
        <v>44763</v>
      </c>
      <c r="F79">
        <f>MONTH(Savings[[#This Row],[Date]])</f>
        <v>7</v>
      </c>
      <c r="H79" s="24"/>
    </row>
    <row r="80" spans="1:8" x14ac:dyDescent="0.35">
      <c r="A80" t="s">
        <v>174</v>
      </c>
      <c r="B80" s="44" t="s">
        <v>179</v>
      </c>
      <c r="C80" s="1">
        <v>2500</v>
      </c>
      <c r="D80" s="1">
        <v>17.006802721088434</v>
      </c>
      <c r="E80" s="2">
        <v>44794</v>
      </c>
      <c r="F80">
        <f>MONTH(Savings[[#This Row],[Date]])</f>
        <v>8</v>
      </c>
      <c r="H80" s="24"/>
    </row>
    <row r="81" spans="1:8" x14ac:dyDescent="0.35">
      <c r="A81" t="s">
        <v>174</v>
      </c>
      <c r="B81" s="44" t="s">
        <v>180</v>
      </c>
      <c r="C81" s="1">
        <v>10143</v>
      </c>
      <c r="D81" s="1">
        <v>69</v>
      </c>
      <c r="E81" s="2">
        <v>44795</v>
      </c>
      <c r="F81">
        <f>MONTH(Savings[[#This Row],[Date]])</f>
        <v>8</v>
      </c>
      <c r="H81" s="24"/>
    </row>
    <row r="82" spans="1:8" x14ac:dyDescent="0.35">
      <c r="A82" t="s">
        <v>174</v>
      </c>
      <c r="B82" s="44" t="s">
        <v>19</v>
      </c>
      <c r="C82" s="1">
        <v>162886.28999999998</v>
      </c>
      <c r="D82" s="1">
        <v>1108.07</v>
      </c>
      <c r="E82" s="2">
        <v>44796</v>
      </c>
      <c r="F82">
        <f>MONTH(Savings[[#This Row],[Date]])</f>
        <v>8</v>
      </c>
      <c r="H82" s="24"/>
    </row>
    <row r="83" spans="1:8" x14ac:dyDescent="0.35">
      <c r="A83" t="s">
        <v>174</v>
      </c>
      <c r="B83" s="44" t="s">
        <v>181</v>
      </c>
      <c r="C83" s="1">
        <v>45062.85</v>
      </c>
      <c r="D83" s="1">
        <v>306.55</v>
      </c>
      <c r="E83" s="2">
        <v>44797</v>
      </c>
      <c r="F83">
        <f>MONTH(Savings[[#This Row],[Date]])</f>
        <v>8</v>
      </c>
      <c r="H83" s="24"/>
    </row>
    <row r="84" spans="1:8" x14ac:dyDescent="0.35">
      <c r="A84" t="s">
        <v>174</v>
      </c>
      <c r="B84" s="44" t="s">
        <v>179</v>
      </c>
      <c r="C84" s="27">
        <v>523</v>
      </c>
      <c r="D84" s="27">
        <v>3.5578231292517009</v>
      </c>
      <c r="E84" s="2">
        <v>44825</v>
      </c>
      <c r="F84">
        <f>MONTH(Savings[[#This Row],[Date]])</f>
        <v>9</v>
      </c>
      <c r="H84" s="24"/>
    </row>
    <row r="85" spans="1:8" x14ac:dyDescent="0.35">
      <c r="A85" t="s">
        <v>174</v>
      </c>
      <c r="B85" s="44" t="s">
        <v>180</v>
      </c>
      <c r="C85" s="1">
        <v>9115.4699999999993</v>
      </c>
      <c r="D85" s="1">
        <v>62.01</v>
      </c>
      <c r="E85" s="2">
        <v>44826</v>
      </c>
      <c r="F85">
        <f>MONTH(Savings[[#This Row],[Date]])</f>
        <v>9</v>
      </c>
      <c r="H85" s="24"/>
    </row>
    <row r="86" spans="1:8" x14ac:dyDescent="0.35">
      <c r="A86" t="s">
        <v>174</v>
      </c>
      <c r="B86" s="44" t="s">
        <v>19</v>
      </c>
      <c r="C86" s="1">
        <v>162886.28999999998</v>
      </c>
      <c r="D86" s="1">
        <v>1108.07</v>
      </c>
      <c r="E86" s="2">
        <v>44827</v>
      </c>
      <c r="F86">
        <f>MONTH(Savings[[#This Row],[Date]])</f>
        <v>9</v>
      </c>
      <c r="H86" s="24"/>
    </row>
    <row r="87" spans="1:8" x14ac:dyDescent="0.35">
      <c r="A87" t="s">
        <v>174</v>
      </c>
      <c r="B87" s="44" t="s">
        <v>181</v>
      </c>
      <c r="C87" s="1">
        <v>47167.89</v>
      </c>
      <c r="D87" s="1">
        <v>320.87</v>
      </c>
      <c r="E87" s="2">
        <v>44828</v>
      </c>
      <c r="F87">
        <f>MONTH(Savings[[#This Row],[Date]])</f>
        <v>9</v>
      </c>
      <c r="H87" s="24"/>
    </row>
    <row r="88" spans="1:8" x14ac:dyDescent="0.35">
      <c r="A88" t="s">
        <v>174</v>
      </c>
      <c r="B88" s="44" t="s">
        <v>179</v>
      </c>
      <c r="C88" s="27">
        <v>523</v>
      </c>
      <c r="D88" s="27">
        <v>3.5578231292517009</v>
      </c>
      <c r="E88" s="2">
        <v>44855</v>
      </c>
      <c r="F88">
        <f>MONTH(Savings[[#This Row],[Date]])</f>
        <v>10</v>
      </c>
      <c r="H88" s="24"/>
    </row>
    <row r="89" spans="1:8" x14ac:dyDescent="0.35">
      <c r="A89" t="s">
        <v>174</v>
      </c>
      <c r="B89" s="44" t="s">
        <v>180</v>
      </c>
      <c r="C89" s="1">
        <v>5912.34</v>
      </c>
      <c r="D89" s="1">
        <v>40.22</v>
      </c>
      <c r="E89" s="2">
        <v>44856</v>
      </c>
      <c r="F89">
        <f>MONTH(Savings[[#This Row],[Date]])</f>
        <v>10</v>
      </c>
      <c r="H89" s="24"/>
    </row>
    <row r="90" spans="1:8" x14ac:dyDescent="0.35">
      <c r="A90" t="s">
        <v>174</v>
      </c>
      <c r="B90" s="44" t="s">
        <v>19</v>
      </c>
      <c r="C90" s="1">
        <v>262145.09999999998</v>
      </c>
      <c r="D90" s="1">
        <v>1783.3</v>
      </c>
      <c r="E90" s="2">
        <v>44857</v>
      </c>
      <c r="F90">
        <f>MONTH(Savings[[#This Row],[Date]])</f>
        <v>10</v>
      </c>
      <c r="H90" s="24"/>
    </row>
    <row r="91" spans="1:8" x14ac:dyDescent="0.35">
      <c r="A91" t="s">
        <v>174</v>
      </c>
      <c r="B91" s="44" t="s">
        <v>181</v>
      </c>
      <c r="C91" s="1">
        <v>38913.840000000004</v>
      </c>
      <c r="D91" s="1">
        <v>264.72000000000003</v>
      </c>
      <c r="E91" s="2">
        <v>44858</v>
      </c>
      <c r="F91">
        <f>MONTH(Savings[[#This Row],[Date]])</f>
        <v>10</v>
      </c>
      <c r="H91" s="24"/>
    </row>
    <row r="92" spans="1:8" x14ac:dyDescent="0.35">
      <c r="A92" t="s">
        <v>174</v>
      </c>
      <c r="B92" s="44" t="s">
        <v>179</v>
      </c>
      <c r="C92" s="27">
        <v>523</v>
      </c>
      <c r="D92" s="27">
        <v>3.5578231292517009</v>
      </c>
      <c r="E92" s="2">
        <v>44886</v>
      </c>
      <c r="F92">
        <f>MONTH(Savings[[#This Row],[Date]])</f>
        <v>11</v>
      </c>
      <c r="H92" s="24"/>
    </row>
    <row r="93" spans="1:8" x14ac:dyDescent="0.35">
      <c r="A93" t="s">
        <v>174</v>
      </c>
      <c r="B93" s="44" t="s">
        <v>180</v>
      </c>
      <c r="C93" s="1">
        <v>4534.95</v>
      </c>
      <c r="D93" s="1">
        <v>30.849999999999998</v>
      </c>
      <c r="E93" s="2">
        <v>44887</v>
      </c>
      <c r="F93">
        <f>MONTH(Savings[[#This Row],[Date]])</f>
        <v>11</v>
      </c>
      <c r="H93" s="24"/>
    </row>
    <row r="94" spans="1:8" x14ac:dyDescent="0.35">
      <c r="A94" t="s">
        <v>174</v>
      </c>
      <c r="B94" s="44" t="s">
        <v>19</v>
      </c>
      <c r="C94" s="1">
        <v>276868.62</v>
      </c>
      <c r="D94" s="1">
        <v>1883.46</v>
      </c>
      <c r="E94" s="2">
        <v>44888</v>
      </c>
      <c r="F94">
        <f>MONTH(Savings[[#This Row],[Date]])</f>
        <v>11</v>
      </c>
      <c r="H94" s="24"/>
    </row>
    <row r="95" spans="1:8" x14ac:dyDescent="0.35">
      <c r="A95" t="s">
        <v>174</v>
      </c>
      <c r="B95" s="44" t="s">
        <v>181</v>
      </c>
      <c r="C95" s="1">
        <v>39047.61</v>
      </c>
      <c r="D95" s="1">
        <v>265.63</v>
      </c>
      <c r="E95" s="2">
        <v>44889</v>
      </c>
      <c r="F95">
        <f>MONTH(Savings[[#This Row],[Date]])</f>
        <v>11</v>
      </c>
      <c r="H95" s="24"/>
    </row>
    <row r="96" spans="1:8" x14ac:dyDescent="0.35">
      <c r="A96" t="s">
        <v>174</v>
      </c>
      <c r="B96" s="44" t="s">
        <v>179</v>
      </c>
      <c r="C96" s="27">
        <v>10000</v>
      </c>
      <c r="D96" s="27">
        <v>68.027210884353735</v>
      </c>
      <c r="E96" s="2">
        <v>44896</v>
      </c>
      <c r="F96">
        <f>MONTH(Savings[[#This Row],[Date]])</f>
        <v>12</v>
      </c>
      <c r="H96" s="24"/>
    </row>
    <row r="97" spans="1:8" x14ac:dyDescent="0.35">
      <c r="A97" t="s">
        <v>174</v>
      </c>
      <c r="B97" s="44" t="s">
        <v>180</v>
      </c>
      <c r="C97" s="1">
        <v>3304.56</v>
      </c>
      <c r="D97" s="1">
        <v>22.48</v>
      </c>
      <c r="E97" s="2">
        <v>44897</v>
      </c>
      <c r="F97">
        <f>MONTH(Savings[[#This Row],[Date]])</f>
        <v>12</v>
      </c>
      <c r="H97" s="24"/>
    </row>
    <row r="98" spans="1:8" x14ac:dyDescent="0.35">
      <c r="A98" t="s">
        <v>174</v>
      </c>
      <c r="B98" s="44" t="s">
        <v>19</v>
      </c>
      <c r="C98" s="1">
        <v>343469.91000000003</v>
      </c>
      <c r="D98" s="1">
        <v>2336.5300000000002</v>
      </c>
      <c r="E98" s="2">
        <v>44898</v>
      </c>
      <c r="F98">
        <f>MONTH(Savings[[#This Row],[Date]])</f>
        <v>12</v>
      </c>
      <c r="H98" s="24"/>
    </row>
    <row r="99" spans="1:8" x14ac:dyDescent="0.35">
      <c r="A99" t="s">
        <v>174</v>
      </c>
      <c r="B99" s="44" t="s">
        <v>181</v>
      </c>
      <c r="C99" s="1">
        <v>19856.760000000002</v>
      </c>
      <c r="D99" s="1">
        <v>135.08000000000001</v>
      </c>
      <c r="E99" s="2">
        <v>44899</v>
      </c>
      <c r="F99">
        <f>MONTH(Savings[[#This Row],[Date]])</f>
        <v>12</v>
      </c>
      <c r="H99" s="24"/>
    </row>
    <row r="100" spans="1:8" x14ac:dyDescent="0.35">
      <c r="A100" t="s">
        <v>174</v>
      </c>
      <c r="B100" s="44" t="s">
        <v>179</v>
      </c>
      <c r="C100" s="24">
        <f>Savings[[#This Row],[Amount USD]]/147</f>
        <v>15.646258503401361</v>
      </c>
      <c r="D100" s="27">
        <v>2300</v>
      </c>
      <c r="E100" s="2">
        <v>44930</v>
      </c>
      <c r="F100">
        <f>MONTH(Savings[[#This Row],[Date]])</f>
        <v>1</v>
      </c>
    </row>
    <row r="101" spans="1:8" x14ac:dyDescent="0.35">
      <c r="A101" t="s">
        <v>174</v>
      </c>
      <c r="B101" s="44" t="s">
        <v>180</v>
      </c>
      <c r="C101" s="24">
        <f>Savings[[#This Row],[Amount USD]]*147</f>
        <v>601.23</v>
      </c>
      <c r="D101" s="27">
        <v>4.09</v>
      </c>
      <c r="E101" s="2">
        <v>44930</v>
      </c>
      <c r="F101">
        <f>MONTH(Savings[[#This Row],[Date]])</f>
        <v>1</v>
      </c>
    </row>
    <row r="102" spans="1:8" x14ac:dyDescent="0.35">
      <c r="A102" t="s">
        <v>174</v>
      </c>
      <c r="B102" s="44" t="s">
        <v>19</v>
      </c>
      <c r="C102" s="24">
        <f>Savings[[#This Row],[Amount USD]]*147</f>
        <v>400626.45</v>
      </c>
      <c r="D102" s="51">
        <v>2725.35</v>
      </c>
      <c r="E102" s="2">
        <v>44930</v>
      </c>
      <c r="F102">
        <f>MONTH(Savings[[#This Row],[Date]])</f>
        <v>1</v>
      </c>
    </row>
    <row r="103" spans="1:8" x14ac:dyDescent="0.35">
      <c r="A103" t="s">
        <v>174</v>
      </c>
      <c r="B103" s="44" t="s">
        <v>181</v>
      </c>
      <c r="C103" s="24">
        <f>Savings[[#This Row],[Amount USD]]*147</f>
        <v>44523.360000000001</v>
      </c>
      <c r="D103" s="51">
        <v>302.88</v>
      </c>
      <c r="E103" s="2">
        <v>44930</v>
      </c>
      <c r="F103">
        <f>MONTH(Savings[[#This Row],[Date]])</f>
        <v>1</v>
      </c>
    </row>
    <row r="104" spans="1:8" x14ac:dyDescent="0.35">
      <c r="A104" t="s">
        <v>174</v>
      </c>
      <c r="B104" s="44" t="s">
        <v>179</v>
      </c>
      <c r="C104" s="24">
        <v>2700</v>
      </c>
      <c r="D104" s="1">
        <f>Savings[[#This Row],[Amount]]/147</f>
        <v>18.367346938775512</v>
      </c>
      <c r="E104" s="2">
        <v>44961</v>
      </c>
      <c r="F104">
        <f>MONTH(Savings[[#This Row],[Date]])</f>
        <v>2</v>
      </c>
    </row>
    <row r="105" spans="1:8" x14ac:dyDescent="0.35">
      <c r="A105" t="s">
        <v>174</v>
      </c>
      <c r="B105" s="44" t="s">
        <v>180</v>
      </c>
      <c r="C105" s="24">
        <f>Savings[[#This Row],[Amount USD]]*147</f>
        <v>6615</v>
      </c>
      <c r="D105" s="1">
        <v>45</v>
      </c>
      <c r="E105" s="2">
        <v>44961</v>
      </c>
      <c r="F105">
        <f>MONTH(Savings[[#This Row],[Date]])</f>
        <v>2</v>
      </c>
    </row>
    <row r="106" spans="1:8" x14ac:dyDescent="0.35">
      <c r="A106" t="s">
        <v>174</v>
      </c>
      <c r="B106" s="44" t="s">
        <v>19</v>
      </c>
      <c r="C106" s="24">
        <f>Savings[[#This Row],[Amount USD]]*147</f>
        <v>341826.45</v>
      </c>
      <c r="D106" s="1">
        <v>2325.35</v>
      </c>
      <c r="E106" s="2">
        <v>44961</v>
      </c>
      <c r="F106">
        <f>MONTH(Savings[[#This Row],[Date]])</f>
        <v>2</v>
      </c>
    </row>
    <row r="107" spans="1:8" x14ac:dyDescent="0.35">
      <c r="A107" t="s">
        <v>174</v>
      </c>
      <c r="B107" s="44" t="s">
        <v>181</v>
      </c>
      <c r="C107" s="24">
        <f>Savings[[#This Row],[Amount USD]]*147</f>
        <v>44523.360000000001</v>
      </c>
      <c r="D107" s="51">
        <v>302.88</v>
      </c>
      <c r="E107" s="2">
        <v>44961</v>
      </c>
      <c r="F107">
        <f>MONTH(Savings[[#This Row],[Date]])</f>
        <v>2</v>
      </c>
    </row>
    <row r="108" spans="1:8" x14ac:dyDescent="0.35">
      <c r="A108" t="s">
        <v>174</v>
      </c>
      <c r="B108" s="44" t="s">
        <v>179</v>
      </c>
      <c r="C108" s="24">
        <v>280</v>
      </c>
      <c r="D108" s="1">
        <f>Savings[[#This Row],[Amount]]/147</f>
        <v>1.9047619047619047</v>
      </c>
      <c r="E108" s="2">
        <v>44989</v>
      </c>
      <c r="F108">
        <f>MONTH(Savings[[#This Row],[Date]])</f>
        <v>3</v>
      </c>
    </row>
    <row r="109" spans="1:8" x14ac:dyDescent="0.35">
      <c r="A109" t="s">
        <v>174</v>
      </c>
      <c r="B109" s="44" t="s">
        <v>180</v>
      </c>
      <c r="C109" s="24">
        <f>Savings[[#This Row],[Amount USD]]*147</f>
        <v>10876.529999999999</v>
      </c>
      <c r="D109" s="65">
        <v>73.989999999999995</v>
      </c>
      <c r="E109" s="2">
        <v>44989</v>
      </c>
      <c r="F109">
        <f>MONTH(Savings[[#This Row],[Date]])</f>
        <v>3</v>
      </c>
    </row>
    <row r="110" spans="1:8" x14ac:dyDescent="0.35">
      <c r="A110" t="s">
        <v>174</v>
      </c>
      <c r="B110" s="44" t="s">
        <v>19</v>
      </c>
      <c r="C110" s="24">
        <f>Savings[[#This Row],[Amount USD]]*147</f>
        <v>279352.92</v>
      </c>
      <c r="D110" s="65">
        <v>1900.36</v>
      </c>
      <c r="E110" s="2">
        <v>44989</v>
      </c>
      <c r="F110">
        <f>MONTH(Savings[[#This Row],[Date]])</f>
        <v>3</v>
      </c>
    </row>
    <row r="111" spans="1:8" x14ac:dyDescent="0.35">
      <c r="A111" t="s">
        <v>174</v>
      </c>
      <c r="B111" s="44" t="s">
        <v>181</v>
      </c>
      <c r="C111" s="24">
        <f>Savings[[#This Row],[Amount USD]]*147</f>
        <v>40915.979999999996</v>
      </c>
      <c r="D111" s="65">
        <v>278.33999999999997</v>
      </c>
      <c r="E111" s="2">
        <v>44989</v>
      </c>
      <c r="F111">
        <f>MONTH(Savings[[#This Row],[Date]])</f>
        <v>3</v>
      </c>
    </row>
    <row r="112" spans="1:8" x14ac:dyDescent="0.35">
      <c r="A112" t="s">
        <v>18</v>
      </c>
      <c r="B112" s="44" t="s">
        <v>19</v>
      </c>
      <c r="C112" s="27">
        <v>2000</v>
      </c>
      <c r="D112" s="1">
        <v>13.605442176870747</v>
      </c>
      <c r="E112" s="2">
        <v>44933</v>
      </c>
      <c r="F112">
        <f>MONTH(Savings[[#This Row],[Date]])</f>
        <v>1</v>
      </c>
    </row>
    <row r="113" spans="1:6" x14ac:dyDescent="0.35">
      <c r="A113" t="s">
        <v>18</v>
      </c>
      <c r="B113" s="44" t="s">
        <v>20</v>
      </c>
      <c r="C113" s="27">
        <v>1000000</v>
      </c>
      <c r="D113" s="1">
        <v>6802.7210884353744</v>
      </c>
      <c r="E113" s="2">
        <v>44933</v>
      </c>
      <c r="F113">
        <f>MONTH(Savings[[#This Row],[Date]])</f>
        <v>1</v>
      </c>
    </row>
    <row r="114" spans="1:6" x14ac:dyDescent="0.35">
      <c r="A114" t="s">
        <v>18</v>
      </c>
      <c r="B114" s="44" t="s">
        <v>19</v>
      </c>
      <c r="C114" s="27">
        <v>2000</v>
      </c>
      <c r="D114" s="1">
        <v>13.605442176870747</v>
      </c>
      <c r="E114" s="2">
        <v>44964</v>
      </c>
      <c r="F114">
        <f>MONTH(Savings[[#This Row],[Date]])</f>
        <v>2</v>
      </c>
    </row>
    <row r="115" spans="1:6" x14ac:dyDescent="0.35">
      <c r="A115" t="s">
        <v>18</v>
      </c>
      <c r="B115" s="44" t="s">
        <v>20</v>
      </c>
      <c r="C115" s="27">
        <v>1000000</v>
      </c>
      <c r="D115" s="1">
        <v>6802.7210884353744</v>
      </c>
      <c r="E115" s="2">
        <v>44964</v>
      </c>
      <c r="F115">
        <f>MONTH(Savings[[#This Row],[Date]])</f>
        <v>2</v>
      </c>
    </row>
    <row r="116" spans="1:6" x14ac:dyDescent="0.35">
      <c r="A116" t="s">
        <v>18</v>
      </c>
      <c r="B116" s="44" t="s">
        <v>19</v>
      </c>
      <c r="C116" s="27">
        <v>2000</v>
      </c>
      <c r="D116" s="1">
        <v>13.605442176870747</v>
      </c>
      <c r="E116" s="2">
        <v>44992</v>
      </c>
      <c r="F116">
        <f>MONTH(Savings[[#This Row],[Date]])</f>
        <v>3</v>
      </c>
    </row>
    <row r="117" spans="1:6" x14ac:dyDescent="0.35">
      <c r="A117" t="s">
        <v>18</v>
      </c>
      <c r="B117" s="44" t="s">
        <v>20</v>
      </c>
      <c r="C117" s="27">
        <v>1000000</v>
      </c>
      <c r="D117" s="1">
        <v>6802.7210884353744</v>
      </c>
      <c r="E117" s="2">
        <v>44992</v>
      </c>
      <c r="F117">
        <f>MONTH(Savings[[#This Row],[Date]])</f>
        <v>3</v>
      </c>
    </row>
    <row r="118" spans="1:6" x14ac:dyDescent="0.35">
      <c r="A118" t="s">
        <v>18</v>
      </c>
      <c r="B118" s="44" t="s">
        <v>19</v>
      </c>
      <c r="C118" s="27">
        <v>2000</v>
      </c>
      <c r="D118" s="1">
        <v>13.605442176870747</v>
      </c>
      <c r="E118" s="2">
        <v>45023</v>
      </c>
      <c r="F118">
        <f>MONTH(Savings[[#This Row],[Date]])</f>
        <v>4</v>
      </c>
    </row>
    <row r="119" spans="1:6" x14ac:dyDescent="0.35">
      <c r="A119" t="s">
        <v>18</v>
      </c>
      <c r="B119" s="44" t="s">
        <v>20</v>
      </c>
      <c r="C119" s="27">
        <v>1000000</v>
      </c>
      <c r="D119" s="1">
        <v>6802.7210884353744</v>
      </c>
      <c r="E119" s="2">
        <v>45023</v>
      </c>
      <c r="F119">
        <f>MONTH(Savings[[#This Row],[Date]])</f>
        <v>4</v>
      </c>
    </row>
    <row r="120" spans="1:6" x14ac:dyDescent="0.35">
      <c r="A120" t="s">
        <v>18</v>
      </c>
      <c r="B120" s="44" t="s">
        <v>19</v>
      </c>
      <c r="C120" s="27">
        <v>2000</v>
      </c>
      <c r="D120" s="1">
        <v>13.605442176870747</v>
      </c>
      <c r="E120" s="2">
        <v>45053</v>
      </c>
      <c r="F120">
        <v>5</v>
      </c>
    </row>
    <row r="121" spans="1:6" x14ac:dyDescent="0.35">
      <c r="A121" t="s">
        <v>18</v>
      </c>
      <c r="B121" s="44" t="s">
        <v>20</v>
      </c>
      <c r="C121" s="27">
        <v>1000000</v>
      </c>
      <c r="D121" s="1">
        <v>6802.7210884353744</v>
      </c>
      <c r="E121" s="2">
        <v>45053</v>
      </c>
      <c r="F121">
        <v>5</v>
      </c>
    </row>
    <row r="122" spans="1:6" x14ac:dyDescent="0.35">
      <c r="A122" t="s">
        <v>174</v>
      </c>
      <c r="B122" s="44" t="s">
        <v>179</v>
      </c>
      <c r="C122" s="27">
        <v>20000</v>
      </c>
      <c r="D122" s="1">
        <f>Savings[[#This Row],[Amount]]/147</f>
        <v>136.05442176870747</v>
      </c>
      <c r="E122" s="2">
        <v>45023</v>
      </c>
      <c r="F122">
        <f>MONTH(Savings[[#This Row],[Date]])</f>
        <v>4</v>
      </c>
    </row>
    <row r="123" spans="1:6" x14ac:dyDescent="0.35">
      <c r="A123" t="s">
        <v>174</v>
      </c>
      <c r="B123" s="44" t="s">
        <v>180</v>
      </c>
      <c r="C123" s="27">
        <f>Savings[[#This Row],[Amount USD]]*147</f>
        <v>5145</v>
      </c>
      <c r="D123" s="66">
        <v>35</v>
      </c>
      <c r="E123" s="2">
        <v>45023</v>
      </c>
      <c r="F123">
        <f>MONTH(Savings[[#This Row],[Date]])</f>
        <v>4</v>
      </c>
    </row>
    <row r="124" spans="1:6" x14ac:dyDescent="0.35">
      <c r="A124" t="s">
        <v>174</v>
      </c>
      <c r="B124" s="44" t="s">
        <v>19</v>
      </c>
      <c r="C124" s="27">
        <f>Savings[[#This Row],[Amount USD]]*147</f>
        <v>415863</v>
      </c>
      <c r="D124" s="64">
        <v>2829</v>
      </c>
      <c r="E124" s="2">
        <v>45023</v>
      </c>
      <c r="F124">
        <f>MONTH(Savings[[#This Row],[Date]])</f>
        <v>4</v>
      </c>
    </row>
    <row r="125" spans="1:6" x14ac:dyDescent="0.35">
      <c r="A125" t="s">
        <v>174</v>
      </c>
      <c r="B125" s="44" t="s">
        <v>181</v>
      </c>
      <c r="C125" s="27">
        <f>Savings[[#This Row],[Amount USD]]*147</f>
        <v>61588.590000000004</v>
      </c>
      <c r="D125" s="66">
        <v>418.97</v>
      </c>
      <c r="E125" s="2">
        <v>45023</v>
      </c>
      <c r="F125">
        <f>MONTH(Savings[[#This Row],[Date]])</f>
        <v>4</v>
      </c>
    </row>
    <row r="126" spans="1:6" x14ac:dyDescent="0.35">
      <c r="A126" t="s">
        <v>174</v>
      </c>
      <c r="B126" s="44" t="s">
        <v>179</v>
      </c>
      <c r="C126" s="27">
        <v>40000</v>
      </c>
      <c r="D126" s="1">
        <f>Savings[[#This Row],[Amount]]/147</f>
        <v>272.10884353741494</v>
      </c>
      <c r="E126" s="2">
        <v>45053</v>
      </c>
      <c r="F126">
        <f>MONTH(Savings[[#This Row],[Date]])</f>
        <v>5</v>
      </c>
    </row>
    <row r="127" spans="1:6" x14ac:dyDescent="0.35">
      <c r="A127" t="s">
        <v>174</v>
      </c>
      <c r="B127" s="44" t="s">
        <v>180</v>
      </c>
      <c r="C127" s="27">
        <f>Savings[[#This Row],[Amount USD]]*147</f>
        <v>4116</v>
      </c>
      <c r="D127" s="51">
        <v>28</v>
      </c>
      <c r="E127" s="2">
        <v>45053</v>
      </c>
      <c r="F127">
        <f>MONTH(Savings[[#This Row],[Date]])</f>
        <v>5</v>
      </c>
    </row>
    <row r="128" spans="1:6" x14ac:dyDescent="0.35">
      <c r="A128" t="s">
        <v>174</v>
      </c>
      <c r="B128" s="44" t="s">
        <v>19</v>
      </c>
      <c r="C128" s="27">
        <f>Savings[[#This Row],[Amount USD]]*147</f>
        <v>268863</v>
      </c>
      <c r="D128" s="51">
        <v>1829</v>
      </c>
      <c r="E128" s="2">
        <v>45053</v>
      </c>
      <c r="F128">
        <f>MONTH(Savings[[#This Row],[Date]])</f>
        <v>5</v>
      </c>
    </row>
    <row r="129" spans="1:9" x14ac:dyDescent="0.35">
      <c r="A129" t="s">
        <v>174</v>
      </c>
      <c r="B129" s="44" t="s">
        <v>181</v>
      </c>
      <c r="C129" s="27">
        <f>Savings[[#This Row],[Amount USD]]*147</f>
        <v>61588.590000000004</v>
      </c>
      <c r="D129" s="66">
        <v>418.97</v>
      </c>
      <c r="E129" s="2">
        <v>45053</v>
      </c>
      <c r="F129">
        <f>MONTH(Savings[[#This Row],[Date]])</f>
        <v>5</v>
      </c>
    </row>
    <row r="130" spans="1:9" x14ac:dyDescent="0.35">
      <c r="A130" t="s">
        <v>174</v>
      </c>
      <c r="B130" s="44" t="s">
        <v>179</v>
      </c>
      <c r="C130" s="27">
        <v>30000</v>
      </c>
      <c r="D130" s="1">
        <f>Savings[[#This Row],[Amount]]/147</f>
        <v>204.08163265306123</v>
      </c>
      <c r="E130" s="2">
        <v>45084</v>
      </c>
      <c r="F130">
        <f>MONTH(Savings[[#This Row],[Date]])</f>
        <v>6</v>
      </c>
    </row>
    <row r="131" spans="1:9" x14ac:dyDescent="0.35">
      <c r="A131" t="s">
        <v>174</v>
      </c>
      <c r="B131" s="44" t="s">
        <v>180</v>
      </c>
      <c r="C131" s="27">
        <f>Savings[[#This Row],[Amount USD]]*147</f>
        <v>2359.35</v>
      </c>
      <c r="D131" s="1">
        <v>16.05</v>
      </c>
      <c r="E131" s="2">
        <v>45084</v>
      </c>
      <c r="F131">
        <f>MONTH(Savings[[#This Row],[Date]])</f>
        <v>6</v>
      </c>
    </row>
    <row r="132" spans="1:9" x14ac:dyDescent="0.35">
      <c r="A132" t="s">
        <v>174</v>
      </c>
      <c r="B132" s="44" t="s">
        <v>19</v>
      </c>
      <c r="C132" s="27">
        <f>Savings[[#This Row],[Amount USD]]*147</f>
        <v>148.47</v>
      </c>
      <c r="D132" s="1">
        <v>1.01</v>
      </c>
      <c r="E132" s="2">
        <v>45084</v>
      </c>
      <c r="F132">
        <f>MONTH(Savings[[#This Row],[Date]])</f>
        <v>6</v>
      </c>
    </row>
    <row r="133" spans="1:9" x14ac:dyDescent="0.35">
      <c r="A133" t="s">
        <v>174</v>
      </c>
      <c r="B133" s="44" t="s">
        <v>181</v>
      </c>
      <c r="C133" s="27">
        <f>Savings[[#This Row],[Amount USD]]*147</f>
        <v>117747</v>
      </c>
      <c r="D133" s="1">
        <v>801</v>
      </c>
      <c r="E133" s="2">
        <v>45084</v>
      </c>
      <c r="F133">
        <f>MONTH(Savings[[#This Row],[Date]])</f>
        <v>6</v>
      </c>
    </row>
    <row r="134" spans="1:9" x14ac:dyDescent="0.35">
      <c r="A134" t="s">
        <v>18</v>
      </c>
      <c r="B134" s="44" t="s">
        <v>19</v>
      </c>
      <c r="C134" s="27">
        <v>2000</v>
      </c>
      <c r="D134" s="1">
        <v>13.605442176870747</v>
      </c>
      <c r="E134" s="2">
        <v>45084</v>
      </c>
      <c r="F134">
        <f>MONTH(Savings[[#This Row],[Date]])</f>
        <v>6</v>
      </c>
    </row>
    <row r="135" spans="1:9" x14ac:dyDescent="0.35">
      <c r="A135" t="s">
        <v>18</v>
      </c>
      <c r="B135" s="44" t="s">
        <v>20</v>
      </c>
      <c r="C135" s="27">
        <v>1000000</v>
      </c>
      <c r="D135" s="1">
        <v>6802.7210884353744</v>
      </c>
      <c r="E135" s="2">
        <v>45084</v>
      </c>
      <c r="F135">
        <f>MONTH(Savings[[#This Row],[Date]])</f>
        <v>6</v>
      </c>
    </row>
    <row r="136" spans="1:9" x14ac:dyDescent="0.35">
      <c r="A136" t="s">
        <v>18</v>
      </c>
      <c r="B136" s="44" t="s">
        <v>19</v>
      </c>
      <c r="C136" s="27">
        <v>2000</v>
      </c>
      <c r="D136" s="1">
        <v>13.605442176870747</v>
      </c>
      <c r="E136" s="2">
        <v>45114</v>
      </c>
      <c r="F136">
        <f>MONTH(Savings[[#This Row],[Date]])</f>
        <v>7</v>
      </c>
    </row>
    <row r="137" spans="1:9" x14ac:dyDescent="0.35">
      <c r="A137" t="s">
        <v>18</v>
      </c>
      <c r="B137" s="44" t="s">
        <v>20</v>
      </c>
      <c r="C137" s="27">
        <v>1000000</v>
      </c>
      <c r="D137" s="1">
        <v>6802.7210884353744</v>
      </c>
      <c r="E137" s="2">
        <v>45114</v>
      </c>
      <c r="F137">
        <f>MONTH(Savings[[#This Row],[Date]])</f>
        <v>7</v>
      </c>
    </row>
    <row r="138" spans="1:9" x14ac:dyDescent="0.35">
      <c r="A138" t="s">
        <v>174</v>
      </c>
      <c r="B138" s="44" t="s">
        <v>179</v>
      </c>
      <c r="C138" s="27">
        <v>20000</v>
      </c>
      <c r="D138" s="1">
        <f>Savings[[#This Row],[Amount]]/147</f>
        <v>136.05442176870747</v>
      </c>
      <c r="E138" s="2">
        <v>45114</v>
      </c>
      <c r="F138">
        <f>MONTH(Savings[[#This Row],[Date]])</f>
        <v>7</v>
      </c>
    </row>
    <row r="139" spans="1:9" x14ac:dyDescent="0.35">
      <c r="A139" t="s">
        <v>174</v>
      </c>
      <c r="B139" s="44" t="s">
        <v>180</v>
      </c>
      <c r="C139" s="27">
        <f>Savings[[#This Row],[Amount USD]]*147</f>
        <v>1433.25</v>
      </c>
      <c r="D139" s="66">
        <v>9.75</v>
      </c>
      <c r="E139" s="2">
        <v>45114</v>
      </c>
      <c r="F139">
        <f>MONTH(Savings[[#This Row],[Date]])</f>
        <v>7</v>
      </c>
    </row>
    <row r="140" spans="1:9" x14ac:dyDescent="0.35">
      <c r="A140" t="s">
        <v>174</v>
      </c>
      <c r="B140" s="44" t="s">
        <v>19</v>
      </c>
      <c r="C140" s="27">
        <f>Savings[[#This Row],[Amount USD]]*147</f>
        <v>278037.27</v>
      </c>
      <c r="D140" s="64">
        <v>1891.41</v>
      </c>
      <c r="E140" s="2">
        <v>45114</v>
      </c>
      <c r="F140">
        <f>MONTH(Savings[[#This Row],[Date]])</f>
        <v>7</v>
      </c>
    </row>
    <row r="141" spans="1:9" x14ac:dyDescent="0.35">
      <c r="A141" t="s">
        <v>174</v>
      </c>
      <c r="B141" s="44" t="s">
        <v>181</v>
      </c>
      <c r="C141" s="27">
        <f>Savings[[#This Row],[Amount USD]]*147</f>
        <v>18995.34</v>
      </c>
      <c r="D141" s="66">
        <v>129.22</v>
      </c>
      <c r="E141" s="2">
        <v>45114</v>
      </c>
      <c r="F141">
        <f>MONTH(Savings[[#This Row],[Date]])</f>
        <v>7</v>
      </c>
    </row>
    <row r="142" spans="1:9" x14ac:dyDescent="0.35">
      <c r="D142"/>
      <c r="G142" s="1"/>
      <c r="I142"/>
    </row>
    <row r="143" spans="1:9" x14ac:dyDescent="0.35">
      <c r="D143"/>
      <c r="G143" s="1"/>
      <c r="I143"/>
    </row>
    <row r="144" spans="1:9" x14ac:dyDescent="0.35">
      <c r="D144"/>
      <c r="G144" s="1"/>
      <c r="I144"/>
    </row>
    <row r="145" spans="4:9" x14ac:dyDescent="0.35">
      <c r="D145"/>
      <c r="G145" s="1"/>
      <c r="I145"/>
    </row>
    <row r="146" spans="4:9" x14ac:dyDescent="0.35">
      <c r="D146"/>
      <c r="G146" s="1"/>
      <c r="I146"/>
    </row>
    <row r="147" spans="4:9" x14ac:dyDescent="0.35">
      <c r="D147"/>
      <c r="G147" s="1"/>
      <c r="I147"/>
    </row>
  </sheetData>
  <phoneticPr fontId="1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81"/>
  <sheetViews>
    <sheetView topLeftCell="F39" workbookViewId="0">
      <pane xSplit="1" topLeftCell="G1" activePane="topRight" state="frozen"/>
      <selection activeCell="F1" sqref="F1"/>
      <selection pane="topRight" activeCell="G3" sqref="G3"/>
    </sheetView>
  </sheetViews>
  <sheetFormatPr defaultRowHeight="14.5" x14ac:dyDescent="0.35"/>
  <cols>
    <col min="2" max="2" width="16.26953125" customWidth="1"/>
    <col min="3" max="3" width="14.26953125" customWidth="1"/>
    <col min="4" max="4" width="19.08984375" customWidth="1"/>
    <col min="5" max="6" width="23.54296875" style="1" bestFit="1" customWidth="1"/>
    <col min="7" max="7" width="23.26953125" style="1" bestFit="1" customWidth="1"/>
    <col min="8" max="9" width="23.26953125" style="1" customWidth="1"/>
    <col min="10" max="10" width="26.36328125" bestFit="1" customWidth="1"/>
    <col min="11" max="11" width="10.7265625" style="2" bestFit="1" customWidth="1"/>
    <col min="12" max="12" width="9.54296875" customWidth="1"/>
    <col min="13" max="13" width="12.90625" bestFit="1" customWidth="1"/>
  </cols>
  <sheetData>
    <row r="1" spans="1:17" ht="15.5" x14ac:dyDescent="0.35">
      <c r="A1" s="49" t="s">
        <v>171</v>
      </c>
      <c r="B1" s="49" t="s">
        <v>16</v>
      </c>
      <c r="C1" s="49" t="s">
        <v>176</v>
      </c>
      <c r="D1" s="49" t="s">
        <v>172</v>
      </c>
      <c r="E1" s="50" t="s">
        <v>187</v>
      </c>
      <c r="F1" s="50" t="s">
        <v>188</v>
      </c>
      <c r="G1" s="50" t="s">
        <v>186</v>
      </c>
      <c r="H1" s="50" t="s">
        <v>189</v>
      </c>
      <c r="I1" s="50" t="s">
        <v>190</v>
      </c>
      <c r="J1" s="49" t="s">
        <v>173</v>
      </c>
      <c r="K1" s="52" t="s">
        <v>12</v>
      </c>
      <c r="L1" s="49" t="s">
        <v>70</v>
      </c>
      <c r="M1" s="49" t="s">
        <v>150</v>
      </c>
    </row>
    <row r="2" spans="1:17" x14ac:dyDescent="0.35">
      <c r="A2" s="48" t="s">
        <v>174</v>
      </c>
      <c r="B2" s="48" t="s">
        <v>175</v>
      </c>
      <c r="C2" s="48" t="s">
        <v>177</v>
      </c>
      <c r="D2" s="48">
        <v>400</v>
      </c>
      <c r="E2" s="51">
        <v>10000</v>
      </c>
      <c r="F2" s="51"/>
      <c r="G2" s="51"/>
      <c r="H2" s="51">
        <v>10000</v>
      </c>
      <c r="I2" s="51"/>
      <c r="J2" s="48" t="s">
        <v>179</v>
      </c>
      <c r="K2" s="53">
        <v>44597</v>
      </c>
      <c r="L2" s="48" t="str">
        <f>TEXT(K2,"mmmm")</f>
        <v>February</v>
      </c>
      <c r="M2" s="48" t="str">
        <f>TEXT(K2,"YYY")</f>
        <v>2022</v>
      </c>
    </row>
    <row r="3" spans="1:17" x14ac:dyDescent="0.35">
      <c r="A3" s="48" t="s">
        <v>174</v>
      </c>
      <c r="B3" s="48" t="s">
        <v>175</v>
      </c>
      <c r="C3" s="48" t="s">
        <v>178</v>
      </c>
      <c r="D3" s="48">
        <v>402</v>
      </c>
      <c r="E3" s="51"/>
      <c r="F3" s="51">
        <f>58+18+33</f>
        <v>109</v>
      </c>
      <c r="G3" s="51">
        <f>18+33</f>
        <v>51</v>
      </c>
      <c r="H3" s="51"/>
      <c r="I3" s="51">
        <f>58+18+33</f>
        <v>109</v>
      </c>
      <c r="J3" s="48" t="s">
        <v>180</v>
      </c>
      <c r="K3" s="53">
        <v>44597</v>
      </c>
      <c r="L3" s="48" t="str">
        <f t="shared" ref="L3:L5" si="0">TEXT(K3,"mmmm")</f>
        <v>February</v>
      </c>
      <c r="M3" s="48" t="str">
        <f t="shared" ref="M3:M5" si="1">TEXT(K3,"YYY")</f>
        <v>2022</v>
      </c>
    </row>
    <row r="4" spans="1:17" x14ac:dyDescent="0.35">
      <c r="A4" s="48" t="s">
        <v>174</v>
      </c>
      <c r="B4" s="48" t="s">
        <v>19</v>
      </c>
      <c r="C4" s="48" t="s">
        <v>178</v>
      </c>
      <c r="D4" s="48">
        <v>403</v>
      </c>
      <c r="E4" s="51"/>
      <c r="F4" s="51">
        <v>451.61</v>
      </c>
      <c r="G4" s="51"/>
      <c r="H4" s="51"/>
      <c r="I4" s="51">
        <v>451.61</v>
      </c>
      <c r="J4" s="48" t="s">
        <v>19</v>
      </c>
      <c r="K4" s="53">
        <v>44597</v>
      </c>
      <c r="L4" s="48" t="str">
        <f t="shared" si="0"/>
        <v>February</v>
      </c>
      <c r="M4" s="48" t="str">
        <f t="shared" si="1"/>
        <v>2022</v>
      </c>
    </row>
    <row r="5" spans="1:17" x14ac:dyDescent="0.35">
      <c r="A5" s="48" t="s">
        <v>174</v>
      </c>
      <c r="B5" s="48" t="s">
        <v>19</v>
      </c>
      <c r="C5" s="48" t="s">
        <v>178</v>
      </c>
      <c r="D5" s="48">
        <v>404</v>
      </c>
      <c r="E5" s="51"/>
      <c r="F5" s="51">
        <f>225.81+193.53</f>
        <v>419.34000000000003</v>
      </c>
      <c r="G5" s="51"/>
      <c r="H5" s="51"/>
      <c r="I5" s="51">
        <f>225.81+193.53</f>
        <v>419.34000000000003</v>
      </c>
      <c r="J5" s="48" t="s">
        <v>181</v>
      </c>
      <c r="K5" s="53">
        <v>44597</v>
      </c>
      <c r="L5" s="48" t="str">
        <f t="shared" si="0"/>
        <v>February</v>
      </c>
      <c r="M5" s="48" t="str">
        <f t="shared" si="1"/>
        <v>2022</v>
      </c>
      <c r="N5" s="4"/>
      <c r="O5" s="4"/>
      <c r="P5" s="4"/>
      <c r="Q5" s="4"/>
    </row>
    <row r="6" spans="1:17" x14ac:dyDescent="0.35">
      <c r="A6" s="48" t="s">
        <v>174</v>
      </c>
      <c r="B6" s="48" t="s">
        <v>175</v>
      </c>
      <c r="C6" s="48" t="s">
        <v>177</v>
      </c>
      <c r="D6" s="48">
        <v>400</v>
      </c>
      <c r="E6" s="51"/>
      <c r="F6" s="51"/>
      <c r="G6" s="51"/>
      <c r="H6" s="51"/>
      <c r="I6" s="51"/>
      <c r="J6" s="48" t="s">
        <v>179</v>
      </c>
      <c r="K6" s="53">
        <v>44625</v>
      </c>
      <c r="L6" s="48" t="str">
        <f t="shared" ref="L6:L9" si="2">TEXT(K6,"mmmm")</f>
        <v>March</v>
      </c>
      <c r="M6" s="48" t="str">
        <f t="shared" ref="M6:M9" si="3">TEXT(K6,"YYY")</f>
        <v>2022</v>
      </c>
    </row>
    <row r="7" spans="1:17" x14ac:dyDescent="0.35">
      <c r="A7" s="48" t="s">
        <v>174</v>
      </c>
      <c r="B7" s="48" t="s">
        <v>175</v>
      </c>
      <c r="C7" s="48" t="s">
        <v>178</v>
      </c>
      <c r="D7" s="48">
        <v>402</v>
      </c>
      <c r="E7" s="51"/>
      <c r="F7" s="51"/>
      <c r="G7" s="51"/>
      <c r="H7" s="51"/>
      <c r="I7" s="51">
        <f>F3-G3</f>
        <v>58</v>
      </c>
      <c r="J7" s="48" t="s">
        <v>180</v>
      </c>
      <c r="K7" s="53">
        <v>44625</v>
      </c>
      <c r="L7" s="48" t="str">
        <f t="shared" si="2"/>
        <v>March</v>
      </c>
      <c r="M7" s="48" t="str">
        <f t="shared" si="3"/>
        <v>2022</v>
      </c>
    </row>
    <row r="8" spans="1:17" x14ac:dyDescent="0.35">
      <c r="A8" s="48" t="s">
        <v>174</v>
      </c>
      <c r="B8" s="48" t="s">
        <v>19</v>
      </c>
      <c r="C8" s="48" t="s">
        <v>178</v>
      </c>
      <c r="D8" s="48">
        <v>403</v>
      </c>
      <c r="E8" s="51"/>
      <c r="F8" s="51">
        <v>161.28999999999996</v>
      </c>
      <c r="G8" s="51"/>
      <c r="H8" s="51"/>
      <c r="I8" s="51">
        <f>F4+Table3[[#This Row],[Amount Added (USD)]]</f>
        <v>612.9</v>
      </c>
      <c r="J8" s="48" t="s">
        <v>19</v>
      </c>
      <c r="K8" s="53">
        <v>44625</v>
      </c>
      <c r="L8" s="48" t="str">
        <f t="shared" si="2"/>
        <v>March</v>
      </c>
      <c r="M8" s="48" t="str">
        <f t="shared" si="3"/>
        <v>2022</v>
      </c>
    </row>
    <row r="9" spans="1:17" x14ac:dyDescent="0.35">
      <c r="A9" s="48" t="s">
        <v>174</v>
      </c>
      <c r="B9" s="48" t="s">
        <v>19</v>
      </c>
      <c r="C9" s="48" t="s">
        <v>178</v>
      </c>
      <c r="D9" s="48">
        <v>404</v>
      </c>
      <c r="E9" s="51"/>
      <c r="F9" s="51"/>
      <c r="G9" s="51"/>
      <c r="H9" s="51">
        <f>E2</f>
        <v>10000</v>
      </c>
      <c r="I9" s="51">
        <f>F5</f>
        <v>419.34000000000003</v>
      </c>
      <c r="J9" s="48" t="s">
        <v>181</v>
      </c>
      <c r="K9" s="53">
        <v>44625</v>
      </c>
      <c r="L9" s="48" t="str">
        <f t="shared" si="2"/>
        <v>March</v>
      </c>
      <c r="M9" s="48" t="str">
        <f t="shared" si="3"/>
        <v>2022</v>
      </c>
    </row>
    <row r="10" spans="1:17" x14ac:dyDescent="0.35">
      <c r="A10" s="48" t="s">
        <v>174</v>
      </c>
      <c r="B10" s="48" t="s">
        <v>175</v>
      </c>
      <c r="C10" s="48" t="s">
        <v>177</v>
      </c>
      <c r="D10" s="48">
        <v>400</v>
      </c>
      <c r="E10" s="51">
        <v>30000</v>
      </c>
      <c r="F10" s="51"/>
      <c r="G10" s="51"/>
      <c r="H10" s="51">
        <v>40000</v>
      </c>
      <c r="I10" s="51"/>
      <c r="J10" s="48" t="s">
        <v>179</v>
      </c>
      <c r="K10" s="53">
        <v>44656</v>
      </c>
      <c r="L10" s="48" t="str">
        <f t="shared" ref="L10:L13" si="4">TEXT(K10,"mmmm")</f>
        <v>April</v>
      </c>
      <c r="M10" s="48" t="str">
        <f t="shared" ref="M10:M13" si="5">TEXT(K10,"YYY")</f>
        <v>2022</v>
      </c>
    </row>
    <row r="11" spans="1:17" x14ac:dyDescent="0.35">
      <c r="A11" s="48" t="s">
        <v>174</v>
      </c>
      <c r="B11" s="48" t="s">
        <v>175</v>
      </c>
      <c r="C11" s="48" t="s">
        <v>178</v>
      </c>
      <c r="D11" s="48">
        <v>402</v>
      </c>
      <c r="E11" s="51"/>
      <c r="F11" s="51"/>
      <c r="G11" s="51"/>
      <c r="H11" s="51"/>
      <c r="I11" s="51">
        <f>I7</f>
        <v>58</v>
      </c>
      <c r="J11" s="48" t="s">
        <v>180</v>
      </c>
      <c r="K11" s="53">
        <v>44656</v>
      </c>
      <c r="L11" s="48" t="str">
        <f t="shared" si="4"/>
        <v>April</v>
      </c>
      <c r="M11" s="48" t="str">
        <f t="shared" si="5"/>
        <v>2022</v>
      </c>
    </row>
    <row r="12" spans="1:17" x14ac:dyDescent="0.35">
      <c r="A12" s="48" t="s">
        <v>174</v>
      </c>
      <c r="B12" s="48" t="s">
        <v>19</v>
      </c>
      <c r="C12" s="48" t="s">
        <v>178</v>
      </c>
      <c r="D12" s="48">
        <v>403</v>
      </c>
      <c r="E12" s="51"/>
      <c r="F12" s="51">
        <v>410.26</v>
      </c>
      <c r="G12" s="51"/>
      <c r="H12" s="51"/>
      <c r="I12" s="51">
        <f>I8+Table3[[#This Row],[Amount Added (USD)]]</f>
        <v>1023.16</v>
      </c>
      <c r="J12" s="48" t="s">
        <v>19</v>
      </c>
      <c r="K12" s="53">
        <v>44656</v>
      </c>
      <c r="L12" s="48" t="str">
        <f t="shared" si="4"/>
        <v>April</v>
      </c>
      <c r="M12" s="48" t="str">
        <f t="shared" si="5"/>
        <v>2022</v>
      </c>
    </row>
    <row r="13" spans="1:17" x14ac:dyDescent="0.35">
      <c r="A13" s="48" t="s">
        <v>174</v>
      </c>
      <c r="B13" s="48" t="s">
        <v>19</v>
      </c>
      <c r="C13" s="48" t="s">
        <v>178</v>
      </c>
      <c r="D13" s="48">
        <v>404</v>
      </c>
      <c r="E13" s="51"/>
      <c r="F13" s="51">
        <v>493.59</v>
      </c>
      <c r="G13" s="51"/>
      <c r="H13" s="51">
        <f>E6</f>
        <v>0</v>
      </c>
      <c r="I13" s="51">
        <f>I9+Table3[[#This Row],[Amount Added (USD)]]</f>
        <v>912.93000000000006</v>
      </c>
      <c r="J13" s="48" t="s">
        <v>181</v>
      </c>
      <c r="K13" s="53">
        <v>44656</v>
      </c>
      <c r="L13" s="48" t="str">
        <f t="shared" si="4"/>
        <v>April</v>
      </c>
      <c r="M13" s="48" t="str">
        <f t="shared" si="5"/>
        <v>2022</v>
      </c>
    </row>
    <row r="14" spans="1:17" x14ac:dyDescent="0.35">
      <c r="A14" s="48" t="s">
        <v>174</v>
      </c>
      <c r="B14" s="48" t="s">
        <v>175</v>
      </c>
      <c r="C14" s="48" t="s">
        <v>177</v>
      </c>
      <c r="D14" s="48">
        <v>400</v>
      </c>
      <c r="E14" s="51">
        <v>8000</v>
      </c>
      <c r="F14" s="51"/>
      <c r="G14" s="51"/>
      <c r="H14" s="51">
        <f>H10+Table3[[#This Row],[Amount Added (JMD)]]</f>
        <v>48000</v>
      </c>
      <c r="I14" s="51"/>
      <c r="J14" s="48" t="s">
        <v>179</v>
      </c>
      <c r="K14" s="53">
        <v>37381</v>
      </c>
      <c r="L14" s="48" t="str">
        <f>TEXT(K14,"mmmm")</f>
        <v>May</v>
      </c>
      <c r="M14" s="48" t="str">
        <f>TEXT(K14,"YYY")</f>
        <v>2002</v>
      </c>
    </row>
    <row r="15" spans="1:17" x14ac:dyDescent="0.35">
      <c r="A15" s="48" t="s">
        <v>174</v>
      </c>
      <c r="B15" s="48" t="s">
        <v>175</v>
      </c>
      <c r="C15" s="48" t="s">
        <v>178</v>
      </c>
      <c r="D15" s="48">
        <v>402</v>
      </c>
      <c r="E15" s="51"/>
      <c r="F15" s="51"/>
      <c r="G15" s="51">
        <f>I11-Table3[[#This Row],[Total Amount (USD)]]</f>
        <v>46</v>
      </c>
      <c r="H15" s="51"/>
      <c r="I15" s="51">
        <v>12</v>
      </c>
      <c r="J15" s="48" t="s">
        <v>180</v>
      </c>
      <c r="K15" s="53">
        <v>37381</v>
      </c>
      <c r="L15" s="48" t="str">
        <f t="shared" ref="L15:L17" si="6">TEXT(K15,"mmmm")</f>
        <v>May</v>
      </c>
      <c r="M15" s="48" t="str">
        <f t="shared" ref="M15:M17" si="7">TEXT(K15,"YYY")</f>
        <v>2002</v>
      </c>
    </row>
    <row r="16" spans="1:17" x14ac:dyDescent="0.35">
      <c r="A16" s="48" t="s">
        <v>174</v>
      </c>
      <c r="B16" s="48" t="s">
        <v>19</v>
      </c>
      <c r="C16" s="48" t="s">
        <v>178</v>
      </c>
      <c r="D16" s="48">
        <v>403</v>
      </c>
      <c r="E16" s="51"/>
      <c r="F16" s="51">
        <v>384.62</v>
      </c>
      <c r="G16" s="51"/>
      <c r="H16" s="51"/>
      <c r="I16" s="51">
        <f>I12+Table3[[#This Row],[Amount Added (USD)]]</f>
        <v>1407.78</v>
      </c>
      <c r="J16" s="48" t="s">
        <v>19</v>
      </c>
      <c r="K16" s="53">
        <v>37381</v>
      </c>
      <c r="L16" s="48" t="str">
        <f t="shared" si="6"/>
        <v>May</v>
      </c>
      <c r="M16" s="48" t="str">
        <f t="shared" si="7"/>
        <v>2002</v>
      </c>
    </row>
    <row r="17" spans="1:13" x14ac:dyDescent="0.35">
      <c r="A17" s="48" t="s">
        <v>174</v>
      </c>
      <c r="B17" s="48" t="s">
        <v>19</v>
      </c>
      <c r="C17" s="48" t="s">
        <v>178</v>
      </c>
      <c r="D17" s="48">
        <v>404</v>
      </c>
      <c r="E17" s="51"/>
      <c r="F17" s="51"/>
      <c r="G17" s="51"/>
      <c r="H17" s="51"/>
      <c r="I17" s="51">
        <f>I13</f>
        <v>912.93000000000006</v>
      </c>
      <c r="J17" s="48" t="s">
        <v>181</v>
      </c>
      <c r="K17" s="53">
        <v>37381</v>
      </c>
      <c r="L17" s="48" t="str">
        <f t="shared" si="6"/>
        <v>May</v>
      </c>
      <c r="M17" s="48" t="str">
        <f t="shared" si="7"/>
        <v>2002</v>
      </c>
    </row>
    <row r="18" spans="1:13" x14ac:dyDescent="0.35">
      <c r="A18" s="48" t="s">
        <v>174</v>
      </c>
      <c r="B18" s="48" t="s">
        <v>175</v>
      </c>
      <c r="C18" s="48" t="s">
        <v>177</v>
      </c>
      <c r="D18" s="48">
        <v>400</v>
      </c>
      <c r="E18" s="51"/>
      <c r="F18" s="51"/>
      <c r="G18" s="51">
        <f>Table3[[#This Row],[Total Amount (JMD)]]-2000</f>
        <v>28431.09</v>
      </c>
      <c r="H18" s="51">
        <f>H14-17568.91</f>
        <v>30431.09</v>
      </c>
      <c r="I18" s="51">
        <f>Table3[[#This Row],[Total Amount (JMD)]]-Table3[[#This Row],[Amount Spend (USD)]]</f>
        <v>2000</v>
      </c>
      <c r="J18" s="48" t="s">
        <v>179</v>
      </c>
      <c r="K18" s="53">
        <v>37412</v>
      </c>
      <c r="L18" s="48" t="str">
        <f>TEXT(K18,"mmmm")</f>
        <v>June</v>
      </c>
      <c r="M18" s="48" t="str">
        <f>TEXT(K18,"YYY")</f>
        <v>2002</v>
      </c>
    </row>
    <row r="19" spans="1:13" x14ac:dyDescent="0.35">
      <c r="A19" s="48" t="s">
        <v>174</v>
      </c>
      <c r="B19" s="48" t="s">
        <v>175</v>
      </c>
      <c r="C19" s="48" t="s">
        <v>178</v>
      </c>
      <c r="D19" s="48">
        <v>402</v>
      </c>
      <c r="E19" s="51"/>
      <c r="F19" s="51"/>
      <c r="G19" s="51"/>
      <c r="H19" s="51"/>
      <c r="I19" s="51"/>
      <c r="J19" s="48" t="s">
        <v>180</v>
      </c>
      <c r="K19" s="53">
        <v>37412</v>
      </c>
      <c r="L19" s="48" t="str">
        <f>TEXT(K19,"mmmm")</f>
        <v>June</v>
      </c>
      <c r="M19" s="48" t="str">
        <f>TEXT(K19,"YYY")</f>
        <v>2002</v>
      </c>
    </row>
    <row r="20" spans="1:13" x14ac:dyDescent="0.35">
      <c r="A20" s="48" t="s">
        <v>174</v>
      </c>
      <c r="B20" s="48" t="s">
        <v>19</v>
      </c>
      <c r="C20" s="48" t="s">
        <v>178</v>
      </c>
      <c r="D20" s="48">
        <v>403</v>
      </c>
      <c r="E20" s="51"/>
      <c r="F20" s="51"/>
      <c r="G20" s="51">
        <v>700</v>
      </c>
      <c r="H20" s="51"/>
      <c r="I20" s="51">
        <f>I16-Table3[[#This Row],[Amount Spend (USD)]]</f>
        <v>707.78</v>
      </c>
      <c r="J20" s="48" t="s">
        <v>19</v>
      </c>
      <c r="K20" s="53">
        <v>37412</v>
      </c>
      <c r="L20" s="48" t="str">
        <f>TEXT(K20,"mmmm")</f>
        <v>June</v>
      </c>
      <c r="M20" s="48" t="str">
        <f>TEXT(K20,"YYY")</f>
        <v>2002</v>
      </c>
    </row>
    <row r="21" spans="1:13" x14ac:dyDescent="0.35">
      <c r="A21" s="48" t="s">
        <v>174</v>
      </c>
      <c r="B21" s="48" t="s">
        <v>19</v>
      </c>
      <c r="C21" s="48" t="s">
        <v>178</v>
      </c>
      <c r="D21" s="48">
        <v>404</v>
      </c>
      <c r="E21" s="51"/>
      <c r="F21" s="51"/>
      <c r="G21" s="51">
        <v>800</v>
      </c>
      <c r="H21" s="51"/>
      <c r="I21" s="51">
        <f>I17-Table3[[#This Row],[Amount Spend (USD)]]</f>
        <v>112.93000000000006</v>
      </c>
      <c r="J21" s="48" t="s">
        <v>181</v>
      </c>
      <c r="K21" s="53">
        <v>37412</v>
      </c>
      <c r="L21" s="48" t="str">
        <f>TEXT(K21,"mmmm")</f>
        <v>June</v>
      </c>
      <c r="M21" s="48" t="str">
        <f>TEXT(K21,"YYY")</f>
        <v>2002</v>
      </c>
    </row>
    <row r="22" spans="1:13" x14ac:dyDescent="0.35">
      <c r="A22" s="48" t="s">
        <v>174</v>
      </c>
      <c r="B22" s="48" t="s">
        <v>175</v>
      </c>
      <c r="C22" s="48" t="s">
        <v>177</v>
      </c>
      <c r="D22" s="48">
        <v>400</v>
      </c>
      <c r="E22" s="51">
        <v>5000</v>
      </c>
      <c r="F22" s="51"/>
      <c r="G22" s="51">
        <f>19000+10500</f>
        <v>29500</v>
      </c>
      <c r="H22" s="51">
        <v>7000</v>
      </c>
      <c r="I22" s="51"/>
      <c r="J22" s="48" t="s">
        <v>179</v>
      </c>
      <c r="K22" s="53">
        <v>37442</v>
      </c>
      <c r="L22" s="48" t="str">
        <f t="shared" ref="L22:L25" si="8">TEXT(K22,"mmmm")</f>
        <v>July</v>
      </c>
      <c r="M22" s="48" t="str">
        <f t="shared" ref="M22:M25" si="9">TEXT(K22,"YYY")</f>
        <v>2002</v>
      </c>
    </row>
    <row r="23" spans="1:13" x14ac:dyDescent="0.35">
      <c r="A23" s="48" t="s">
        <v>174</v>
      </c>
      <c r="B23" s="48" t="s">
        <v>175</v>
      </c>
      <c r="C23" s="48" t="s">
        <v>178</v>
      </c>
      <c r="D23" s="48">
        <v>402</v>
      </c>
      <c r="E23" s="51"/>
      <c r="F23" s="51"/>
      <c r="G23" s="51">
        <v>18</v>
      </c>
      <c r="H23" s="51"/>
      <c r="I23" s="51">
        <v>2</v>
      </c>
      <c r="J23" s="48" t="s">
        <v>180</v>
      </c>
      <c r="K23" s="53">
        <v>37442</v>
      </c>
      <c r="L23" s="48" t="str">
        <f t="shared" si="8"/>
        <v>July</v>
      </c>
      <c r="M23" s="48" t="str">
        <f t="shared" si="9"/>
        <v>2002</v>
      </c>
    </row>
    <row r="24" spans="1:13" x14ac:dyDescent="0.35">
      <c r="A24" s="48" t="s">
        <v>174</v>
      </c>
      <c r="B24" s="48" t="s">
        <v>19</v>
      </c>
      <c r="C24" s="48" t="s">
        <v>178</v>
      </c>
      <c r="D24" s="48">
        <v>403</v>
      </c>
      <c r="E24" s="51"/>
      <c r="F24" s="51">
        <v>459.02</v>
      </c>
      <c r="G24" s="51">
        <v>438</v>
      </c>
      <c r="H24" s="51"/>
      <c r="I24" s="51">
        <f>I20+Table3[[#This Row],[Amount Added (USD)]]</f>
        <v>1166.8</v>
      </c>
      <c r="J24" s="48" t="s">
        <v>19</v>
      </c>
      <c r="K24" s="53">
        <v>37442</v>
      </c>
      <c r="L24" s="48" t="str">
        <f t="shared" si="8"/>
        <v>July</v>
      </c>
      <c r="M24" s="48" t="str">
        <f t="shared" si="9"/>
        <v>2002</v>
      </c>
    </row>
    <row r="25" spans="1:13" x14ac:dyDescent="0.35">
      <c r="A25" s="48" t="s">
        <v>174</v>
      </c>
      <c r="B25" s="48" t="s">
        <v>19</v>
      </c>
      <c r="C25" s="48" t="s">
        <v>178</v>
      </c>
      <c r="D25" s="48">
        <v>404</v>
      </c>
      <c r="E25" s="51"/>
      <c r="F25" s="51">
        <v>65.569999999999993</v>
      </c>
      <c r="G25" s="51">
        <v>20</v>
      </c>
      <c r="H25" s="51"/>
      <c r="I25" s="51">
        <f>I21+Table3[[#This Row],[Amount Added (USD)]]</f>
        <v>178.50000000000006</v>
      </c>
      <c r="J25" s="48" t="s">
        <v>181</v>
      </c>
      <c r="K25" s="53">
        <v>37442</v>
      </c>
      <c r="L25" s="48" t="str">
        <f t="shared" si="8"/>
        <v>July</v>
      </c>
      <c r="M25" s="48" t="str">
        <f t="shared" si="9"/>
        <v>2002</v>
      </c>
    </row>
    <row r="26" spans="1:13" x14ac:dyDescent="0.35">
      <c r="A26" s="48" t="s">
        <v>174</v>
      </c>
      <c r="B26" s="48" t="s">
        <v>175</v>
      </c>
      <c r="C26" s="48" t="s">
        <v>177</v>
      </c>
      <c r="D26" s="48">
        <v>400</v>
      </c>
      <c r="E26" s="55">
        <v>25000</v>
      </c>
      <c r="F26" s="55"/>
      <c r="G26" s="55"/>
      <c r="H26" s="55">
        <f>(H22+25000)-G22</f>
        <v>2500</v>
      </c>
      <c r="I26" s="55"/>
      <c r="J26" s="48" t="s">
        <v>179</v>
      </c>
      <c r="K26" s="53">
        <v>44778</v>
      </c>
      <c r="L26" s="48" t="str">
        <f t="shared" ref="L26:L29" si="10">TEXT(K26,"mmmm")</f>
        <v>August</v>
      </c>
      <c r="M26" s="48" t="str">
        <f t="shared" ref="M26:M29" si="11">TEXT(K26,"YYY")</f>
        <v>2022</v>
      </c>
    </row>
    <row r="27" spans="1:13" x14ac:dyDescent="0.35">
      <c r="A27" s="48" t="s">
        <v>174</v>
      </c>
      <c r="B27" s="48" t="s">
        <v>175</v>
      </c>
      <c r="C27" s="48" t="s">
        <v>178</v>
      </c>
      <c r="D27" s="48">
        <v>402</v>
      </c>
      <c r="E27" s="55"/>
      <c r="F27" s="55">
        <v>65</v>
      </c>
      <c r="G27" s="55">
        <v>6.99</v>
      </c>
      <c r="H27" s="55"/>
      <c r="I27" s="55">
        <v>69</v>
      </c>
      <c r="J27" s="48" t="s">
        <v>180</v>
      </c>
      <c r="K27" s="53">
        <v>44778</v>
      </c>
      <c r="L27" s="48" t="str">
        <f t="shared" si="10"/>
        <v>August</v>
      </c>
      <c r="M27" s="48" t="str">
        <f t="shared" si="11"/>
        <v>2022</v>
      </c>
    </row>
    <row r="28" spans="1:13" x14ac:dyDescent="0.35">
      <c r="A28" s="48" t="s">
        <v>174</v>
      </c>
      <c r="B28" s="48" t="s">
        <v>19</v>
      </c>
      <c r="C28" s="48" t="s">
        <v>178</v>
      </c>
      <c r="D28" s="48">
        <v>403</v>
      </c>
      <c r="E28" s="55"/>
      <c r="F28" s="55">
        <v>340.84</v>
      </c>
      <c r="G28" s="55"/>
      <c r="H28" s="55"/>
      <c r="I28" s="55">
        <v>1108.07</v>
      </c>
      <c r="J28" s="48" t="s">
        <v>19</v>
      </c>
      <c r="K28" s="53">
        <v>44778</v>
      </c>
      <c r="L28" s="48" t="str">
        <f t="shared" si="10"/>
        <v>August</v>
      </c>
      <c r="M28" s="48" t="str">
        <f t="shared" si="11"/>
        <v>2022</v>
      </c>
    </row>
    <row r="29" spans="1:13" x14ac:dyDescent="0.35">
      <c r="A29" s="48" t="s">
        <v>174</v>
      </c>
      <c r="B29" s="48" t="s">
        <v>19</v>
      </c>
      <c r="C29" s="48" t="s">
        <v>178</v>
      </c>
      <c r="D29" s="48">
        <v>404</v>
      </c>
      <c r="E29" s="55"/>
      <c r="F29" s="55">
        <v>147.91</v>
      </c>
      <c r="G29" s="55">
        <f>65+49</f>
        <v>114</v>
      </c>
      <c r="H29" s="55"/>
      <c r="I29" s="55">
        <v>306.55</v>
      </c>
      <c r="J29" s="48" t="s">
        <v>181</v>
      </c>
      <c r="K29" s="53">
        <v>44778</v>
      </c>
      <c r="L29" s="48" t="str">
        <f t="shared" si="10"/>
        <v>August</v>
      </c>
      <c r="M29" s="48" t="str">
        <f t="shared" si="11"/>
        <v>2022</v>
      </c>
    </row>
    <row r="30" spans="1:13" x14ac:dyDescent="0.35">
      <c r="A30" s="48" t="s">
        <v>174</v>
      </c>
      <c r="B30" s="48" t="s">
        <v>175</v>
      </c>
      <c r="C30" s="48" t="s">
        <v>177</v>
      </c>
      <c r="D30" s="48">
        <v>400</v>
      </c>
      <c r="E30" s="55"/>
      <c r="F30" s="55"/>
      <c r="G30" s="55"/>
      <c r="H30" s="55">
        <v>523</v>
      </c>
      <c r="I30" s="55"/>
      <c r="J30" s="48" t="s">
        <v>179</v>
      </c>
      <c r="K30" s="53">
        <v>44809</v>
      </c>
      <c r="L30" s="48" t="str">
        <f t="shared" ref="L30:L33" si="12">TEXT(K30,"mmmm")</f>
        <v>September</v>
      </c>
      <c r="M30" s="48" t="str">
        <f t="shared" ref="M30:M33" si="13">TEXT(K30,"YYY")</f>
        <v>2022</v>
      </c>
    </row>
    <row r="31" spans="1:13" x14ac:dyDescent="0.35">
      <c r="A31" s="48" t="s">
        <v>174</v>
      </c>
      <c r="B31" s="48" t="s">
        <v>175</v>
      </c>
      <c r="C31" s="48" t="s">
        <v>178</v>
      </c>
      <c r="D31" s="48">
        <v>402</v>
      </c>
      <c r="E31" s="55"/>
      <c r="F31" s="55"/>
      <c r="G31" s="55"/>
      <c r="H31" s="55"/>
      <c r="I31" s="55">
        <f>I27-G27</f>
        <v>62.01</v>
      </c>
      <c r="J31" s="48" t="s">
        <v>180</v>
      </c>
      <c r="K31" s="53">
        <v>44809</v>
      </c>
      <c r="L31" s="48" t="str">
        <f t="shared" si="12"/>
        <v>September</v>
      </c>
      <c r="M31" s="48" t="str">
        <f t="shared" si="13"/>
        <v>2022</v>
      </c>
    </row>
    <row r="32" spans="1:13" x14ac:dyDescent="0.35">
      <c r="A32" s="48" t="s">
        <v>174</v>
      </c>
      <c r="B32" s="48" t="s">
        <v>19</v>
      </c>
      <c r="C32" s="48" t="s">
        <v>178</v>
      </c>
      <c r="D32" s="48">
        <v>403</v>
      </c>
      <c r="E32" s="55"/>
      <c r="F32" s="55">
        <v>393.44</v>
      </c>
      <c r="G32" s="55"/>
      <c r="H32" s="55"/>
      <c r="I32" s="55">
        <f>I28+Table3[[#This Row],[Amount Added (JMD)]]</f>
        <v>1108.07</v>
      </c>
      <c r="J32" s="48" t="s">
        <v>19</v>
      </c>
      <c r="K32" s="53">
        <v>44809</v>
      </c>
      <c r="L32" s="48" t="str">
        <f t="shared" si="12"/>
        <v>September</v>
      </c>
      <c r="M32" s="48" t="str">
        <f t="shared" si="13"/>
        <v>2022</v>
      </c>
    </row>
    <row r="33" spans="1:13" x14ac:dyDescent="0.35">
      <c r="A33" s="48" t="s">
        <v>174</v>
      </c>
      <c r="B33" s="48" t="s">
        <v>19</v>
      </c>
      <c r="C33" s="48" t="s">
        <v>178</v>
      </c>
      <c r="D33" s="48">
        <v>404</v>
      </c>
      <c r="E33" s="55"/>
      <c r="F33" s="55">
        <v>128.32</v>
      </c>
      <c r="G33" s="55">
        <v>120</v>
      </c>
      <c r="H33" s="55"/>
      <c r="I33" s="55">
        <v>320.87</v>
      </c>
      <c r="J33" s="48" t="s">
        <v>181</v>
      </c>
      <c r="K33" s="53">
        <v>44809</v>
      </c>
      <c r="L33" s="48" t="str">
        <f t="shared" si="12"/>
        <v>September</v>
      </c>
      <c r="M33" s="48" t="str">
        <f t="shared" si="13"/>
        <v>2022</v>
      </c>
    </row>
    <row r="34" spans="1:13" x14ac:dyDescent="0.35">
      <c r="A34" s="48" t="s">
        <v>174</v>
      </c>
      <c r="B34" s="48" t="s">
        <v>175</v>
      </c>
      <c r="C34" s="48" t="s">
        <v>177</v>
      </c>
      <c r="D34" s="48">
        <v>400</v>
      </c>
      <c r="E34" s="55">
        <v>25000</v>
      </c>
      <c r="F34" s="55"/>
      <c r="G34" s="55">
        <v>25000</v>
      </c>
      <c r="H34" s="55">
        <v>523</v>
      </c>
      <c r="I34" s="55"/>
      <c r="J34" s="48" t="s">
        <v>179</v>
      </c>
      <c r="K34" s="53">
        <v>44839</v>
      </c>
      <c r="L34" s="48" t="str">
        <f t="shared" ref="L34:L37" si="14">TEXT(K34,"mmmm")</f>
        <v>October</v>
      </c>
      <c r="M34" s="48" t="str">
        <f t="shared" ref="M34:M37" si="15">TEXT(K34,"YYY")</f>
        <v>2022</v>
      </c>
    </row>
    <row r="35" spans="1:13" x14ac:dyDescent="0.35">
      <c r="A35" s="48" t="s">
        <v>174</v>
      </c>
      <c r="B35" s="48" t="s">
        <v>175</v>
      </c>
      <c r="C35" s="48" t="s">
        <v>178</v>
      </c>
      <c r="D35" s="48">
        <v>402</v>
      </c>
      <c r="E35" s="55"/>
      <c r="F35" s="55"/>
      <c r="G35" s="55"/>
      <c r="H35" s="55"/>
      <c r="I35" s="55">
        <v>40.22</v>
      </c>
      <c r="J35" s="48" t="s">
        <v>180</v>
      </c>
      <c r="K35" s="53">
        <v>44839</v>
      </c>
      <c r="L35" s="48" t="str">
        <f t="shared" si="14"/>
        <v>October</v>
      </c>
      <c r="M35" s="48" t="str">
        <f t="shared" si="15"/>
        <v>2022</v>
      </c>
    </row>
    <row r="36" spans="1:13" x14ac:dyDescent="0.35">
      <c r="A36" s="48" t="s">
        <v>174</v>
      </c>
      <c r="B36" s="48" t="s">
        <v>19</v>
      </c>
      <c r="C36" s="48" t="s">
        <v>178</v>
      </c>
      <c r="D36" s="48">
        <v>403</v>
      </c>
      <c r="E36" s="55"/>
      <c r="F36" s="24">
        <v>436.05</v>
      </c>
      <c r="G36" s="55">
        <v>154.05000000000001</v>
      </c>
      <c r="H36" s="55"/>
      <c r="I36" s="55">
        <v>1783.3</v>
      </c>
      <c r="J36" s="48" t="s">
        <v>19</v>
      </c>
      <c r="K36" s="53">
        <v>44839</v>
      </c>
      <c r="L36" s="48" t="str">
        <f t="shared" si="14"/>
        <v>October</v>
      </c>
      <c r="M36" s="48" t="str">
        <f t="shared" si="15"/>
        <v>2022</v>
      </c>
    </row>
    <row r="37" spans="1:13" x14ac:dyDescent="0.35">
      <c r="A37" s="48" t="s">
        <v>174</v>
      </c>
      <c r="B37" s="48" t="s">
        <v>19</v>
      </c>
      <c r="C37" s="48" t="s">
        <v>178</v>
      </c>
      <c r="D37" s="48">
        <v>404</v>
      </c>
      <c r="E37" s="55"/>
      <c r="F37" s="27">
        <v>64.72</v>
      </c>
      <c r="G37" s="55">
        <v>64.72</v>
      </c>
      <c r="H37" s="55"/>
      <c r="I37" s="55">
        <v>264.72000000000003</v>
      </c>
      <c r="J37" s="48" t="s">
        <v>181</v>
      </c>
      <c r="K37" s="53">
        <v>44839</v>
      </c>
      <c r="L37" s="48" t="str">
        <f t="shared" si="14"/>
        <v>October</v>
      </c>
      <c r="M37" s="48" t="str">
        <f t="shared" si="15"/>
        <v>2022</v>
      </c>
    </row>
    <row r="38" spans="1:13" x14ac:dyDescent="0.35">
      <c r="A38" s="48" t="s">
        <v>174</v>
      </c>
      <c r="B38" s="48" t="s">
        <v>175</v>
      </c>
      <c r="C38" s="48" t="s">
        <v>177</v>
      </c>
      <c r="D38" s="48">
        <v>400</v>
      </c>
      <c r="E38" s="55">
        <v>25000</v>
      </c>
      <c r="F38" s="55"/>
      <c r="G38" s="55">
        <v>25000</v>
      </c>
      <c r="H38" s="55">
        <v>523</v>
      </c>
      <c r="I38" s="55"/>
      <c r="J38" s="48" t="s">
        <v>179</v>
      </c>
      <c r="K38" s="53">
        <v>44870</v>
      </c>
      <c r="L38" s="48" t="str">
        <f t="shared" ref="L38:L41" si="16">TEXT(K38,"mmmm")</f>
        <v>November</v>
      </c>
      <c r="M38" s="48" t="str">
        <f t="shared" ref="M38:M41" si="17">TEXT(K38,"YYY")</f>
        <v>2022</v>
      </c>
    </row>
    <row r="39" spans="1:13" x14ac:dyDescent="0.35">
      <c r="A39" s="48" t="s">
        <v>174</v>
      </c>
      <c r="B39" s="48" t="s">
        <v>175</v>
      </c>
      <c r="C39" s="48" t="s">
        <v>178</v>
      </c>
      <c r="D39" s="48">
        <v>402</v>
      </c>
      <c r="E39" s="55"/>
      <c r="F39" s="55"/>
      <c r="G39" s="55">
        <v>8.15</v>
      </c>
      <c r="H39" s="55"/>
      <c r="I39" s="55">
        <v>30.85</v>
      </c>
      <c r="J39" s="48" t="s">
        <v>180</v>
      </c>
      <c r="K39" s="53">
        <v>44870</v>
      </c>
      <c r="L39" s="48" t="str">
        <f t="shared" si="16"/>
        <v>November</v>
      </c>
      <c r="M39" s="48" t="str">
        <f t="shared" si="17"/>
        <v>2022</v>
      </c>
    </row>
    <row r="40" spans="1:13" x14ac:dyDescent="0.35">
      <c r="A40" s="48" t="s">
        <v>174</v>
      </c>
      <c r="B40" s="48" t="s">
        <v>19</v>
      </c>
      <c r="C40" s="48" t="s">
        <v>178</v>
      </c>
      <c r="D40" s="48">
        <v>403</v>
      </c>
      <c r="E40" s="55"/>
      <c r="F40" s="55"/>
      <c r="G40" s="55">
        <v>320</v>
      </c>
      <c r="H40" s="57"/>
      <c r="I40" s="55">
        <v>1883.46</v>
      </c>
      <c r="J40" s="48" t="s">
        <v>19</v>
      </c>
      <c r="K40" s="53">
        <v>44870</v>
      </c>
      <c r="L40" s="48" t="str">
        <f t="shared" si="16"/>
        <v>November</v>
      </c>
      <c r="M40" s="48" t="str">
        <f t="shared" si="17"/>
        <v>2022</v>
      </c>
    </row>
    <row r="41" spans="1:13" x14ac:dyDescent="0.35">
      <c r="A41" s="48" t="s">
        <v>174</v>
      </c>
      <c r="B41" s="48" t="s">
        <v>19</v>
      </c>
      <c r="C41" s="48" t="s">
        <v>178</v>
      </c>
      <c r="D41" s="48">
        <v>404</v>
      </c>
      <c r="E41" s="55"/>
      <c r="F41" s="55"/>
      <c r="G41" s="55"/>
      <c r="H41" s="57"/>
      <c r="I41" s="55">
        <v>265.63</v>
      </c>
      <c r="J41" s="48" t="s">
        <v>181</v>
      </c>
      <c r="K41" s="53">
        <v>44870</v>
      </c>
      <c r="L41" s="48" t="str">
        <f t="shared" si="16"/>
        <v>November</v>
      </c>
      <c r="M41" s="48" t="str">
        <f t="shared" si="17"/>
        <v>2022</v>
      </c>
    </row>
    <row r="42" spans="1:13" x14ac:dyDescent="0.35">
      <c r="A42" s="48" t="s">
        <v>174</v>
      </c>
      <c r="B42" s="48" t="s">
        <v>175</v>
      </c>
      <c r="C42" s="48" t="s">
        <v>177</v>
      </c>
      <c r="D42" s="48">
        <v>400</v>
      </c>
      <c r="E42" s="55"/>
      <c r="F42" s="55"/>
      <c r="G42" s="55"/>
      <c r="H42" s="55">
        <v>25500</v>
      </c>
      <c r="I42" s="55"/>
      <c r="J42" s="48" t="s">
        <v>179</v>
      </c>
      <c r="K42" s="53">
        <v>44900</v>
      </c>
      <c r="L42" s="48" t="str">
        <f t="shared" ref="L42:L45" si="18">TEXT(K42,"mmmm")</f>
        <v>December</v>
      </c>
      <c r="M42" s="48" t="str">
        <f t="shared" ref="M42:M45" si="19">TEXT(K42,"YYY")</f>
        <v>2022</v>
      </c>
    </row>
    <row r="43" spans="1:13" x14ac:dyDescent="0.35">
      <c r="A43" s="48" t="s">
        <v>174</v>
      </c>
      <c r="B43" s="48" t="s">
        <v>175</v>
      </c>
      <c r="C43" s="48" t="s">
        <v>178</v>
      </c>
      <c r="D43" s="48">
        <v>402</v>
      </c>
      <c r="E43" s="55"/>
      <c r="F43" s="55"/>
      <c r="G43" s="55">
        <f>5.99+8.15</f>
        <v>14.14</v>
      </c>
      <c r="H43" s="55"/>
      <c r="I43" s="55">
        <v>22.48</v>
      </c>
      <c r="J43" s="48" t="s">
        <v>180</v>
      </c>
      <c r="K43" s="53">
        <v>44900</v>
      </c>
      <c r="L43" s="48" t="str">
        <f t="shared" si="18"/>
        <v>December</v>
      </c>
      <c r="M43" s="48" t="str">
        <f t="shared" si="19"/>
        <v>2022</v>
      </c>
    </row>
    <row r="44" spans="1:13" x14ac:dyDescent="0.35">
      <c r="A44" s="48" t="s">
        <v>174</v>
      </c>
      <c r="B44" s="48" t="s">
        <v>19</v>
      </c>
      <c r="C44" s="48" t="s">
        <v>178</v>
      </c>
      <c r="D44" s="48">
        <v>403</v>
      </c>
      <c r="E44" s="55"/>
      <c r="F44" s="55">
        <v>453.07</v>
      </c>
      <c r="G44" s="55">
        <v>30</v>
      </c>
      <c r="H44" s="55"/>
      <c r="I44" s="55">
        <v>2336.5300000000002</v>
      </c>
      <c r="J44" s="48" t="s">
        <v>19</v>
      </c>
      <c r="K44" s="53">
        <v>44900</v>
      </c>
      <c r="L44" s="48" t="str">
        <f t="shared" si="18"/>
        <v>December</v>
      </c>
      <c r="M44" s="48" t="str">
        <f t="shared" si="19"/>
        <v>2022</v>
      </c>
    </row>
    <row r="45" spans="1:13" x14ac:dyDescent="0.35">
      <c r="A45" s="48" t="s">
        <v>174</v>
      </c>
      <c r="B45" s="48" t="s">
        <v>19</v>
      </c>
      <c r="C45" s="48" t="s">
        <v>178</v>
      </c>
      <c r="D45" s="48">
        <v>404</v>
      </c>
      <c r="E45" s="55"/>
      <c r="F45" s="55">
        <v>129</v>
      </c>
      <c r="G45" s="55">
        <v>260</v>
      </c>
      <c r="H45" s="55"/>
      <c r="I45" s="55">
        <v>135.08000000000001</v>
      </c>
      <c r="J45" s="48" t="s">
        <v>181</v>
      </c>
      <c r="K45" s="53">
        <v>44900</v>
      </c>
      <c r="L45" s="48" t="str">
        <f t="shared" si="18"/>
        <v>December</v>
      </c>
      <c r="M45" s="48" t="str">
        <f t="shared" si="19"/>
        <v>2022</v>
      </c>
    </row>
    <row r="46" spans="1:13" x14ac:dyDescent="0.35">
      <c r="A46" s="48" t="s">
        <v>174</v>
      </c>
      <c r="B46" s="48" t="s">
        <v>175</v>
      </c>
      <c r="C46" s="48" t="s">
        <v>177</v>
      </c>
      <c r="D46" s="48">
        <v>400</v>
      </c>
      <c r="E46" s="51">
        <v>20000</v>
      </c>
      <c r="F46" s="51"/>
      <c r="G46" s="51">
        <v>20000</v>
      </c>
      <c r="H46" s="51">
        <v>2300</v>
      </c>
      <c r="I46" s="51"/>
      <c r="J46" s="48" t="s">
        <v>179</v>
      </c>
      <c r="K46" s="53">
        <v>44931</v>
      </c>
      <c r="L46" s="48" t="str">
        <f t="shared" ref="L46:L49" si="20">TEXT(K46,"mmmm")</f>
        <v>January</v>
      </c>
      <c r="M46" s="48" t="str">
        <f t="shared" ref="M46:M49" si="21">TEXT(K46,"YYY")</f>
        <v>2023</v>
      </c>
    </row>
    <row r="47" spans="1:13" x14ac:dyDescent="0.35">
      <c r="A47" s="48" t="s">
        <v>174</v>
      </c>
      <c r="B47" s="48" t="s">
        <v>175</v>
      </c>
      <c r="C47" s="48" t="s">
        <v>178</v>
      </c>
      <c r="D47" s="48">
        <v>402</v>
      </c>
      <c r="E47" s="51"/>
      <c r="F47" s="51"/>
      <c r="G47" s="51">
        <v>6.99</v>
      </c>
      <c r="H47" s="51"/>
      <c r="I47" s="51">
        <v>4.09</v>
      </c>
      <c r="J47" s="48" t="s">
        <v>180</v>
      </c>
      <c r="K47" s="53">
        <v>44931</v>
      </c>
      <c r="L47" s="48" t="str">
        <f t="shared" si="20"/>
        <v>January</v>
      </c>
      <c r="M47" s="48" t="str">
        <f t="shared" si="21"/>
        <v>2023</v>
      </c>
    </row>
    <row r="48" spans="1:13" x14ac:dyDescent="0.35">
      <c r="A48" s="48" t="s">
        <v>174</v>
      </c>
      <c r="B48" s="48" t="s">
        <v>19</v>
      </c>
      <c r="C48" s="48" t="s">
        <v>178</v>
      </c>
      <c r="D48" s="48">
        <v>403</v>
      </c>
      <c r="E48" s="51"/>
      <c r="F48" s="51">
        <v>387.1</v>
      </c>
      <c r="G48" s="51"/>
      <c r="H48" s="51"/>
      <c r="I48" s="51">
        <v>2725.35</v>
      </c>
      <c r="J48" s="48" t="s">
        <v>19</v>
      </c>
      <c r="K48" s="53">
        <v>44931</v>
      </c>
      <c r="L48" s="48" t="str">
        <f t="shared" si="20"/>
        <v>January</v>
      </c>
      <c r="M48" s="48" t="str">
        <f t="shared" si="21"/>
        <v>2023</v>
      </c>
    </row>
    <row r="49" spans="1:13" x14ac:dyDescent="0.35">
      <c r="A49" s="48" t="s">
        <v>174</v>
      </c>
      <c r="B49" s="48" t="s">
        <v>19</v>
      </c>
      <c r="C49" s="48" t="s">
        <v>178</v>
      </c>
      <c r="D49" s="48">
        <v>404</v>
      </c>
      <c r="E49" s="51"/>
      <c r="F49" s="51">
        <v>129.03</v>
      </c>
      <c r="G49" s="51"/>
      <c r="H49" s="51"/>
      <c r="I49" s="51">
        <v>302.88</v>
      </c>
      <c r="J49" s="48" t="s">
        <v>181</v>
      </c>
      <c r="K49" s="53">
        <v>44931</v>
      </c>
      <c r="L49" s="48" t="str">
        <f t="shared" si="20"/>
        <v>January</v>
      </c>
      <c r="M49" s="48" t="str">
        <f t="shared" si="21"/>
        <v>2023</v>
      </c>
    </row>
    <row r="50" spans="1:13" x14ac:dyDescent="0.35">
      <c r="A50" s="48" t="s">
        <v>174</v>
      </c>
      <c r="B50" s="48" t="s">
        <v>175</v>
      </c>
      <c r="C50" s="48" t="s">
        <v>177</v>
      </c>
      <c r="D50" s="48">
        <v>400</v>
      </c>
      <c r="E50" s="65"/>
      <c r="F50" s="65"/>
      <c r="G50" s="65"/>
      <c r="H50" s="65">
        <v>2765</v>
      </c>
      <c r="I50" s="65"/>
      <c r="J50" s="48" t="s">
        <v>179</v>
      </c>
      <c r="K50" s="53">
        <v>44962</v>
      </c>
      <c r="L50" s="48" t="str">
        <f t="shared" ref="L50:L53" si="22">TEXT(K50,"mmmm")</f>
        <v>February</v>
      </c>
      <c r="M50" s="48" t="str">
        <f t="shared" ref="M50:M53" si="23">TEXT(K50,"YYY")</f>
        <v>2023</v>
      </c>
    </row>
    <row r="51" spans="1:13" x14ac:dyDescent="0.35">
      <c r="A51" s="48" t="s">
        <v>174</v>
      </c>
      <c r="B51" s="48" t="s">
        <v>175</v>
      </c>
      <c r="C51" s="48" t="s">
        <v>178</v>
      </c>
      <c r="D51" s="48">
        <v>402</v>
      </c>
      <c r="E51" s="65"/>
      <c r="F51" s="65">
        <v>53</v>
      </c>
      <c r="G51" s="65">
        <v>5.99</v>
      </c>
      <c r="H51" s="65"/>
      <c r="I51" s="51">
        <v>45</v>
      </c>
      <c r="J51" s="48" t="s">
        <v>180</v>
      </c>
      <c r="K51" s="53">
        <v>44962</v>
      </c>
      <c r="L51" s="48" t="str">
        <f t="shared" si="22"/>
        <v>February</v>
      </c>
      <c r="M51" s="48" t="str">
        <f t="shared" si="23"/>
        <v>2023</v>
      </c>
    </row>
    <row r="52" spans="1:13" x14ac:dyDescent="0.35">
      <c r="A52" s="48" t="s">
        <v>174</v>
      </c>
      <c r="B52" s="48" t="s">
        <v>19</v>
      </c>
      <c r="C52" s="48" t="s">
        <v>178</v>
      </c>
      <c r="D52" s="48">
        <v>403</v>
      </c>
      <c r="E52" s="65"/>
      <c r="F52" s="65"/>
      <c r="G52" s="65">
        <v>402</v>
      </c>
      <c r="H52" s="65"/>
      <c r="I52" s="51">
        <v>2325.35</v>
      </c>
      <c r="J52" s="48" t="s">
        <v>19</v>
      </c>
      <c r="K52" s="53">
        <v>44962</v>
      </c>
      <c r="L52" s="48" t="str">
        <f t="shared" si="22"/>
        <v>February</v>
      </c>
      <c r="M52" s="48" t="str">
        <f t="shared" si="23"/>
        <v>2023</v>
      </c>
    </row>
    <row r="53" spans="1:13" x14ac:dyDescent="0.35">
      <c r="A53" s="48" t="s">
        <v>174</v>
      </c>
      <c r="B53" s="48" t="s">
        <v>19</v>
      </c>
      <c r="C53" s="48" t="s">
        <v>178</v>
      </c>
      <c r="D53" s="48">
        <v>404</v>
      </c>
      <c r="E53" s="65"/>
      <c r="F53" s="65"/>
      <c r="G53" s="65"/>
      <c r="H53" s="65"/>
      <c r="I53" s="51">
        <v>302.88</v>
      </c>
      <c r="J53" s="48" t="s">
        <v>181</v>
      </c>
      <c r="K53" s="53">
        <v>44962</v>
      </c>
      <c r="L53" s="48" t="str">
        <f t="shared" si="22"/>
        <v>February</v>
      </c>
      <c r="M53" s="48" t="str">
        <f t="shared" si="23"/>
        <v>2023</v>
      </c>
    </row>
    <row r="54" spans="1:13" x14ac:dyDescent="0.35">
      <c r="A54" s="48" t="s">
        <v>174</v>
      </c>
      <c r="B54" s="48" t="s">
        <v>175</v>
      </c>
      <c r="C54" s="48" t="s">
        <v>177</v>
      </c>
      <c r="D54" s="48">
        <v>400</v>
      </c>
      <c r="E54" s="65"/>
      <c r="F54" s="65"/>
      <c r="G54" s="65"/>
      <c r="H54" s="65">
        <v>280</v>
      </c>
      <c r="I54" s="65"/>
      <c r="J54" s="48" t="s">
        <v>179</v>
      </c>
      <c r="K54" s="53">
        <v>44990</v>
      </c>
      <c r="L54" s="48" t="str">
        <f t="shared" ref="L54:L57" si="24">TEXT(K54,"mmmm")</f>
        <v>March</v>
      </c>
      <c r="M54" s="48" t="str">
        <f t="shared" ref="M54:M57" si="25">TEXT(K54,"YYY")</f>
        <v>2023</v>
      </c>
    </row>
    <row r="55" spans="1:13" x14ac:dyDescent="0.35">
      <c r="A55" s="48" t="s">
        <v>174</v>
      </c>
      <c r="B55" s="48" t="s">
        <v>175</v>
      </c>
      <c r="C55" s="48" t="s">
        <v>178</v>
      </c>
      <c r="D55" s="48">
        <v>402</v>
      </c>
      <c r="E55" s="65"/>
      <c r="F55" s="65"/>
      <c r="G55" s="65"/>
      <c r="H55" s="65"/>
      <c r="I55" s="65">
        <v>73.989999999999995</v>
      </c>
      <c r="J55" s="48" t="s">
        <v>180</v>
      </c>
      <c r="K55" s="53">
        <v>44990</v>
      </c>
      <c r="L55" s="48" t="str">
        <f t="shared" si="24"/>
        <v>March</v>
      </c>
      <c r="M55" s="48" t="str">
        <f t="shared" si="25"/>
        <v>2023</v>
      </c>
    </row>
    <row r="56" spans="1:13" x14ac:dyDescent="0.35">
      <c r="A56" s="48" t="s">
        <v>174</v>
      </c>
      <c r="B56" s="48" t="s">
        <v>19</v>
      </c>
      <c r="C56" s="48" t="s">
        <v>178</v>
      </c>
      <c r="D56" s="48">
        <v>403</v>
      </c>
      <c r="E56" s="65"/>
      <c r="F56" s="65"/>
      <c r="G56" s="65">
        <v>410</v>
      </c>
      <c r="H56" s="65"/>
      <c r="I56" s="65">
        <v>1900.36</v>
      </c>
      <c r="J56" s="48" t="s">
        <v>19</v>
      </c>
      <c r="K56" s="53">
        <v>44990</v>
      </c>
      <c r="L56" s="48" t="str">
        <f t="shared" si="24"/>
        <v>March</v>
      </c>
      <c r="M56" s="48" t="str">
        <f t="shared" si="25"/>
        <v>2023</v>
      </c>
    </row>
    <row r="57" spans="1:13" x14ac:dyDescent="0.35">
      <c r="A57" s="48" t="s">
        <v>174</v>
      </c>
      <c r="B57" s="48" t="s">
        <v>19</v>
      </c>
      <c r="C57" s="48" t="s">
        <v>178</v>
      </c>
      <c r="D57" s="48">
        <v>404</v>
      </c>
      <c r="E57" s="65"/>
      <c r="F57" s="65"/>
      <c r="G57" s="65">
        <v>30</v>
      </c>
      <c r="H57" s="65">
        <v>131.15</v>
      </c>
      <c r="I57" s="65">
        <v>278.33999999999997</v>
      </c>
      <c r="J57" s="48" t="s">
        <v>181</v>
      </c>
      <c r="K57" s="53">
        <v>44990</v>
      </c>
      <c r="L57" s="48" t="str">
        <f t="shared" si="24"/>
        <v>March</v>
      </c>
      <c r="M57" s="48" t="str">
        <f t="shared" si="25"/>
        <v>2023</v>
      </c>
    </row>
    <row r="58" spans="1:13" x14ac:dyDescent="0.35">
      <c r="A58" s="48" t="s">
        <v>174</v>
      </c>
      <c r="B58" s="48" t="s">
        <v>175</v>
      </c>
      <c r="C58" s="48" t="s">
        <v>177</v>
      </c>
      <c r="D58" s="48">
        <v>400</v>
      </c>
      <c r="E58" s="65"/>
      <c r="F58" s="65"/>
      <c r="G58" s="65"/>
      <c r="H58" s="65">
        <v>20000</v>
      </c>
      <c r="I58" s="65">
        <v>20000</v>
      </c>
      <c r="J58" s="48" t="s">
        <v>179</v>
      </c>
      <c r="K58" s="53">
        <v>45021</v>
      </c>
      <c r="L58" s="48" t="str">
        <f t="shared" ref="L58:L61" si="26">TEXT(K58,"mmmm")</f>
        <v>April</v>
      </c>
      <c r="M58" s="48" t="str">
        <f t="shared" ref="M58:M61" si="27">TEXT(K58,"YYY")</f>
        <v>2023</v>
      </c>
    </row>
    <row r="59" spans="1:13" x14ac:dyDescent="0.35">
      <c r="A59" s="48" t="s">
        <v>174</v>
      </c>
      <c r="B59" s="48" t="s">
        <v>175</v>
      </c>
      <c r="C59" s="48" t="s">
        <v>178</v>
      </c>
      <c r="D59" s="48">
        <v>402</v>
      </c>
      <c r="E59" s="65"/>
      <c r="F59" s="65"/>
      <c r="G59" s="65">
        <v>6</v>
      </c>
      <c r="H59" s="65"/>
      <c r="I59" s="65">
        <v>35</v>
      </c>
      <c r="J59" s="48" t="s">
        <v>180</v>
      </c>
      <c r="K59" s="53">
        <v>45021</v>
      </c>
      <c r="L59" s="48" t="str">
        <f t="shared" si="26"/>
        <v>April</v>
      </c>
      <c r="M59" s="48" t="str">
        <f t="shared" si="27"/>
        <v>2023</v>
      </c>
    </row>
    <row r="60" spans="1:13" x14ac:dyDescent="0.35">
      <c r="A60" s="48" t="s">
        <v>174</v>
      </c>
      <c r="B60" s="48" t="s">
        <v>19</v>
      </c>
      <c r="C60" s="48" t="s">
        <v>178</v>
      </c>
      <c r="D60" s="48">
        <v>403</v>
      </c>
      <c r="E60" s="65"/>
      <c r="F60" s="65"/>
      <c r="G60" s="65">
        <v>1000</v>
      </c>
      <c r="H60" s="65"/>
      <c r="I60" s="65">
        <v>2829</v>
      </c>
      <c r="J60" s="48" t="s">
        <v>19</v>
      </c>
      <c r="K60" s="53">
        <v>45021</v>
      </c>
      <c r="L60" s="48" t="str">
        <f t="shared" si="26"/>
        <v>April</v>
      </c>
      <c r="M60" s="48" t="str">
        <f t="shared" si="27"/>
        <v>2023</v>
      </c>
    </row>
    <row r="61" spans="1:13" x14ac:dyDescent="0.35">
      <c r="A61" s="48" t="s">
        <v>174</v>
      </c>
      <c r="B61" s="48" t="s">
        <v>19</v>
      </c>
      <c r="C61" s="48" t="s">
        <v>178</v>
      </c>
      <c r="D61" s="48">
        <v>404</v>
      </c>
      <c r="E61" s="65"/>
      <c r="F61" s="65"/>
      <c r="G61" s="65"/>
      <c r="H61" s="65"/>
      <c r="I61" s="65">
        <v>418.97</v>
      </c>
      <c r="J61" s="48" t="s">
        <v>181</v>
      </c>
      <c r="K61" s="53">
        <v>45021</v>
      </c>
      <c r="L61" s="48" t="str">
        <f t="shared" si="26"/>
        <v>April</v>
      </c>
      <c r="M61" s="48" t="str">
        <f t="shared" si="27"/>
        <v>2023</v>
      </c>
    </row>
    <row r="62" spans="1:13" x14ac:dyDescent="0.35">
      <c r="A62" s="48" t="s">
        <v>174</v>
      </c>
      <c r="B62" s="48" t="s">
        <v>175</v>
      </c>
      <c r="C62" s="48" t="s">
        <v>177</v>
      </c>
      <c r="D62" s="48">
        <v>400</v>
      </c>
      <c r="E62" s="65"/>
      <c r="F62" s="65"/>
      <c r="G62" s="65"/>
      <c r="H62" s="65">
        <v>20000</v>
      </c>
      <c r="I62" s="65">
        <v>40000</v>
      </c>
      <c r="J62" s="48" t="s">
        <v>179</v>
      </c>
      <c r="K62" s="53">
        <v>45051</v>
      </c>
      <c r="L62" s="48" t="str">
        <f t="shared" ref="L62:L65" si="28">TEXT(K62,"mmmm")</f>
        <v>May</v>
      </c>
      <c r="M62" s="48" t="str">
        <f t="shared" ref="M62:M65" si="29">TEXT(K62,"YYY")</f>
        <v>2023</v>
      </c>
    </row>
    <row r="63" spans="1:13" x14ac:dyDescent="0.35">
      <c r="A63" s="48" t="s">
        <v>174</v>
      </c>
      <c r="B63" s="48" t="s">
        <v>175</v>
      </c>
      <c r="C63" s="48" t="s">
        <v>178</v>
      </c>
      <c r="D63" s="48">
        <v>402</v>
      </c>
      <c r="E63" s="65"/>
      <c r="F63" s="65"/>
      <c r="G63" s="65">
        <v>6</v>
      </c>
      <c r="H63" s="65"/>
      <c r="I63" s="65">
        <v>28</v>
      </c>
      <c r="J63" s="48" t="s">
        <v>180</v>
      </c>
      <c r="K63" s="53">
        <v>45051</v>
      </c>
      <c r="L63" s="48" t="str">
        <f t="shared" si="28"/>
        <v>May</v>
      </c>
      <c r="M63" s="48" t="str">
        <f t="shared" si="29"/>
        <v>2023</v>
      </c>
    </row>
    <row r="64" spans="1:13" x14ac:dyDescent="0.35">
      <c r="A64" s="48" t="s">
        <v>174</v>
      </c>
      <c r="B64" s="48" t="s">
        <v>19</v>
      </c>
      <c r="C64" s="48" t="s">
        <v>178</v>
      </c>
      <c r="D64" s="48">
        <v>403</v>
      </c>
      <c r="E64" s="65"/>
      <c r="F64" s="65"/>
      <c r="G64" s="65">
        <v>1000</v>
      </c>
      <c r="H64" s="65"/>
      <c r="I64" s="65">
        <v>1829</v>
      </c>
      <c r="J64" s="48" t="s">
        <v>19</v>
      </c>
      <c r="K64" s="53">
        <v>45051</v>
      </c>
      <c r="L64" s="48" t="str">
        <f t="shared" si="28"/>
        <v>May</v>
      </c>
      <c r="M64" s="48" t="str">
        <f t="shared" si="29"/>
        <v>2023</v>
      </c>
    </row>
    <row r="65" spans="1:13" x14ac:dyDescent="0.35">
      <c r="A65" s="48" t="s">
        <v>174</v>
      </c>
      <c r="B65" s="48" t="s">
        <v>19</v>
      </c>
      <c r="C65" s="48" t="s">
        <v>178</v>
      </c>
      <c r="D65" s="48">
        <v>404</v>
      </c>
      <c r="E65" s="65"/>
      <c r="F65" s="65"/>
      <c r="G65" s="65"/>
      <c r="H65" s="65"/>
      <c r="I65" s="65">
        <v>418.97</v>
      </c>
      <c r="J65" s="48" t="s">
        <v>181</v>
      </c>
      <c r="K65" s="53">
        <v>45051</v>
      </c>
      <c r="L65" s="48" t="str">
        <f t="shared" si="28"/>
        <v>May</v>
      </c>
      <c r="M65" s="48" t="str">
        <f t="shared" si="29"/>
        <v>2023</v>
      </c>
    </row>
    <row r="66" spans="1:13" x14ac:dyDescent="0.35">
      <c r="A66" s="48" t="s">
        <v>174</v>
      </c>
      <c r="B66" s="48" t="s">
        <v>175</v>
      </c>
      <c r="C66" s="48" t="s">
        <v>177</v>
      </c>
      <c r="D66" s="48">
        <v>400</v>
      </c>
      <c r="E66" s="65"/>
      <c r="F66" s="65"/>
      <c r="G66">
        <v>476.2</v>
      </c>
      <c r="H66" s="65">
        <v>20000</v>
      </c>
      <c r="I66" s="65">
        <v>60000</v>
      </c>
      <c r="J66" s="48" t="s">
        <v>179</v>
      </c>
      <c r="K66" s="53">
        <v>45082</v>
      </c>
      <c r="L66" s="48" t="str">
        <f t="shared" ref="L66:L69" si="30">TEXT(K66,"mmmm")</f>
        <v>June</v>
      </c>
      <c r="M66" s="48" t="str">
        <f t="shared" ref="M66:M69" si="31">TEXT(K66,"YYY")</f>
        <v>2023</v>
      </c>
    </row>
    <row r="67" spans="1:13" x14ac:dyDescent="0.35">
      <c r="A67" s="48" t="s">
        <v>174</v>
      </c>
      <c r="B67" s="48" t="s">
        <v>175</v>
      </c>
      <c r="C67" s="48" t="s">
        <v>178</v>
      </c>
      <c r="D67" s="48">
        <v>402</v>
      </c>
      <c r="E67" s="65"/>
      <c r="F67" s="65"/>
      <c r="G67" s="65">
        <v>6</v>
      </c>
      <c r="H67" s="65"/>
      <c r="I67" s="65">
        <v>22</v>
      </c>
      <c r="J67" s="48" t="s">
        <v>180</v>
      </c>
      <c r="K67" s="53">
        <v>45082</v>
      </c>
      <c r="L67" s="48" t="str">
        <f t="shared" si="30"/>
        <v>June</v>
      </c>
      <c r="M67" s="48" t="str">
        <f t="shared" si="31"/>
        <v>2023</v>
      </c>
    </row>
    <row r="68" spans="1:13" x14ac:dyDescent="0.35">
      <c r="A68" s="48" t="s">
        <v>174</v>
      </c>
      <c r="B68" s="48" t="s">
        <v>19</v>
      </c>
      <c r="C68" s="48" t="s">
        <v>178</v>
      </c>
      <c r="D68" s="48">
        <v>403</v>
      </c>
      <c r="E68" s="65"/>
      <c r="F68" s="65">
        <v>387</v>
      </c>
      <c r="G68">
        <v>680.2</v>
      </c>
      <c r="H68" s="65"/>
      <c r="I68" s="65">
        <v>1216</v>
      </c>
      <c r="J68" s="48" t="s">
        <v>19</v>
      </c>
      <c r="K68" s="53">
        <v>45082</v>
      </c>
      <c r="L68" s="48" t="str">
        <f t="shared" si="30"/>
        <v>June</v>
      </c>
      <c r="M68" s="48" t="str">
        <f t="shared" si="31"/>
        <v>2023</v>
      </c>
    </row>
    <row r="69" spans="1:13" x14ac:dyDescent="0.35">
      <c r="A69" s="48" t="s">
        <v>174</v>
      </c>
      <c r="B69" s="48" t="s">
        <v>19</v>
      </c>
      <c r="C69" s="48" t="s">
        <v>178</v>
      </c>
      <c r="D69" s="48">
        <v>404</v>
      </c>
      <c r="E69" s="65"/>
      <c r="F69" s="51">
        <v>129.03</v>
      </c>
      <c r="G69">
        <v>585</v>
      </c>
      <c r="H69" s="65"/>
      <c r="I69" s="65">
        <v>548</v>
      </c>
      <c r="J69" s="48" t="s">
        <v>181</v>
      </c>
      <c r="K69" s="53">
        <v>45082</v>
      </c>
      <c r="L69" s="48" t="str">
        <f t="shared" si="30"/>
        <v>June</v>
      </c>
      <c r="M69" s="48" t="str">
        <f t="shared" si="31"/>
        <v>2023</v>
      </c>
    </row>
    <row r="70" spans="1:13" x14ac:dyDescent="0.35">
      <c r="A70" s="48"/>
      <c r="B70" s="48"/>
      <c r="C70" s="48"/>
      <c r="D70" s="48"/>
      <c r="E70" s="65"/>
      <c r="F70" s="65"/>
      <c r="G70" s="65"/>
      <c r="H70" s="65">
        <v>20000</v>
      </c>
      <c r="I70" s="65">
        <v>20000</v>
      </c>
      <c r="J70" s="48" t="s">
        <v>179</v>
      </c>
      <c r="K70" s="53"/>
      <c r="L70" s="48" t="str">
        <f t="shared" ref="L70:L73" si="32">TEXT(K70,"mmmm")</f>
        <v>January</v>
      </c>
      <c r="M70" s="48" t="str">
        <f t="shared" ref="M70:M73" si="33">TEXT(K70,"YYY")</f>
        <v>1900</v>
      </c>
    </row>
    <row r="71" spans="1:13" x14ac:dyDescent="0.35">
      <c r="A71" s="48"/>
      <c r="B71" s="48"/>
      <c r="C71" s="48"/>
      <c r="D71" s="48"/>
      <c r="E71" s="65"/>
      <c r="F71" s="65"/>
      <c r="G71" s="65"/>
      <c r="H71" s="65"/>
      <c r="I71" s="65">
        <v>9.75</v>
      </c>
      <c r="J71" s="48" t="s">
        <v>180</v>
      </c>
      <c r="K71" s="53"/>
      <c r="L71" s="48" t="str">
        <f t="shared" si="32"/>
        <v>January</v>
      </c>
      <c r="M71" s="48" t="str">
        <f t="shared" si="33"/>
        <v>1900</v>
      </c>
    </row>
    <row r="72" spans="1:13" x14ac:dyDescent="0.35">
      <c r="A72" s="48"/>
      <c r="B72" s="48"/>
      <c r="C72" s="48"/>
      <c r="D72" s="48"/>
      <c r="E72" s="65"/>
      <c r="F72" s="1">
        <v>1087.74</v>
      </c>
      <c r="G72" s="65"/>
      <c r="H72" s="65"/>
      <c r="I72" s="65">
        <v>1891.41</v>
      </c>
      <c r="J72" s="48" t="s">
        <v>19</v>
      </c>
      <c r="K72" s="53"/>
      <c r="L72" s="48" t="str">
        <f t="shared" si="32"/>
        <v>January</v>
      </c>
      <c r="M72" s="48" t="str">
        <f t="shared" si="33"/>
        <v>1900</v>
      </c>
    </row>
    <row r="73" spans="1:13" x14ac:dyDescent="0.35">
      <c r="A73" s="48"/>
      <c r="B73" s="48"/>
      <c r="C73" s="48"/>
      <c r="D73" s="48"/>
      <c r="E73" s="65"/>
      <c r="F73" s="1">
        <v>126.21</v>
      </c>
      <c r="G73" s="65"/>
      <c r="H73" s="65"/>
      <c r="I73" s="65">
        <v>129.22</v>
      </c>
      <c r="J73" s="48" t="s">
        <v>181</v>
      </c>
      <c r="K73" s="53"/>
      <c r="L73" s="48" t="str">
        <f t="shared" si="32"/>
        <v>January</v>
      </c>
      <c r="M73" s="48" t="str">
        <f t="shared" si="33"/>
        <v>1900</v>
      </c>
    </row>
    <row r="81" spans="11:11" x14ac:dyDescent="0.35">
      <c r="K81" s="24"/>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9"/>
  <sheetViews>
    <sheetView workbookViewId="0">
      <selection sqref="A1:D8"/>
    </sheetView>
  </sheetViews>
  <sheetFormatPr defaultRowHeight="14.5" x14ac:dyDescent="0.35"/>
  <cols>
    <col min="1" max="1" width="15.7265625" bestFit="1" customWidth="1"/>
    <col min="2" max="2" width="15.36328125" bestFit="1" customWidth="1"/>
    <col min="3" max="3" width="16" bestFit="1" customWidth="1"/>
    <col min="4" max="4" width="12.26953125" style="6" bestFit="1" customWidth="1"/>
    <col min="5" max="5" width="19.81640625" customWidth="1"/>
    <col min="6" max="6" width="12.08984375" bestFit="1" customWidth="1"/>
  </cols>
  <sheetData>
    <row r="1" spans="1:6" x14ac:dyDescent="0.35">
      <c r="A1" s="107" t="s">
        <v>141</v>
      </c>
      <c r="B1" s="107"/>
      <c r="C1" s="107"/>
      <c r="D1" s="107"/>
    </row>
    <row r="2" spans="1:6" x14ac:dyDescent="0.35">
      <c r="A2" s="39" t="s">
        <v>140</v>
      </c>
      <c r="B2" s="39" t="s">
        <v>139</v>
      </c>
      <c r="C2" s="39" t="s">
        <v>138</v>
      </c>
      <c r="D2" s="40" t="s">
        <v>137</v>
      </c>
    </row>
    <row r="3" spans="1:6" x14ac:dyDescent="0.35">
      <c r="A3" t="s">
        <v>135</v>
      </c>
      <c r="B3" s="6">
        <f>D3/12</f>
        <v>30000</v>
      </c>
      <c r="C3" s="6">
        <f>D3/4</f>
        <v>90000</v>
      </c>
      <c r="D3" s="6">
        <f>30000*12</f>
        <v>360000</v>
      </c>
    </row>
    <row r="4" spans="1:6" x14ac:dyDescent="0.35">
      <c r="A4" s="41" t="s">
        <v>42</v>
      </c>
      <c r="B4" s="42">
        <f t="shared" ref="B4:B5" si="0">D4/12</f>
        <v>15583.333333333334</v>
      </c>
      <c r="C4" s="42">
        <f t="shared" ref="C4:C7" si="1">D4/4</f>
        <v>46750</v>
      </c>
      <c r="D4" s="42">
        <v>187000</v>
      </c>
    </row>
    <row r="5" spans="1:6" x14ac:dyDescent="0.35">
      <c r="A5" t="s">
        <v>136</v>
      </c>
      <c r="B5" s="6">
        <f t="shared" si="0"/>
        <v>25000</v>
      </c>
      <c r="C5" s="6">
        <f t="shared" si="1"/>
        <v>75000</v>
      </c>
      <c r="D5" s="6">
        <v>300000</v>
      </c>
    </row>
    <row r="6" spans="1:6" x14ac:dyDescent="0.35">
      <c r="A6" t="s">
        <v>19</v>
      </c>
      <c r="B6" s="6">
        <f t="shared" ref="B6" si="2">D6/12</f>
        <v>70000</v>
      </c>
      <c r="C6" s="6">
        <f t="shared" si="1"/>
        <v>210000</v>
      </c>
      <c r="D6" s="6">
        <f>70000*12</f>
        <v>840000</v>
      </c>
      <c r="E6" s="64">
        <v>2336.5300000000002</v>
      </c>
      <c r="F6" s="24">
        <f>E6*147</f>
        <v>343469.91000000003</v>
      </c>
    </row>
    <row r="7" spans="1:6" x14ac:dyDescent="0.35">
      <c r="A7" t="s">
        <v>142</v>
      </c>
      <c r="B7" s="6">
        <f t="shared" ref="B7" si="3">D7/12</f>
        <v>35000</v>
      </c>
      <c r="C7" s="6">
        <f t="shared" si="1"/>
        <v>105000</v>
      </c>
      <c r="D7" s="6">
        <f>35000*12</f>
        <v>420000</v>
      </c>
    </row>
    <row r="9" spans="1:6" x14ac:dyDescent="0.35">
      <c r="B9" s="6"/>
    </row>
  </sheetData>
  <mergeCells count="1">
    <mergeCell ref="A1:D1"/>
  </mergeCells>
  <pageMargins left="0.7" right="0.7" top="0.75" bottom="0.75" header="0.3" footer="0.3"/>
  <pageSetup orientation="portrait" horizontalDpi="120" verticalDpi="72"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
  <sheetViews>
    <sheetView workbookViewId="0">
      <selection activeCell="C12" sqref="C12"/>
    </sheetView>
  </sheetViews>
  <sheetFormatPr defaultRowHeight="14.5" x14ac:dyDescent="0.35"/>
  <cols>
    <col min="1" max="1" width="18.453125" bestFit="1" customWidth="1"/>
    <col min="2" max="2" width="10.6328125" style="6" bestFit="1" customWidth="1"/>
    <col min="3" max="3" width="10.7265625" style="2" bestFit="1" customWidth="1"/>
  </cols>
  <sheetData>
    <row r="1" spans="1:3" x14ac:dyDescent="0.35">
      <c r="A1" s="4" t="s">
        <v>10</v>
      </c>
      <c r="B1" s="33" t="s">
        <v>0</v>
      </c>
      <c r="C1" s="35" t="s">
        <v>1</v>
      </c>
    </row>
    <row r="2" spans="1:3" x14ac:dyDescent="0.35">
      <c r="A2" t="s">
        <v>88</v>
      </c>
      <c r="B2" s="34">
        <v>6000</v>
      </c>
      <c r="C2" s="2">
        <v>44413</v>
      </c>
    </row>
    <row r="3" spans="1:3" x14ac:dyDescent="0.35">
      <c r="A3" t="s">
        <v>111</v>
      </c>
      <c r="B3" s="6">
        <v>28000</v>
      </c>
      <c r="C3" s="2">
        <v>44498</v>
      </c>
    </row>
    <row r="4" spans="1:3" x14ac:dyDescent="0.35">
      <c r="A4" t="s">
        <v>112</v>
      </c>
      <c r="B4" s="6">
        <v>3000</v>
      </c>
      <c r="C4" s="2">
        <v>44501</v>
      </c>
    </row>
    <row r="5" spans="1:3" x14ac:dyDescent="0.35">
      <c r="A5" t="s">
        <v>165</v>
      </c>
      <c r="B5" s="6">
        <v>33000</v>
      </c>
      <c r="C5" s="2">
        <v>44660</v>
      </c>
    </row>
    <row r="6" spans="1:3" x14ac:dyDescent="0.35">
      <c r="A6" t="s">
        <v>182</v>
      </c>
      <c r="B6" s="6">
        <v>7000</v>
      </c>
      <c r="C6" s="2">
        <v>44660</v>
      </c>
    </row>
    <row r="11" spans="1:3" x14ac:dyDescent="0.35">
      <c r="A11" s="1">
        <v>100000</v>
      </c>
      <c r="B11" s="6" t="s">
        <v>333</v>
      </c>
      <c r="C11" s="2" t="s">
        <v>334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Dashboard</vt:lpstr>
      <vt:lpstr>Sheet15</vt:lpstr>
      <vt:lpstr>Sheet16</vt:lpstr>
      <vt:lpstr>Balance 2020 </vt:lpstr>
      <vt:lpstr>Credit Card</vt:lpstr>
      <vt:lpstr>Saving</vt:lpstr>
      <vt:lpstr>JMMB</vt:lpstr>
      <vt:lpstr>Project 2022</vt:lpstr>
      <vt:lpstr>Balance kids</vt:lpstr>
      <vt:lpstr>Sheet1</vt:lpstr>
      <vt:lpstr>Breakdown</vt:lpstr>
      <vt:lpstr>2025 Projection</vt:lpstr>
      <vt:lpstr>2024 Project Phase 4</vt:lpstr>
      <vt:lpstr>Graduation</vt:lpstr>
      <vt:lpstr>Savings_JWN</vt:lpstr>
      <vt:lpstr>Savings Vertis</vt:lpstr>
      <vt:lpstr>Sabbatical Worst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skillarchie davis</dc:creator>
  <cp:lastModifiedBy>skillarchie davis</cp:lastModifiedBy>
  <dcterms:created xsi:type="dcterms:W3CDTF">2020-10-02T06:15:02Z</dcterms:created>
  <dcterms:modified xsi:type="dcterms:W3CDTF">2024-11-08T02:12:10Z</dcterms:modified>
</cp:coreProperties>
</file>