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085945C-A43C-4E85-A5A8-C51EA0EC07AB}" xr6:coauthVersionLast="36" xr6:coauthVersionMax="43" xr10:uidLastSave="{00000000-0000-0000-0000-000000000000}"/>
  <bookViews>
    <workbookView xWindow="17625" yWindow="1755" windowWidth="11460" windowHeight="6255" activeTab="4" xr2:uid="{00000000-000D-0000-FFFF-FFFF00000000}"/>
  </bookViews>
  <sheets>
    <sheet name="Mission" sheetId="1" r:id="rId1"/>
    <sheet name="Aircraft parameters" sheetId="3" r:id="rId2"/>
    <sheet name="Tail parameters" sheetId="7" r:id="rId3"/>
    <sheet name="Energy storage" sheetId="2" r:id="rId4"/>
    <sheet name="Dimensions and Positions" sheetId="5" r:id="rId5"/>
    <sheet name="Misc" sheetId="4" r:id="rId6"/>
    <sheet name="Nois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5" l="1"/>
  <c r="B32" i="5"/>
  <c r="B31" i="5"/>
  <c r="B30" i="5"/>
  <c r="B29" i="5"/>
  <c r="B4" i="7" l="1"/>
  <c r="B17" i="1" l="1"/>
  <c r="B27" i="5" l="1"/>
  <c r="B11" i="5" l="1"/>
  <c r="B17" i="5" l="1"/>
  <c r="B2" i="5"/>
  <c r="B12" i="1" l="1"/>
  <c r="B10" i="2" l="1"/>
  <c r="B3" i="2"/>
  <c r="B15" i="3"/>
  <c r="B14" i="3"/>
  <c r="B11" i="1"/>
  <c r="B5" i="1"/>
  <c r="B2" i="2"/>
</calcChain>
</file>

<file path=xl/sharedStrings.xml><?xml version="1.0" encoding="utf-8"?>
<sst xmlns="http://schemas.openxmlformats.org/spreadsheetml/2006/main" count="346" uniqueCount="231">
  <si>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</si>
  <si>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</si>
  <si>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</si>
  <si>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</si>
  <si>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</si>
  <si>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</si>
  <si>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</si>
  <si>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</si>
  <si>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</si>
  <si>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</si>
  <si>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</si>
  <si>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</si>
  <si>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</si>
  <si>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</si>
  <si>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</si>
  <si>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</si>
  <si>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</si>
  <si>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</si>
  <si>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</si>
  <si>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</si>
  <si>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</si>
  <si>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</si>
  <si>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</si>
  <si>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</si>
  <si>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</si>
  <si>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</si>
  <si>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</si>
  <si>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</si>
  <si>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</si>
  <si>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</si>
  <si>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</si>
  <si>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</si>
  <si>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</si>
  <si>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</si>
  <si>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</si>
  <si>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</si>
  <si>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</si>
  <si>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</si>
  <si>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</si>
  <si>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</si>
  <si>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</si>
  <si>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</si>
  <si>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</si>
  <si>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</si>
  <si>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</si>
  <si>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</si>
  <si>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</si>
  <si>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</si>
  <si>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</si>
  <si>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</si>
  <si>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</si>
  <si>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</si>
  <si>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</si>
  <si>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</si>
  <si>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</si>
  <si>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</si>
  <si>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</si>
  <si>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</si>
  <si>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</si>
  <si>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</si>
  <si>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</si>
  <si>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</si>
  <si>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</si>
  <si>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</si>
  <si>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</si>
  <si>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</si>
  <si>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</si>
  <si>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</si>
  <si>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</si>
  <si>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</si>
  <si>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</si>
  <si>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</si>
  <si>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</si>
  <si>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</si>
  <si>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</si>
  <si>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</si>
  <si>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</si>
  <si>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</si>
  <si>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</si>
  <si>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</si>
  <si>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</si>
  <si>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</si>
  <si>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</si>
  <si>
    <t>MTOW</t>
  </si>
  <si>
    <t>Maximum take-off weight</t>
  </si>
  <si>
    <t>Nprops</t>
  </si>
  <si>
    <t>Amount of VTOL propellers</t>
  </si>
  <si>
    <t>Nblades</t>
  </si>
  <si>
    <t>Amount of blades on the propeller</t>
  </si>
  <si>
    <t>N/m2</t>
  </si>
  <si>
    <t>Selected propeller disk loading</t>
  </si>
  <si>
    <t>A</t>
  </si>
  <si>
    <t>Aspect ratio</t>
  </si>
  <si>
    <t>DL</t>
  </si>
  <si>
    <t>Wprop</t>
  </si>
  <si>
    <t>N</t>
  </si>
  <si>
    <t>Weight of single propeller</t>
  </si>
  <si>
    <t>Rprop</t>
  </si>
  <si>
    <t>Radius of propeller</t>
  </si>
  <si>
    <t>tprop</t>
  </si>
  <si>
    <t>Thickness of propeller</t>
  </si>
  <si>
    <t>pospropx1</t>
  </si>
  <si>
    <t>Position of propeller 1 in x direction measured from its booty to center of rotor</t>
  </si>
  <si>
    <t>pospropy1</t>
  </si>
  <si>
    <t>Position of propeller 1 in y direction measured from its booty to center of rotor</t>
  </si>
  <si>
    <t>pospropx2</t>
  </si>
  <si>
    <t>Position of propeller 2 in x direction measured from its booty to center of rotor</t>
  </si>
  <si>
    <t>pospropy2</t>
  </si>
  <si>
    <t>Position of propeller 2 in y direction measured from its booty to center of rotor</t>
  </si>
  <si>
    <t>Thrustprop</t>
  </si>
  <si>
    <t>Thrust generated by a single propeller</t>
  </si>
  <si>
    <t>bwing</t>
  </si>
  <si>
    <t>Span of wing</t>
  </si>
  <si>
    <t>cwingroot</t>
  </si>
  <si>
    <t>Chord of the wing at root</t>
  </si>
  <si>
    <t>cwingtip</t>
  </si>
  <si>
    <t>Chord of the wing at tip</t>
  </si>
  <si>
    <t>Swing</t>
  </si>
  <si>
    <t>m2</t>
  </si>
  <si>
    <t>Surface area of wing</t>
  </si>
  <si>
    <t>Awing</t>
  </si>
  <si>
    <t>Aspect ratio of wing</t>
  </si>
  <si>
    <t>hwinglet</t>
  </si>
  <si>
    <t>Height of wing tips</t>
  </si>
  <si>
    <t>2,8 m for boeing 737</t>
  </si>
  <si>
    <t>cwinglet</t>
  </si>
  <si>
    <t>Chord of wing tips</t>
  </si>
  <si>
    <t>half of chord of the wing tip</t>
  </si>
  <si>
    <t>posmainlandingx</t>
  </si>
  <si>
    <t>Position of main landing gear in x direction measured from its booty</t>
  </si>
  <si>
    <t>posmainlandingy</t>
  </si>
  <si>
    <t>Position of main landing gear in y direction measured from its booty</t>
  </si>
  <si>
    <t>posnoselandingx</t>
  </si>
  <si>
    <t>Position of nose landing gear in x direction measured from its booty</t>
  </si>
  <si>
    <t>posnoselandingy</t>
  </si>
  <si>
    <t>Position of nose landing gear in y direction measured from its booty</t>
  </si>
  <si>
    <t>widthfus</t>
  </si>
  <si>
    <t>Width of the fuselage</t>
  </si>
  <si>
    <t xml:space="preserve">guess based on scaled drawing </t>
  </si>
  <si>
    <t>guess based on scaled drawing</t>
  </si>
  <si>
    <t>PNL_A</t>
  </si>
  <si>
    <t>dB</t>
  </si>
  <si>
    <t>PNL maximum from requirements at sea level</t>
  </si>
  <si>
    <t>PNL_A_cruise</t>
  </si>
  <si>
    <t>PNL maximum from requirements at cruise</t>
  </si>
  <si>
    <t>M_tmax</t>
  </si>
  <si>
    <t>[-]</t>
  </si>
  <si>
    <t>Mach tip speed, vertical take off</t>
  </si>
  <si>
    <t>M_tmax_c</t>
  </si>
  <si>
    <t>Mach tip speed, cruise</t>
  </si>
  <si>
    <t>r</t>
  </si>
  <si>
    <t>Distance from source on take off</t>
  </si>
  <si>
    <t>Ccruise</t>
  </si>
  <si>
    <t>Speed of Sound at cruise altitude</t>
  </si>
  <si>
    <t>Csl</t>
  </si>
  <si>
    <t>Speed of Sound at sea level</t>
  </si>
  <si>
    <t>Related</t>
  </si>
  <si>
    <t>MTOW_c</t>
  </si>
  <si>
    <t>Maximum take-off weight at cruise</t>
  </si>
  <si>
    <t>lfus</t>
  </si>
  <si>
    <t>lambdac4</t>
  </si>
  <si>
    <t>deg</t>
  </si>
  <si>
    <t>Quarter-chord wing sweep</t>
  </si>
  <si>
    <t>xcgfus</t>
  </si>
  <si>
    <t>Xcg of the cabin (in percentage of the fuselage length)</t>
  </si>
  <si>
    <t>tcratio</t>
  </si>
  <si>
    <t>Thickness-to-chord ratio</t>
  </si>
  <si>
    <t>limitload</t>
  </si>
  <si>
    <t>limit load factor</t>
  </si>
  <si>
    <t>Scsw</t>
  </si>
  <si>
    <r>
      <t>Control surface area (</t>
    </r>
    <r>
      <rPr>
        <b/>
        <sz val="9"/>
        <color rgb="FFFF0000"/>
        <rFont val="Calibri"/>
        <family val="2"/>
        <scheme val="minor"/>
      </rPr>
      <t>NOT KNOWN AT ALL YET!</t>
    </r>
    <r>
      <rPr>
        <sz val="9"/>
        <color theme="1"/>
        <rFont val="Calibri"/>
        <family val="2"/>
        <scheme val="minor"/>
      </rPr>
      <t>)</t>
    </r>
  </si>
  <si>
    <t>xCr</t>
  </si>
  <si>
    <t>Location of the leading edge of the root chord</t>
  </si>
  <si>
    <t>lh</t>
  </si>
  <si>
    <r>
      <t>Moment arm between tail ac and the neutral point (</t>
    </r>
    <r>
      <rPr>
        <b/>
        <sz val="9"/>
        <color rgb="FFFF0000"/>
        <rFont val="Calibri"/>
        <family val="2"/>
        <scheme val="minor"/>
      </rPr>
      <t>RED INDICATES POTENTIALLY EXCEEDING 25m requirement - check)</t>
    </r>
  </si>
  <si>
    <t>Mach</t>
  </si>
  <si>
    <t>Cruise mach number</t>
  </si>
  <si>
    <t>Ah</t>
  </si>
  <si>
    <t>Tail aspect ratio</t>
  </si>
  <si>
    <t>lambdac4h</t>
  </si>
  <si>
    <t>Tail quarter chord sweep</t>
  </si>
  <si>
    <t>Xac</t>
  </si>
  <si>
    <t>Location of the wing aerodynamic center in MAC reference frame</t>
  </si>
  <si>
    <t>hfus</t>
  </si>
  <si>
    <t>Height of the fuselage</t>
  </si>
  <si>
    <t>stabmarg</t>
  </si>
  <si>
    <t>Stabiliity margin</t>
  </si>
  <si>
    <t>Cmac0</t>
  </si>
  <si>
    <t>Airfoil moment coefficient</t>
  </si>
  <si>
    <t>Range: -0.005 to 0.047</t>
  </si>
  <si>
    <t>CL0</t>
  </si>
  <si>
    <t>Aircraft lift coefficient at zero angle of attack</t>
  </si>
  <si>
    <t>CLAh</t>
  </si>
  <si>
    <t>Aircraft-less-tail lift coefficient</t>
  </si>
  <si>
    <t>VhV2</t>
  </si>
  <si>
    <t>Tail-main-wing velocity ratio</t>
  </si>
  <si>
    <t>Sh</t>
  </si>
  <si>
    <t>Tail surface area (initial assumption)</t>
  </si>
  <si>
    <t>Xcgenersys</t>
  </si>
  <si>
    <t>Xcg location of the energy system (including fuel) over the fueslage length</t>
  </si>
  <si>
    <t>Xcgpilot</t>
  </si>
  <si>
    <t>Xcgseat3</t>
  </si>
  <si>
    <t>Xcgseat4</t>
  </si>
  <si>
    <t>Xcgpatient</t>
  </si>
  <si>
    <t>Mpatient</t>
  </si>
  <si>
    <t>Patient weight</t>
  </si>
  <si>
    <t>Mpax</t>
  </si>
  <si>
    <t>Passenger weight</t>
  </si>
  <si>
    <t>Meq</t>
  </si>
  <si>
    <t>Weight of the medical equipment</t>
  </si>
  <si>
    <t>Xcgeq</t>
  </si>
  <si>
    <t>Xcg of the patient (wrt fuselage)</t>
  </si>
  <si>
    <t>Xcg of the medical equipment (wrt fuselage)</t>
  </si>
  <si>
    <t>Xcg of the seat 4 (wrt fuselage)</t>
  </si>
  <si>
    <t>Xcg of the seat 3 (wrt fuselage)</t>
  </si>
  <si>
    <t>Xcg of the pilot and seat 2 (wrt fuselage)</t>
  </si>
  <si>
    <t>From ADSEEIII slides</t>
  </si>
  <si>
    <t>SeSh</t>
  </si>
  <si>
    <t>Elevator-to-tail surface area ratio</t>
  </si>
  <si>
    <t>Motor mass per unit of power</t>
  </si>
  <si>
    <t>kg/W</t>
  </si>
  <si>
    <t>0.75Lambda=0</t>
  </si>
  <si>
    <t>between 3 and 5</t>
  </si>
  <si>
    <t>lambdac4v</t>
  </si>
  <si>
    <t>taperv</t>
  </si>
  <si>
    <t>taperh</t>
  </si>
  <si>
    <t>Horizontal surface area taper ratio</t>
  </si>
  <si>
    <t>between 0.3 and 0.7</t>
  </si>
  <si>
    <t>Av</t>
  </si>
  <si>
    <t>S</t>
  </si>
  <si>
    <t>wing surface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</si>
</sst>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Fill="1"/>
    <xf numFmtId="0" fontId="4" fillId="0" borderId="0" xfId="0" applyFont="1" applyAlignment="1">
      <alignment wrapText="1"/>
    </xf>
    <xf numFmtId="0" fontId="4" fillId="0" borderId="0" xfId="0" applyFont="1"/>
    <xf numFmtId="0" fontId="0" fillId="2" borderId="0" xfId="0" applyFill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548640</xdr:colOff>
      <xdr:row>1</xdr:row>
      <xdr:rowOff>137160</xdr:rowOff>
    </xdr:from>
    <xdr:to>
      <xdr:col>6</xdr:col>
      <xdr:colOff>563880</xdr:colOff>
      <xdr:row>8</xdr:row>
      <xdr:rowOff>91440</xdr:rowOff>
    </xdr:to>
    <xdr:pic>
      <xdr:nvPicPr>
        <xdr:cNvPr id="2" name="Afbeelding 1" descr="Afbeeldingsresultaat voor reference frame aircraft">
          <a:extLst>
            <a:ext uri="{FF2B5EF4-FFF2-40B4-BE49-F238E27FC236}">
              <a16:creationId xmlns:a16="http://schemas.microsoft.com/office/drawing/2014/main" id="{1BC99DC1-CAA9-4998-BA31-D4F7A22D32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129" b="17891"/>
        <a:stretch/>
      </xdr:blipFill>
      <xdr:spPr bwMode="auto">
        <a:xfrm>
          <a:off x="5920740" y="502920"/>
          <a:ext cx="2484120" cy="195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opLeftCell="A10" workbookViewId="0">
      <selection activeCell="L9" sqref="L9"/>
    </sheetView>
  </sheetViews>
  <sheetFormatPr defaultColWidth="8.85546875" defaultRowHeight="15" x14ac:dyDescent="0.25"/>
  <cols>
    <col min="1" max="1" width="20.85546875" customWidth="1"/>
    <col min="2" max="2" width="18.5703125" style="2" customWidth="1"/>
    <col min="3" max="3" width="12.85546875" customWidth="1"/>
    <col min="4" max="4" width="20.7109375" style="3" customWidth="1"/>
  </cols>
  <sheetData>
    <row r="1" spans="1:7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7" x14ac:dyDescent="0.25">
      <c r="A2" t="s">
        <v>6</v>
      </c>
      <c r="B2" s="7">
        <v>1.2250000000000001</v>
      </c>
      <c r="C2" t="s">
        <v>7</v>
      </c>
      <c r="D2" s="3" t="s">
        <v>8</v>
      </c>
    </row>
    <row r="3" spans="1:7" ht="45.75" x14ac:dyDescent="0.25">
      <c r="A3" t="s">
        <v>9</v>
      </c>
      <c r="B3" s="8">
        <v>1.2210000000000001</v>
      </c>
      <c r="C3" t="s">
        <v>7</v>
      </c>
      <c r="D3" s="3" t="s">
        <v>20</v>
      </c>
      <c r="F3" s="11"/>
    </row>
    <row r="4" spans="1:7" ht="45.75" x14ac:dyDescent="0.25">
      <c r="A4" t="s">
        <v>10</v>
      </c>
      <c r="B4" s="7">
        <v>1.1830000000000001</v>
      </c>
      <c r="C4" t="s">
        <v>7</v>
      </c>
      <c r="D4" s="3" t="s">
        <v>21</v>
      </c>
      <c r="G4" s="11"/>
    </row>
    <row r="5" spans="1:7" x14ac:dyDescent="0.25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7" x14ac:dyDescent="0.25">
      <c r="A6" t="s">
        <v>49</v>
      </c>
      <c r="B6" s="8">
        <v>1.5</v>
      </c>
      <c r="C6" t="s">
        <v>13</v>
      </c>
      <c r="D6" s="3" t="s">
        <v>50</v>
      </c>
    </row>
    <row r="7" spans="1:7" ht="34.5" x14ac:dyDescent="0.25">
      <c r="A7" t="s">
        <v>52</v>
      </c>
      <c r="B7" s="8">
        <v>0.8</v>
      </c>
      <c r="C7" t="s">
        <v>17</v>
      </c>
      <c r="D7" s="3" t="s">
        <v>53</v>
      </c>
    </row>
    <row r="8" spans="1:7" ht="23.25" x14ac:dyDescent="0.25">
      <c r="A8" t="s">
        <v>15</v>
      </c>
      <c r="B8" s="8">
        <v>3.6</v>
      </c>
      <c r="C8" t="s">
        <v>13</v>
      </c>
      <c r="D8" s="3" t="s">
        <v>51</v>
      </c>
    </row>
    <row r="9" spans="1:7" ht="57" x14ac:dyDescent="0.25">
      <c r="A9" t="s">
        <v>18</v>
      </c>
      <c r="B9" s="7">
        <v>365.8</v>
      </c>
      <c r="C9" t="s">
        <v>19</v>
      </c>
      <c r="D9" s="3" t="s">
        <v>27</v>
      </c>
      <c r="E9" s="11" t="s">
        <v>156</v>
      </c>
      <c r="G9" s="11"/>
    </row>
    <row r="10" spans="1:7" ht="57" x14ac:dyDescent="0.25">
      <c r="A10" t="s">
        <v>26</v>
      </c>
      <c r="B10" s="8">
        <v>30</v>
      </c>
      <c r="C10" t="s">
        <v>19</v>
      </c>
      <c r="D10" s="3" t="s">
        <v>27</v>
      </c>
      <c r="F10" s="11"/>
    </row>
    <row r="11" spans="1:7" x14ac:dyDescent="0.25">
      <c r="A11" t="s">
        <v>82</v>
      </c>
      <c r="B11" s="7">
        <f>250*1000</f>
        <v>250000</v>
      </c>
      <c r="C11" t="s">
        <v>19</v>
      </c>
      <c r="D11" s="3" t="s">
        <v>22</v>
      </c>
    </row>
    <row r="12" spans="1:7" ht="23.25" x14ac:dyDescent="0.25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7" ht="23.25" x14ac:dyDescent="0.25">
      <c r="A13" t="s">
        <v>29</v>
      </c>
      <c r="B13" s="7">
        <v>0.85</v>
      </c>
      <c r="C13" t="s">
        <v>17</v>
      </c>
      <c r="D13" s="3" t="s">
        <v>28</v>
      </c>
    </row>
    <row r="14" spans="1:7" ht="23.25" x14ac:dyDescent="0.25">
      <c r="A14" t="s">
        <v>152</v>
      </c>
      <c r="B14" s="2">
        <v>338.887</v>
      </c>
      <c r="C14" t="s">
        <v>13</v>
      </c>
      <c r="D14" s="3" t="s">
        <v>153</v>
      </c>
      <c r="E14" s="11" t="s">
        <v>156</v>
      </c>
    </row>
    <row r="15" spans="1:7" ht="15" customHeight="1" x14ac:dyDescent="0.25">
      <c r="A15" t="s">
        <v>154</v>
      </c>
      <c r="B15" s="2">
        <v>340</v>
      </c>
      <c r="C15" t="s">
        <v>13</v>
      </c>
      <c r="D15" s="3" t="s">
        <v>155</v>
      </c>
    </row>
    <row r="16" spans="1:7" ht="28.5" customHeight="1" x14ac:dyDescent="0.25">
      <c r="A16" t="s">
        <v>175</v>
      </c>
      <c r="B16" s="7">
        <v>0.20499999999999999</v>
      </c>
      <c r="C16" t="s">
        <v>17</v>
      </c>
      <c r="D16" s="3" t="s">
        <v>176</v>
      </c>
      <c r="G16" s="11"/>
    </row>
    <row r="17" spans="1:4" x14ac:dyDescent="0.25">
      <c r="A17" t="s">
        <v>204</v>
      </c>
      <c r="B17" s="2">
        <f>100</f>
        <v>100</v>
      </c>
      <c r="C17" t="s">
        <v>24</v>
      </c>
      <c r="D17" s="3" t="s">
        <v>205</v>
      </c>
    </row>
    <row r="18" spans="1:4" x14ac:dyDescent="0.25">
      <c r="A18" t="s">
        <v>206</v>
      </c>
      <c r="B18" s="2">
        <v>80</v>
      </c>
      <c r="C18" t="s">
        <v>24</v>
      </c>
      <c r="D18" s="3" t="s">
        <v>207</v>
      </c>
    </row>
    <row r="19" spans="1:4" ht="23.25" x14ac:dyDescent="0.25">
      <c r="A19" t="s">
        <v>208</v>
      </c>
      <c r="B19" s="2">
        <v>208</v>
      </c>
      <c r="C19" t="s">
        <v>24</v>
      </c>
      <c r="D19" s="3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G31"/>
  <sheetViews>
    <sheetView workbookViewId="0">
      <selection activeCell="H12" sqref="H11:H12"/>
    </sheetView>
  </sheetViews>
  <sheetFormatPr defaultColWidth="8.85546875" defaultRowHeight="15" x14ac:dyDescent="0.25"/>
  <cols>
    <col min="1" max="1" width="15.140625" customWidth="1"/>
    <col min="4" max="4" width="17.42578125" style="3" customWidth="1"/>
    <col min="5" max="5" width="20.7109375" customWidth="1"/>
  </cols>
  <sheetData>
    <row r="1" spans="1:5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5" ht="23.25" x14ac:dyDescent="0.25">
      <c r="A2" t="s">
        <v>11</v>
      </c>
      <c r="B2" s="7">
        <v>20</v>
      </c>
      <c r="C2" t="s">
        <v>19</v>
      </c>
      <c r="D2" s="3" t="s">
        <v>30</v>
      </c>
    </row>
    <row r="3" spans="1:5" ht="23.25" x14ac:dyDescent="0.25">
      <c r="A3" t="s">
        <v>80</v>
      </c>
      <c r="B3" s="7">
        <v>0.83</v>
      </c>
      <c r="C3" t="s">
        <v>17</v>
      </c>
      <c r="D3" s="3" t="s">
        <v>31</v>
      </c>
    </row>
    <row r="4" spans="1:5" x14ac:dyDescent="0.25">
      <c r="A4" t="s">
        <v>32</v>
      </c>
      <c r="B4" s="7">
        <v>0.03</v>
      </c>
      <c r="C4" t="s">
        <v>17</v>
      </c>
    </row>
    <row r="5" spans="1:5" x14ac:dyDescent="0.25">
      <c r="A5" t="s">
        <v>81</v>
      </c>
      <c r="B5" s="7">
        <v>0.7</v>
      </c>
      <c r="C5" t="s">
        <v>17</v>
      </c>
      <c r="D5" s="3" t="s">
        <v>33</v>
      </c>
    </row>
    <row r="6" spans="1:5" x14ac:dyDescent="0.25">
      <c r="A6" t="s">
        <v>34</v>
      </c>
      <c r="B6" s="7">
        <v>0.85</v>
      </c>
      <c r="C6" t="s">
        <v>17</v>
      </c>
      <c r="D6" s="3" t="s">
        <v>35</v>
      </c>
    </row>
    <row r="7" spans="1:5" x14ac:dyDescent="0.25">
      <c r="A7" t="s">
        <v>36</v>
      </c>
      <c r="B7" s="7">
        <v>0.8</v>
      </c>
      <c r="C7" t="s">
        <v>17</v>
      </c>
      <c r="D7" s="3" t="s">
        <v>37</v>
      </c>
    </row>
    <row r="8" spans="1:5" ht="23.25" x14ac:dyDescent="0.25">
      <c r="A8" t="s">
        <v>55</v>
      </c>
      <c r="B8" s="7">
        <v>1.26</v>
      </c>
      <c r="C8" t="s">
        <v>17</v>
      </c>
      <c r="D8" s="3" t="s">
        <v>56</v>
      </c>
    </row>
    <row r="9" spans="1:5" x14ac:dyDescent="0.25">
      <c r="A9" t="s">
        <v>16</v>
      </c>
      <c r="B9" s="7">
        <v>0.7</v>
      </c>
      <c r="C9" t="s">
        <v>17</v>
      </c>
      <c r="D9" s="3" t="s">
        <v>38</v>
      </c>
    </row>
    <row r="10" spans="1:5" ht="23.25" x14ac:dyDescent="0.25">
      <c r="A10" t="s">
        <v>79</v>
      </c>
      <c r="B10" s="7">
        <v>1.1000000000000001</v>
      </c>
      <c r="C10" t="s">
        <v>17</v>
      </c>
      <c r="D10" s="3" t="s">
        <v>39</v>
      </c>
    </row>
    <row r="11" spans="1:5" ht="23.25" x14ac:dyDescent="0.25">
      <c r="A11" t="s">
        <v>78</v>
      </c>
      <c r="B11" s="7">
        <v>1</v>
      </c>
      <c r="C11" t="s">
        <v>17</v>
      </c>
      <c r="D11" s="3" t="s">
        <v>40</v>
      </c>
    </row>
    <row r="12" spans="1:5" ht="23.25" x14ac:dyDescent="0.25">
      <c r="A12" t="s">
        <v>41</v>
      </c>
      <c r="B12" s="7">
        <v>2</v>
      </c>
      <c r="C12" t="s">
        <v>17</v>
      </c>
      <c r="D12" s="3" t="s">
        <v>42</v>
      </c>
    </row>
    <row r="13" spans="1:5" x14ac:dyDescent="0.25">
      <c r="A13" t="s">
        <v>44</v>
      </c>
      <c r="B13" s="7">
        <v>0.35</v>
      </c>
      <c r="C13" t="s">
        <v>17</v>
      </c>
      <c r="D13" s="3" t="s">
        <v>43</v>
      </c>
    </row>
    <row r="14" spans="1:5" x14ac:dyDescent="0.25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5" x14ac:dyDescent="0.25">
      <c r="A15" t="s">
        <v>47</v>
      </c>
      <c r="B15" s="7">
        <f>0.05*3170</f>
        <v>158.5</v>
      </c>
      <c r="C15" t="s">
        <v>24</v>
      </c>
      <c r="D15" s="3" t="s">
        <v>48</v>
      </c>
    </row>
    <row r="16" spans="1:5" ht="23.25" x14ac:dyDescent="0.25">
      <c r="A16" t="s">
        <v>83</v>
      </c>
      <c r="B16">
        <v>5246.8702125764903</v>
      </c>
      <c r="C16" t="s">
        <v>24</v>
      </c>
      <c r="D16" s="3" t="s">
        <v>84</v>
      </c>
      <c r="E16" s="11"/>
    </row>
    <row r="17" spans="1:7" ht="23.25" x14ac:dyDescent="0.25">
      <c r="A17" t="s">
        <v>85</v>
      </c>
      <c r="B17" s="7">
        <v>4</v>
      </c>
      <c r="C17" t="s">
        <v>17</v>
      </c>
      <c r="D17" s="3" t="s">
        <v>86</v>
      </c>
      <c r="G17" s="11"/>
    </row>
    <row r="18" spans="1:7" ht="23.25" x14ac:dyDescent="0.25">
      <c r="A18" t="s">
        <v>87</v>
      </c>
      <c r="B18" s="7">
        <v>6</v>
      </c>
      <c r="C18" t="s">
        <v>17</v>
      </c>
      <c r="D18" s="3" t="s">
        <v>88</v>
      </c>
    </row>
    <row r="19" spans="1:7" ht="23.25" x14ac:dyDescent="0.25">
      <c r="A19" t="s">
        <v>93</v>
      </c>
      <c r="B19" s="7">
        <v>2380</v>
      </c>
      <c r="C19" t="s">
        <v>89</v>
      </c>
      <c r="D19" s="3" t="s">
        <v>90</v>
      </c>
      <c r="G19" s="11"/>
    </row>
    <row r="20" spans="1:7" x14ac:dyDescent="0.25">
      <c r="A20" t="s">
        <v>91</v>
      </c>
      <c r="B20" s="7">
        <v>3</v>
      </c>
      <c r="C20" t="s">
        <v>17</v>
      </c>
      <c r="D20" s="3" t="s">
        <v>92</v>
      </c>
    </row>
    <row r="21" spans="1:7" ht="23.25" x14ac:dyDescent="0.25">
      <c r="A21" t="s">
        <v>157</v>
      </c>
      <c r="B21">
        <v>4939.3691933952596</v>
      </c>
      <c r="C21" t="s">
        <v>24</v>
      </c>
      <c r="D21" s="3" t="s">
        <v>158</v>
      </c>
      <c r="F21" s="11"/>
    </row>
    <row r="22" spans="1:7" ht="23.25" x14ac:dyDescent="0.25">
      <c r="A22" t="s">
        <v>160</v>
      </c>
      <c r="B22" s="7">
        <v>0</v>
      </c>
      <c r="C22" t="s">
        <v>161</v>
      </c>
      <c r="D22" s="3" t="s">
        <v>162</v>
      </c>
    </row>
    <row r="23" spans="1:7" ht="23.25" x14ac:dyDescent="0.25">
      <c r="A23" t="s">
        <v>165</v>
      </c>
      <c r="B23" s="7">
        <v>0.21</v>
      </c>
      <c r="C23" t="s">
        <v>17</v>
      </c>
      <c r="D23" s="3" t="s">
        <v>166</v>
      </c>
    </row>
    <row r="24" spans="1:7" x14ac:dyDescent="0.25">
      <c r="A24" t="s">
        <v>167</v>
      </c>
      <c r="B24">
        <v>3.5</v>
      </c>
      <c r="C24" t="s">
        <v>17</v>
      </c>
      <c r="D24" s="3" t="s">
        <v>168</v>
      </c>
    </row>
    <row r="25" spans="1:7" ht="34.5" x14ac:dyDescent="0.25">
      <c r="A25" t="s">
        <v>181</v>
      </c>
      <c r="B25" s="7">
        <v>0.25</v>
      </c>
      <c r="C25" t="s">
        <v>17</v>
      </c>
      <c r="D25" s="3" t="s">
        <v>182</v>
      </c>
    </row>
    <row r="26" spans="1:7" x14ac:dyDescent="0.25">
      <c r="A26" t="s">
        <v>185</v>
      </c>
      <c r="B26" s="7">
        <v>0.05</v>
      </c>
      <c r="C26" t="s">
        <v>17</v>
      </c>
      <c r="D26" s="3" t="s">
        <v>186</v>
      </c>
    </row>
    <row r="27" spans="1:7" ht="23.25" x14ac:dyDescent="0.25">
      <c r="A27" t="s">
        <v>187</v>
      </c>
      <c r="B27" s="7">
        <v>0.02</v>
      </c>
      <c r="C27" t="s">
        <v>17</v>
      </c>
      <c r="D27" s="3" t="s">
        <v>188</v>
      </c>
      <c r="E27" t="s">
        <v>189</v>
      </c>
    </row>
    <row r="28" spans="1:7" ht="23.25" x14ac:dyDescent="0.25">
      <c r="A28" t="s">
        <v>190</v>
      </c>
      <c r="B28" s="7">
        <v>0.17799999999999999</v>
      </c>
      <c r="C28" t="s">
        <v>17</v>
      </c>
      <c r="D28" s="3" t="s">
        <v>191</v>
      </c>
    </row>
    <row r="29" spans="1:7" ht="23.25" x14ac:dyDescent="0.25">
      <c r="A29" t="s">
        <v>192</v>
      </c>
      <c r="B29" s="7">
        <v>1.3</v>
      </c>
      <c r="C29" t="s">
        <v>17</v>
      </c>
      <c r="D29" s="3" t="s">
        <v>193</v>
      </c>
    </row>
    <row r="30" spans="1:7" ht="23.25" x14ac:dyDescent="0.25">
      <c r="A30" t="s">
        <v>194</v>
      </c>
      <c r="B30" s="7">
        <v>0.85</v>
      </c>
      <c r="C30" t="s">
        <v>17</v>
      </c>
      <c r="D30" s="3" t="s">
        <v>195</v>
      </c>
    </row>
    <row r="31" spans="1:7" x14ac:dyDescent="0.25">
      <c r="A31" t="s">
        <v>229</v>
      </c>
      <c r="B31" s="7">
        <v>35</v>
      </c>
      <c r="C31" s="13" t="s">
        <v>118</v>
      </c>
      <c r="D31" s="3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B0FE-64B9-4224-9013-EA235D427ED3}">
  <dimension ref="A1:E9"/>
  <sheetViews>
    <sheetView workbookViewId="0">
      <selection activeCell="O5" sqref="O5"/>
    </sheetView>
  </sheetViews>
  <sheetFormatPr defaultRowHeight="15" x14ac:dyDescent="0.25"/>
  <cols>
    <col min="1" max="1" width="13" customWidth="1"/>
    <col min="4" max="4" width="34.140625" style="12" customWidth="1"/>
    <col min="5" max="5" width="21.5703125" customWidth="1"/>
  </cols>
  <sheetData>
    <row r="1" spans="1:5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5" x14ac:dyDescent="0.25">
      <c r="A2" t="s">
        <v>177</v>
      </c>
      <c r="B2">
        <v>4</v>
      </c>
      <c r="C2" t="s">
        <v>17</v>
      </c>
      <c r="D2" s="12" t="s">
        <v>178</v>
      </c>
      <c r="E2" t="s">
        <v>222</v>
      </c>
    </row>
    <row r="3" spans="1:5" x14ac:dyDescent="0.25">
      <c r="A3" t="s">
        <v>179</v>
      </c>
      <c r="B3">
        <v>15</v>
      </c>
      <c r="C3" t="s">
        <v>161</v>
      </c>
      <c r="D3" s="12" t="s">
        <v>180</v>
      </c>
      <c r="E3" t="s">
        <v>221</v>
      </c>
    </row>
    <row r="4" spans="1:5" x14ac:dyDescent="0.25">
      <c r="A4" t="s">
        <v>217</v>
      </c>
      <c r="B4">
        <f>1/5</f>
        <v>0.2</v>
      </c>
      <c r="C4" t="s">
        <v>17</v>
      </c>
      <c r="D4" s="12" t="s">
        <v>218</v>
      </c>
    </row>
    <row r="5" spans="1:5" x14ac:dyDescent="0.25">
      <c r="A5" t="s">
        <v>196</v>
      </c>
      <c r="B5">
        <v>19.937564392723601</v>
      </c>
      <c r="C5" t="s">
        <v>118</v>
      </c>
      <c r="D5" s="12" t="s">
        <v>197</v>
      </c>
    </row>
    <row r="6" spans="1:5" x14ac:dyDescent="0.25">
      <c r="A6" t="s">
        <v>225</v>
      </c>
      <c r="B6">
        <v>0.5</v>
      </c>
      <c r="C6" t="s">
        <v>17</v>
      </c>
      <c r="D6" s="12" t="s">
        <v>226</v>
      </c>
      <c r="E6" t="s">
        <v>227</v>
      </c>
    </row>
    <row r="7" spans="1:5" x14ac:dyDescent="0.25">
      <c r="A7" t="s">
        <v>223</v>
      </c>
    </row>
    <row r="8" spans="1:5" x14ac:dyDescent="0.25">
      <c r="A8" t="s">
        <v>224</v>
      </c>
    </row>
    <row r="9" spans="1:5" x14ac:dyDescent="0.25">
      <c r="A9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G10" sqref="G10"/>
    </sheetView>
  </sheetViews>
  <sheetFormatPr defaultColWidth="8.85546875" defaultRowHeight="15" x14ac:dyDescent="0.25"/>
  <cols>
    <col min="1" max="1" width="20.140625" customWidth="1"/>
    <col min="2" max="2" width="18.140625" customWidth="1"/>
    <col min="4" max="4" width="15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3</v>
      </c>
      <c r="B2" s="7">
        <f>350*3600</f>
        <v>1260000</v>
      </c>
      <c r="C2" t="s">
        <v>5</v>
      </c>
      <c r="D2" s="3" t="s">
        <v>61</v>
      </c>
    </row>
    <row r="3" spans="1:4" ht="23.25" x14ac:dyDescent="0.25">
      <c r="A3" t="s">
        <v>62</v>
      </c>
      <c r="B3" s="7">
        <f>33.3*1000*3600</f>
        <v>119880000</v>
      </c>
      <c r="C3" t="s">
        <v>5</v>
      </c>
      <c r="D3" s="3" t="s">
        <v>63</v>
      </c>
    </row>
    <row r="4" spans="1:4" ht="23.25" x14ac:dyDescent="0.25">
      <c r="A4" t="s">
        <v>64</v>
      </c>
      <c r="B4" s="7">
        <v>0.8</v>
      </c>
      <c r="C4" t="s">
        <v>17</v>
      </c>
      <c r="D4" s="3" t="s">
        <v>65</v>
      </c>
    </row>
    <row r="5" spans="1:4" x14ac:dyDescent="0.25">
      <c r="A5" t="s">
        <v>66</v>
      </c>
      <c r="B5" s="7">
        <v>1</v>
      </c>
      <c r="C5" t="s">
        <v>17</v>
      </c>
      <c r="D5" s="3" t="s">
        <v>67</v>
      </c>
    </row>
    <row r="6" spans="1:4" ht="34.5" x14ac:dyDescent="0.25">
      <c r="A6" t="s">
        <v>68</v>
      </c>
      <c r="B6" s="7">
        <v>0.91</v>
      </c>
      <c r="C6" t="s">
        <v>17</v>
      </c>
      <c r="D6" s="3" t="s">
        <v>69</v>
      </c>
    </row>
    <row r="7" spans="1:4" x14ac:dyDescent="0.25">
      <c r="A7" t="s">
        <v>70</v>
      </c>
      <c r="B7" s="7">
        <v>0.56000000000000005</v>
      </c>
      <c r="C7" t="s">
        <v>17</v>
      </c>
      <c r="D7" s="3" t="s">
        <v>71</v>
      </c>
    </row>
    <row r="8" spans="1:4" ht="23.25" x14ac:dyDescent="0.25">
      <c r="A8" t="s">
        <v>72</v>
      </c>
      <c r="B8" s="7">
        <v>0.7</v>
      </c>
      <c r="C8" t="s">
        <v>17</v>
      </c>
      <c r="D8" s="3" t="s">
        <v>73</v>
      </c>
    </row>
    <row r="9" spans="1:4" ht="34.5" x14ac:dyDescent="0.25">
      <c r="A9" t="s">
        <v>74</v>
      </c>
      <c r="B9" s="7">
        <v>1.8</v>
      </c>
      <c r="C9" t="s">
        <v>17</v>
      </c>
      <c r="D9" s="3" t="s">
        <v>75</v>
      </c>
    </row>
    <row r="10" spans="1:4" ht="45.75" x14ac:dyDescent="0.25">
      <c r="A10" t="s">
        <v>76</v>
      </c>
      <c r="B10" s="7">
        <f>1.3</f>
        <v>1.3</v>
      </c>
      <c r="C10" t="s">
        <v>17</v>
      </c>
      <c r="D10" s="3" t="s">
        <v>77</v>
      </c>
    </row>
    <row r="11" spans="1:4" x14ac:dyDescent="0.25">
      <c r="B11" s="7"/>
      <c r="D11" s="3"/>
    </row>
    <row r="12" spans="1:4" x14ac:dyDescent="0.25">
      <c r="B12" s="7"/>
      <c r="D12" s="3"/>
    </row>
    <row r="13" spans="1:4" x14ac:dyDescent="0.25">
      <c r="B13" s="7"/>
      <c r="D13" s="3"/>
    </row>
    <row r="14" spans="1:4" x14ac:dyDescent="0.25">
      <c r="B14" s="7"/>
      <c r="D14" s="3"/>
    </row>
    <row r="15" spans="1:4" x14ac:dyDescent="0.25">
      <c r="B15" s="7"/>
      <c r="D15" s="3"/>
    </row>
    <row r="16" spans="1:4" x14ac:dyDescent="0.25">
      <c r="B16" s="7"/>
      <c r="D16" s="3"/>
    </row>
    <row r="17" spans="2:4" x14ac:dyDescent="0.25">
      <c r="B17" s="7"/>
      <c r="D17" s="3"/>
    </row>
    <row r="18" spans="2:4" x14ac:dyDescent="0.25">
      <c r="B18" s="7"/>
      <c r="D18" s="3"/>
    </row>
    <row r="19" spans="2:4" x14ac:dyDescent="0.25">
      <c r="B19" s="7"/>
      <c r="D19" s="3"/>
    </row>
    <row r="20" spans="2:4" x14ac:dyDescent="0.25">
      <c r="B20" s="7"/>
      <c r="D20" s="3"/>
    </row>
    <row r="21" spans="2:4" x14ac:dyDescent="0.25">
      <c r="B21" s="7"/>
      <c r="D21" s="3"/>
    </row>
    <row r="22" spans="2:4" x14ac:dyDescent="0.25">
      <c r="B22" s="7"/>
      <c r="D22" s="3"/>
    </row>
    <row r="23" spans="2:4" x14ac:dyDescent="0.25">
      <c r="B23" s="7"/>
      <c r="D23" s="3"/>
    </row>
    <row r="24" spans="2:4" x14ac:dyDescent="0.25">
      <c r="B24" s="7"/>
      <c r="D24" s="3"/>
    </row>
    <row r="25" spans="2:4" x14ac:dyDescent="0.25">
      <c r="B25" s="7"/>
      <c r="D25" s="3"/>
    </row>
    <row r="26" spans="2:4" x14ac:dyDescent="0.25">
      <c r="B26" s="7"/>
      <c r="D26" s="3"/>
    </row>
    <row r="27" spans="2:4" x14ac:dyDescent="0.25">
      <c r="B27" s="7"/>
      <c r="D27" s="3"/>
    </row>
    <row r="28" spans="2:4" x14ac:dyDescent="0.25">
      <c r="B28" s="7"/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1321-8063-4252-B5DC-A1E5B451DA54}">
  <dimension ref="A1:E33"/>
  <sheetViews>
    <sheetView tabSelected="1" topLeftCell="A22" workbookViewId="0">
      <selection activeCell="B27" sqref="B27"/>
    </sheetView>
  </sheetViews>
  <sheetFormatPr defaultColWidth="8.85546875" defaultRowHeight="15" x14ac:dyDescent="0.25"/>
  <cols>
    <col min="1" max="1" width="17.28515625" customWidth="1"/>
    <col min="2" max="2" width="14.7109375" customWidth="1"/>
    <col min="3" max="3" width="14.85546875" customWidth="1"/>
    <col min="4" max="4" width="31.42578125" customWidth="1"/>
    <col min="5" max="5" width="27.140625" customWidth="1"/>
  </cols>
  <sheetData>
    <row r="1" spans="1:5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5" ht="14.45" customHeight="1" x14ac:dyDescent="0.25">
      <c r="A2" t="s">
        <v>94</v>
      </c>
      <c r="B2">
        <f>2.6*9.80665</f>
        <v>25.49729</v>
      </c>
      <c r="C2" t="s">
        <v>95</v>
      </c>
      <c r="D2" s="9" t="s">
        <v>96</v>
      </c>
    </row>
    <row r="3" spans="1:5" x14ac:dyDescent="0.25">
      <c r="A3" t="s">
        <v>97</v>
      </c>
      <c r="B3">
        <v>1.42</v>
      </c>
      <c r="C3" t="s">
        <v>19</v>
      </c>
      <c r="D3" s="9" t="s">
        <v>98</v>
      </c>
    </row>
    <row r="4" spans="1:5" x14ac:dyDescent="0.25">
      <c r="A4" t="s">
        <v>99</v>
      </c>
      <c r="C4" t="s">
        <v>19</v>
      </c>
      <c r="D4" s="9" t="s">
        <v>100</v>
      </c>
    </row>
    <row r="5" spans="1:5" ht="28.15" customHeight="1" x14ac:dyDescent="0.25">
      <c r="A5" t="s">
        <v>101</v>
      </c>
      <c r="B5">
        <v>2</v>
      </c>
      <c r="C5" t="s">
        <v>19</v>
      </c>
      <c r="D5" s="9" t="s">
        <v>102</v>
      </c>
    </row>
    <row r="6" spans="1:5" ht="25.9" customHeight="1" x14ac:dyDescent="0.25">
      <c r="A6" t="s">
        <v>103</v>
      </c>
      <c r="B6">
        <v>2.7</v>
      </c>
      <c r="C6" t="s">
        <v>19</v>
      </c>
      <c r="D6" s="9" t="s">
        <v>104</v>
      </c>
    </row>
    <row r="7" spans="1:5" ht="30.6" customHeight="1" x14ac:dyDescent="0.25">
      <c r="A7" t="s">
        <v>105</v>
      </c>
      <c r="B7">
        <v>5.5</v>
      </c>
      <c r="C7" t="s">
        <v>19</v>
      </c>
      <c r="D7" s="9" t="s">
        <v>106</v>
      </c>
    </row>
    <row r="8" spans="1:5" ht="30" customHeight="1" x14ac:dyDescent="0.25">
      <c r="A8" t="s">
        <v>107</v>
      </c>
      <c r="B8">
        <v>2.7</v>
      </c>
      <c r="C8" t="s">
        <v>19</v>
      </c>
      <c r="D8" s="9" t="s">
        <v>108</v>
      </c>
    </row>
    <row r="9" spans="1:5" ht="18.600000000000001" customHeight="1" x14ac:dyDescent="0.25">
      <c r="A9" t="s">
        <v>109</v>
      </c>
      <c r="B9">
        <v>11282.39</v>
      </c>
      <c r="C9" t="s">
        <v>95</v>
      </c>
      <c r="D9" s="9" t="s">
        <v>110</v>
      </c>
    </row>
    <row r="10" spans="1:5" x14ac:dyDescent="0.25">
      <c r="A10" t="s">
        <v>159</v>
      </c>
      <c r="B10">
        <v>11</v>
      </c>
      <c r="C10" t="s">
        <v>19</v>
      </c>
    </row>
    <row r="11" spans="1:5" x14ac:dyDescent="0.25">
      <c r="A11" t="s">
        <v>111</v>
      </c>
      <c r="B11">
        <f>12.56/2</f>
        <v>6.28</v>
      </c>
      <c r="C11" t="s">
        <v>19</v>
      </c>
      <c r="D11" s="9" t="s">
        <v>112</v>
      </c>
    </row>
    <row r="12" spans="1:5" x14ac:dyDescent="0.25">
      <c r="A12" t="s">
        <v>113</v>
      </c>
      <c r="B12">
        <v>8.9649999999999999</v>
      </c>
      <c r="C12" t="s">
        <v>19</v>
      </c>
      <c r="D12" s="9" t="s">
        <v>114</v>
      </c>
    </row>
    <row r="13" spans="1:5" x14ac:dyDescent="0.25">
      <c r="A13" t="s">
        <v>115</v>
      </c>
      <c r="B13">
        <v>3.5859999999999999</v>
      </c>
      <c r="C13" t="s">
        <v>19</v>
      </c>
      <c r="D13" s="9" t="s">
        <v>116</v>
      </c>
    </row>
    <row r="14" spans="1:5" x14ac:dyDescent="0.25">
      <c r="A14" t="s">
        <v>117</v>
      </c>
      <c r="B14">
        <v>31.53</v>
      </c>
      <c r="C14" t="s">
        <v>118</v>
      </c>
      <c r="D14" s="9" t="s">
        <v>119</v>
      </c>
    </row>
    <row r="15" spans="1:5" x14ac:dyDescent="0.25">
      <c r="A15" t="s">
        <v>120</v>
      </c>
      <c r="B15">
        <v>5</v>
      </c>
      <c r="C15" t="s">
        <v>17</v>
      </c>
      <c r="D15" s="9" t="s">
        <v>121</v>
      </c>
    </row>
    <row r="16" spans="1:5" x14ac:dyDescent="0.25">
      <c r="A16" t="s">
        <v>122</v>
      </c>
      <c r="B16">
        <v>1</v>
      </c>
      <c r="C16" t="s">
        <v>19</v>
      </c>
      <c r="D16" s="9" t="s">
        <v>123</v>
      </c>
      <c r="E16" s="10" t="s">
        <v>124</v>
      </c>
    </row>
    <row r="17" spans="1:5" x14ac:dyDescent="0.25">
      <c r="A17" t="s">
        <v>125</v>
      </c>
      <c r="B17">
        <f>0.5*B13</f>
        <v>1.7929999999999999</v>
      </c>
      <c r="C17" t="s">
        <v>19</v>
      </c>
      <c r="D17" s="9" t="s">
        <v>126</v>
      </c>
      <c r="E17" s="10" t="s">
        <v>127</v>
      </c>
    </row>
    <row r="18" spans="1:5" ht="24.75" x14ac:dyDescent="0.25">
      <c r="A18" t="s">
        <v>128</v>
      </c>
      <c r="B18">
        <v>3</v>
      </c>
      <c r="C18" t="s">
        <v>19</v>
      </c>
      <c r="D18" s="9" t="s">
        <v>129</v>
      </c>
      <c r="E18" t="s">
        <v>138</v>
      </c>
    </row>
    <row r="19" spans="1:5" ht="24.75" x14ac:dyDescent="0.25">
      <c r="A19" t="s">
        <v>130</v>
      </c>
      <c r="C19" t="s">
        <v>19</v>
      </c>
      <c r="D19" s="9" t="s">
        <v>131</v>
      </c>
    </row>
    <row r="20" spans="1:5" ht="24.75" x14ac:dyDescent="0.25">
      <c r="A20" t="s">
        <v>132</v>
      </c>
      <c r="B20">
        <v>8.5</v>
      </c>
      <c r="C20" t="s">
        <v>19</v>
      </c>
      <c r="D20" s="9" t="s">
        <v>133</v>
      </c>
      <c r="E20" t="s">
        <v>139</v>
      </c>
    </row>
    <row r="21" spans="1:5" ht="24.75" x14ac:dyDescent="0.25">
      <c r="A21" t="s">
        <v>134</v>
      </c>
      <c r="B21">
        <v>0</v>
      </c>
      <c r="C21" t="s">
        <v>19</v>
      </c>
      <c r="D21" s="9" t="s">
        <v>135</v>
      </c>
    </row>
    <row r="22" spans="1:5" x14ac:dyDescent="0.25">
      <c r="A22" t="s">
        <v>136</v>
      </c>
      <c r="B22">
        <v>1.5</v>
      </c>
      <c r="C22" t="s">
        <v>19</v>
      </c>
      <c r="D22" s="9" t="s">
        <v>137</v>
      </c>
    </row>
    <row r="23" spans="1:5" ht="24.75" x14ac:dyDescent="0.25">
      <c r="A23" t="s">
        <v>163</v>
      </c>
      <c r="B23">
        <v>0.45</v>
      </c>
      <c r="C23" t="s">
        <v>17</v>
      </c>
      <c r="D23" s="9" t="s">
        <v>164</v>
      </c>
      <c r="E23" t="s">
        <v>216</v>
      </c>
    </row>
    <row r="24" spans="1:5" ht="24.75" x14ac:dyDescent="0.25">
      <c r="A24" t="s">
        <v>169</v>
      </c>
      <c r="B24">
        <v>5</v>
      </c>
      <c r="C24" t="s">
        <v>118</v>
      </c>
      <c r="D24" s="9" t="s">
        <v>170</v>
      </c>
    </row>
    <row r="25" spans="1:5" ht="24.75" x14ac:dyDescent="0.25">
      <c r="A25" t="s">
        <v>171</v>
      </c>
      <c r="B25">
        <v>4</v>
      </c>
      <c r="C25" t="s">
        <v>19</v>
      </c>
      <c r="D25" s="9" t="s">
        <v>172</v>
      </c>
    </row>
    <row r="26" spans="1:5" ht="48.75" x14ac:dyDescent="0.25">
      <c r="A26" t="s">
        <v>173</v>
      </c>
      <c r="B26">
        <v>9</v>
      </c>
      <c r="C26" t="s">
        <v>19</v>
      </c>
      <c r="D26" s="9" t="s">
        <v>174</v>
      </c>
    </row>
    <row r="27" spans="1:5" x14ac:dyDescent="0.25">
      <c r="A27" t="s">
        <v>183</v>
      </c>
      <c r="B27">
        <f>B22</f>
        <v>1.5</v>
      </c>
      <c r="C27" t="s">
        <v>19</v>
      </c>
      <c r="D27" s="9" t="s">
        <v>184</v>
      </c>
    </row>
    <row r="28" spans="1:5" ht="36.75" x14ac:dyDescent="0.25">
      <c r="A28" t="s">
        <v>198</v>
      </c>
      <c r="B28">
        <v>0.3</v>
      </c>
      <c r="C28" t="s">
        <v>17</v>
      </c>
      <c r="D28" s="9" t="s">
        <v>199</v>
      </c>
    </row>
    <row r="29" spans="1:5" ht="24.75" x14ac:dyDescent="0.25">
      <c r="A29" t="s">
        <v>200</v>
      </c>
      <c r="B29">
        <f>(1.3)/9</f>
        <v>0.14444444444444446</v>
      </c>
      <c r="C29" t="s">
        <v>17</v>
      </c>
      <c r="D29" s="9" t="s">
        <v>215</v>
      </c>
      <c r="E29" s="2"/>
    </row>
    <row r="30" spans="1:5" x14ac:dyDescent="0.25">
      <c r="A30" t="s">
        <v>201</v>
      </c>
      <c r="B30">
        <f>(1.7+2.8)/11</f>
        <v>0.40909090909090912</v>
      </c>
      <c r="C30" t="s">
        <v>17</v>
      </c>
      <c r="D30" s="9" t="s">
        <v>214</v>
      </c>
      <c r="E30" s="2"/>
    </row>
    <row r="31" spans="1:5" x14ac:dyDescent="0.25">
      <c r="A31" t="s">
        <v>202</v>
      </c>
      <c r="B31">
        <f>(3.5+2.8)/11</f>
        <v>0.57272727272727275</v>
      </c>
      <c r="C31" t="s">
        <v>17</v>
      </c>
      <c r="D31" s="9" t="s">
        <v>213</v>
      </c>
      <c r="E31" s="2"/>
    </row>
    <row r="32" spans="1:5" x14ac:dyDescent="0.25">
      <c r="A32" t="s">
        <v>203</v>
      </c>
      <c r="B32">
        <f>(2.6+2.8)/11</f>
        <v>0.49090909090909096</v>
      </c>
      <c r="C32" t="s">
        <v>17</v>
      </c>
      <c r="D32" s="9" t="s">
        <v>211</v>
      </c>
      <c r="E32" s="2"/>
    </row>
    <row r="33" spans="1:5" ht="24.75" x14ac:dyDescent="0.25">
      <c r="A33" t="s">
        <v>210</v>
      </c>
      <c r="B33">
        <f>(3.6+2.8)/11</f>
        <v>0.5818181818181819</v>
      </c>
      <c r="C33" t="s">
        <v>17</v>
      </c>
      <c r="D33" s="9" t="s">
        <v>212</v>
      </c>
      <c r="E33" s="2"/>
    </row>
  </sheetData>
  <conditionalFormatting sqref="B26">
    <cfRule type="cellIs" dxfId="0" priority="1" operator="greaterThan">
      <formula>23.5-$B$10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workbookViewId="0">
      <selection activeCell="G11" sqref="G11"/>
    </sheetView>
  </sheetViews>
  <sheetFormatPr defaultColWidth="8.85546875" defaultRowHeight="15" x14ac:dyDescent="0.25"/>
  <cols>
    <col min="1" max="1" width="19.140625" customWidth="1"/>
    <col min="4" max="4" width="15.5703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54</v>
      </c>
      <c r="B2">
        <v>5.4999999999999997E-3</v>
      </c>
      <c r="C2" t="s">
        <v>220</v>
      </c>
      <c r="D2" s="3" t="s">
        <v>219</v>
      </c>
    </row>
    <row r="3" spans="1:4" ht="45.75" x14ac:dyDescent="0.25">
      <c r="A3" t="s">
        <v>57</v>
      </c>
      <c r="B3">
        <v>0.6</v>
      </c>
      <c r="C3" s="1" t="s">
        <v>17</v>
      </c>
      <c r="D3" s="3" t="s">
        <v>58</v>
      </c>
    </row>
    <row r="4" spans="1:4" ht="45.75" x14ac:dyDescent="0.25">
      <c r="A4" t="s">
        <v>59</v>
      </c>
      <c r="B4">
        <v>4.4999999999999997E-3</v>
      </c>
      <c r="C4" t="s">
        <v>17</v>
      </c>
      <c r="D4" s="3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A14C-1C11-4C8C-B63C-C0FEDC2A8929}">
  <dimension ref="A1:D6"/>
  <sheetViews>
    <sheetView workbookViewId="0">
      <selection activeCell="B13" sqref="B13"/>
    </sheetView>
  </sheetViews>
  <sheetFormatPr defaultColWidth="11.42578125"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2</v>
      </c>
    </row>
    <row r="2" spans="1:4" x14ac:dyDescent="0.25">
      <c r="A2" t="s">
        <v>140</v>
      </c>
      <c r="B2">
        <v>88.5</v>
      </c>
      <c r="C2" t="s">
        <v>141</v>
      </c>
      <c r="D2" t="s">
        <v>142</v>
      </c>
    </row>
    <row r="3" spans="1:4" x14ac:dyDescent="0.25">
      <c r="A3" t="s">
        <v>143</v>
      </c>
      <c r="B3">
        <v>80</v>
      </c>
      <c r="C3" t="s">
        <v>141</v>
      </c>
      <c r="D3" t="s">
        <v>144</v>
      </c>
    </row>
    <row r="4" spans="1:4" x14ac:dyDescent="0.25">
      <c r="A4" t="s">
        <v>145</v>
      </c>
      <c r="B4">
        <v>0.8</v>
      </c>
      <c r="C4" t="s">
        <v>146</v>
      </c>
      <c r="D4" t="s">
        <v>147</v>
      </c>
    </row>
    <row r="5" spans="1:4" x14ac:dyDescent="0.25">
      <c r="A5" t="s">
        <v>148</v>
      </c>
      <c r="B5">
        <v>0.8</v>
      </c>
      <c r="C5" t="s">
        <v>146</v>
      </c>
      <c r="D5" t="s">
        <v>149</v>
      </c>
    </row>
    <row r="6" spans="1:4" x14ac:dyDescent="0.25">
      <c r="A6" t="s">
        <v>150</v>
      </c>
      <c r="B6">
        <v>50</v>
      </c>
      <c r="C6" t="s">
        <v>19</v>
      </c>
      <c r="D6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Mission</vt:lpstr>
      <vt:lpstr>Aircraft parameters</vt:lpstr>
      <vt:lpstr>Tail parameters</vt:lpstr>
      <vt:lpstr>Energy storage</vt:lpstr>
      <vt:lpstr>Dimensions and Positions</vt:lpstr>
      <vt:lpstr>Misc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2019-07-01T08:19:30Z</dcterms:modified>
</cp:coreProperties>
</file>