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kirsch\"/>
    </mc:Choice>
  </mc:AlternateContent>
  <xr:revisionPtr revIDLastSave="0" documentId="8_{69483A50-4192-4D0D-8A9E-ED0CE93356E4}" xr6:coauthVersionLast="47" xr6:coauthVersionMax="47" xr10:uidLastSave="{00000000-0000-0000-0000-000000000000}"/>
  <bookViews>
    <workbookView xWindow="-109" yWindow="-109" windowWidth="26301" windowHeight="14169" xr2:uid="{477A09B5-E191-4F8D-8F4D-390ED5C1CBE1}"/>
  </bookViews>
  <sheets>
    <sheet name="FINAL ACM ratio" sheetId="27" r:id="rId1"/>
    <sheet name="summary ratio U V" sheetId="23" r:id="rId2"/>
    <sheet name="Low-2021 w 24-38moe" sheetId="29" r:id="rId3"/>
    <sheet name="2021 w 24- 2022" sheetId="22" r:id="rId4"/>
    <sheet name="Full 2021 - 2022" sheetId="21" r:id="rId5"/>
    <sheet name="Low 2024 w 9-25" sheetId="20" r:id="rId6"/>
    <sheet name="High 2023 w 37 - 2024 w 4" sheetId="19" r:id="rId7"/>
    <sheet name="Low 2023 w 22- 32" sheetId="18" r:id="rId8"/>
    <sheet name="High 2022 w 22- 2023 w 17" sheetId="17" r:id="rId9"/>
    <sheet name="High 2021 w 40-2022 w 18" sheetId="16" r:id="rId10"/>
    <sheet name="Low-2021 w 24-38" sheetId="3" r:id="rId11"/>
    <sheet name="ASMR" sheetId="26" r:id="rId12"/>
    <sheet name="baseline period MRR" sheetId="24" r:id="rId13"/>
    <sheet name="total for all ages" sheetId="25" r:id="rId14"/>
    <sheet name="Sheet1" sheetId="28" r:id="rId15"/>
    <sheet name="alive-death-source" sheetId="15" r:id="rId16"/>
  </sheets>
  <definedNames>
    <definedName name="ExternalData_4" localSheetId="15" hidden="1">'alive-death-source'!$A$1:$K$6369</definedName>
  </definedNames>
  <calcPr calcId="191029"/>
  <pivotCaches>
    <pivotCache cacheId="23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7" l="1"/>
  <c r="K25" i="29"/>
  <c r="I12" i="27"/>
  <c r="I20" i="27"/>
  <c r="I16" i="23"/>
  <c r="I14" i="23"/>
  <c r="I16" i="27"/>
  <c r="I21" i="27"/>
  <c r="I18" i="27"/>
  <c r="J20" i="27"/>
  <c r="J8" i="27"/>
  <c r="I11" i="27"/>
  <c r="I13" i="27"/>
  <c r="I12" i="23"/>
  <c r="I6" i="23"/>
  <c r="J21" i="27"/>
  <c r="I14" i="27"/>
  <c r="I7" i="27"/>
  <c r="I13" i="23"/>
  <c r="I23" i="23"/>
  <c r="I24" i="27"/>
  <c r="I5" i="23"/>
  <c r="I22" i="27"/>
  <c r="I19" i="23"/>
  <c r="J17" i="27"/>
  <c r="J7" i="27"/>
  <c r="I6" i="27"/>
  <c r="J9" i="27"/>
  <c r="I4" i="23"/>
  <c r="J15" i="27"/>
  <c r="I10" i="27"/>
  <c r="J4" i="27"/>
  <c r="I15" i="23"/>
  <c r="I18" i="23"/>
  <c r="J5" i="27"/>
  <c r="I17" i="23"/>
  <c r="J11" i="27"/>
  <c r="I9" i="27"/>
  <c r="I4" i="27"/>
  <c r="J16" i="27"/>
  <c r="J6" i="27"/>
  <c r="J12" i="27"/>
  <c r="I5" i="27"/>
  <c r="I9" i="23"/>
  <c r="I7" i="23"/>
  <c r="I23" i="27"/>
  <c r="I20" i="23"/>
  <c r="I11" i="23"/>
  <c r="I24" i="23"/>
  <c r="J13" i="27"/>
  <c r="J14" i="27"/>
  <c r="J19" i="27"/>
  <c r="I19" i="27"/>
  <c r="I22" i="23"/>
  <c r="I10" i="23"/>
  <c r="I17" i="27"/>
  <c r="I15" i="27"/>
  <c r="J18" i="27"/>
  <c r="J10" i="27"/>
  <c r="I21" i="23"/>
  <c r="I8" i="27"/>
  <c r="I8" i="23"/>
  <c r="P18" i="27" l="1"/>
  <c r="P16" i="27"/>
  <c r="P7" i="27"/>
  <c r="P5" i="27"/>
  <c r="P19" i="27"/>
  <c r="P20" i="27"/>
  <c r="P10" i="27"/>
  <c r="P17" i="27"/>
  <c r="P11" i="27"/>
  <c r="P9" i="27"/>
  <c r="P12" i="27"/>
  <c r="P14" i="27"/>
  <c r="P21" i="27"/>
  <c r="P15" i="27"/>
  <c r="P8" i="27"/>
  <c r="P6" i="27"/>
  <c r="P13" i="27"/>
  <c r="P4" i="27"/>
  <c r="J23" i="29"/>
  <c r="I23" i="29"/>
  <c r="F25" i="29"/>
  <c r="F24" i="29"/>
  <c r="F23" i="29"/>
  <c r="I36" i="29"/>
  <c r="I35" i="29"/>
  <c r="I34" i="29"/>
  <c r="I33" i="29"/>
  <c r="I32" i="29"/>
  <c r="I31" i="29"/>
  <c r="I30" i="29"/>
  <c r="I29" i="29"/>
  <c r="I28" i="29"/>
  <c r="I27" i="29"/>
  <c r="I26" i="29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B4" i="27"/>
  <c r="Q4" i="27" s="1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5" i="22"/>
  <c r="I25" i="26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G24" i="29"/>
  <c r="G25" i="29"/>
  <c r="B24" i="29"/>
  <c r="E23" i="29"/>
  <c r="A23" i="29"/>
  <c r="H22" i="29"/>
  <c r="D22" i="29"/>
  <c r="G21" i="29"/>
  <c r="B20" i="29"/>
  <c r="E19" i="29"/>
  <c r="A19" i="29"/>
  <c r="H18" i="29"/>
  <c r="D18" i="29"/>
  <c r="G17" i="29"/>
  <c r="B16" i="29"/>
  <c r="E15" i="29"/>
  <c r="A15" i="29"/>
  <c r="H14" i="29"/>
  <c r="D14" i="29"/>
  <c r="G13" i="29"/>
  <c r="B12" i="29"/>
  <c r="E11" i="29"/>
  <c r="A11" i="29"/>
  <c r="H10" i="29"/>
  <c r="D10" i="29"/>
  <c r="G9" i="29"/>
  <c r="B8" i="29"/>
  <c r="E7" i="29"/>
  <c r="A7" i="29"/>
  <c r="H6" i="29"/>
  <c r="D6" i="29"/>
  <c r="G5" i="29"/>
  <c r="B35" i="29"/>
  <c r="B33" i="29"/>
  <c r="B31" i="29"/>
  <c r="B29" i="29"/>
  <c r="B27" i="29"/>
  <c r="B26" i="29"/>
  <c r="B23" i="29"/>
  <c r="A22" i="29"/>
  <c r="H21" i="29"/>
  <c r="G20" i="29"/>
  <c r="A18" i="29"/>
  <c r="H17" i="29"/>
  <c r="B15" i="29"/>
  <c r="A14" i="29"/>
  <c r="D13" i="29"/>
  <c r="G12" i="29"/>
  <c r="E10" i="29"/>
  <c r="H9" i="29"/>
  <c r="E6" i="29"/>
  <c r="H5" i="29"/>
  <c r="H36" i="29"/>
  <c r="H35" i="29"/>
  <c r="H34" i="29"/>
  <c r="H33" i="29"/>
  <c r="H32" i="29"/>
  <c r="H31" i="29"/>
  <c r="H30" i="29"/>
  <c r="H29" i="29"/>
  <c r="H28" i="29"/>
  <c r="H27" i="29"/>
  <c r="H26" i="29"/>
  <c r="B25" i="29"/>
  <c r="E24" i="29"/>
  <c r="A24" i="29"/>
  <c r="G22" i="29"/>
  <c r="B21" i="29"/>
  <c r="E20" i="29"/>
  <c r="A20" i="29"/>
  <c r="H19" i="29"/>
  <c r="D19" i="29"/>
  <c r="G18" i="29"/>
  <c r="B17" i="29"/>
  <c r="E16" i="29"/>
  <c r="A16" i="29"/>
  <c r="H15" i="29"/>
  <c r="D15" i="29"/>
  <c r="G14" i="29"/>
  <c r="B13" i="29"/>
  <c r="E12" i="29"/>
  <c r="A12" i="29"/>
  <c r="H11" i="29"/>
  <c r="D11" i="29"/>
  <c r="G10" i="29"/>
  <c r="B9" i="29"/>
  <c r="E8" i="29"/>
  <c r="A8" i="29"/>
  <c r="H7" i="29"/>
  <c r="D7" i="29"/>
  <c r="G6" i="29"/>
  <c r="B5" i="29"/>
  <c r="B34" i="29"/>
  <c r="G36" i="29"/>
  <c r="G35" i="29"/>
  <c r="G34" i="29"/>
  <c r="G33" i="29"/>
  <c r="G32" i="29"/>
  <c r="G31" i="29"/>
  <c r="G30" i="29"/>
  <c r="G29" i="29"/>
  <c r="G28" i="29"/>
  <c r="G27" i="29"/>
  <c r="G26" i="29"/>
  <c r="E25" i="29"/>
  <c r="A25" i="29"/>
  <c r="G23" i="29"/>
  <c r="B22" i="29"/>
  <c r="E21" i="29"/>
  <c r="A21" i="29"/>
  <c r="H20" i="29"/>
  <c r="D20" i="29"/>
  <c r="G19" i="29"/>
  <c r="B18" i="29"/>
  <c r="E17" i="29"/>
  <c r="A17" i="29"/>
  <c r="H16" i="29"/>
  <c r="D16" i="29"/>
  <c r="G15" i="29"/>
  <c r="B14" i="29"/>
  <c r="E13" i="29"/>
  <c r="A13" i="29"/>
  <c r="H12" i="29"/>
  <c r="D12" i="29"/>
  <c r="G11" i="29"/>
  <c r="B10" i="29"/>
  <c r="E9" i="29"/>
  <c r="A9" i="29"/>
  <c r="H8" i="29"/>
  <c r="D8" i="29"/>
  <c r="G7" i="29"/>
  <c r="B6" i="29"/>
  <c r="E5" i="29"/>
  <c r="A5" i="29"/>
  <c r="B36" i="29"/>
  <c r="B32" i="29"/>
  <c r="B30" i="29"/>
  <c r="B28" i="29"/>
  <c r="H25" i="29"/>
  <c r="E22" i="29"/>
  <c r="D21" i="29"/>
  <c r="B19" i="29"/>
  <c r="E18" i="29"/>
  <c r="D17" i="29"/>
  <c r="G16" i="29"/>
  <c r="E14" i="29"/>
  <c r="H13" i="29"/>
  <c r="B11" i="29"/>
  <c r="A10" i="29"/>
  <c r="D9" i="29"/>
  <c r="G8" i="29"/>
  <c r="B7" i="29"/>
  <c r="A6" i="29"/>
  <c r="D5" i="29"/>
  <c r="E6" i="22"/>
  <c r="E10" i="22"/>
  <c r="E14" i="22"/>
  <c r="E18" i="22"/>
  <c r="E22" i="22"/>
  <c r="E17" i="22"/>
  <c r="E25" i="22"/>
  <c r="E7" i="22"/>
  <c r="E11" i="22"/>
  <c r="E15" i="22"/>
  <c r="E19" i="22"/>
  <c r="E23" i="22"/>
  <c r="E9" i="22"/>
  <c r="E21" i="22"/>
  <c r="E8" i="22"/>
  <c r="E12" i="22"/>
  <c r="E16" i="22"/>
  <c r="E20" i="22"/>
  <c r="E24" i="22"/>
  <c r="E13" i="22"/>
  <c r="E5" i="22"/>
  <c r="D5" i="22"/>
  <c r="B6" i="22"/>
  <c r="B5" i="22"/>
  <c r="B10" i="22"/>
  <c r="B14" i="22"/>
  <c r="B18" i="22"/>
  <c r="B22" i="22"/>
  <c r="B26" i="22"/>
  <c r="B30" i="22"/>
  <c r="B34" i="22"/>
  <c r="B13" i="22"/>
  <c r="B7" i="22"/>
  <c r="B11" i="22"/>
  <c r="B15" i="22"/>
  <c r="B19" i="22"/>
  <c r="B23" i="22"/>
  <c r="B27" i="22"/>
  <c r="B31" i="22"/>
  <c r="B35" i="22"/>
  <c r="B17" i="22"/>
  <c r="B8" i="22"/>
  <c r="B12" i="22"/>
  <c r="B16" i="22"/>
  <c r="B20" i="22"/>
  <c r="B24" i="22"/>
  <c r="B28" i="22"/>
  <c r="B32" i="22"/>
  <c r="B36" i="22"/>
  <c r="B9" i="22"/>
  <c r="B21" i="22"/>
  <c r="B25" i="22"/>
  <c r="B29" i="22"/>
  <c r="B33" i="22"/>
  <c r="A5" i="22"/>
  <c r="G5" i="22"/>
  <c r="F20" i="27"/>
  <c r="E4" i="27"/>
  <c r="F24" i="27"/>
  <c r="C15" i="27"/>
  <c r="C5" i="27"/>
  <c r="E22" i="27"/>
  <c r="F13" i="27"/>
  <c r="F12" i="27"/>
  <c r="D21" i="27"/>
  <c r="F4" i="27"/>
  <c r="D19" i="27"/>
  <c r="G17" i="27"/>
  <c r="G22" i="27"/>
  <c r="D10" i="27"/>
  <c r="F14" i="27"/>
  <c r="F7" i="27"/>
  <c r="G20" i="27"/>
  <c r="C21" i="27"/>
  <c r="C19" i="27"/>
  <c r="D14" i="27"/>
  <c r="C7" i="27"/>
  <c r="F21" i="27"/>
  <c r="C24" i="27"/>
  <c r="F6" i="27"/>
  <c r="E20" i="27"/>
  <c r="D6" i="27"/>
  <c r="D11" i="27"/>
  <c r="F17" i="27"/>
  <c r="F18" i="27"/>
  <c r="G18" i="27"/>
  <c r="D12" i="27"/>
  <c r="C9" i="27"/>
  <c r="G11" i="27"/>
  <c r="D5" i="27"/>
  <c r="E10" i="27"/>
  <c r="F16" i="27"/>
  <c r="D15" i="27"/>
  <c r="E7" i="27"/>
  <c r="E13" i="27"/>
  <c r="C16" i="27"/>
  <c r="F5" i="27"/>
  <c r="D8" i="27"/>
  <c r="E15" i="27"/>
  <c r="E11" i="27"/>
  <c r="E14" i="27"/>
  <c r="G15" i="27"/>
  <c r="D24" i="27"/>
  <c r="C17" i="27"/>
  <c r="C23" i="27"/>
  <c r="E17" i="27"/>
  <c r="D16" i="27"/>
  <c r="G24" i="27"/>
  <c r="E21" i="27"/>
  <c r="G5" i="27"/>
  <c r="E18" i="27"/>
  <c r="E23" i="27"/>
  <c r="E5" i="27"/>
  <c r="F9" i="27"/>
  <c r="F15" i="27"/>
  <c r="F19" i="27"/>
  <c r="E6" i="27"/>
  <c r="D9" i="27"/>
  <c r="C14" i="27"/>
  <c r="G4" i="27"/>
  <c r="G9" i="27"/>
  <c r="G19" i="27"/>
  <c r="E19" i="27"/>
  <c r="D17" i="27"/>
  <c r="C22" i="27"/>
  <c r="E12" i="27"/>
  <c r="D23" i="27"/>
  <c r="E8" i="27"/>
  <c r="D13" i="27"/>
  <c r="G14" i="27"/>
  <c r="D7" i="27"/>
  <c r="C20" i="27"/>
  <c r="G21" i="27"/>
  <c r="E9" i="27"/>
  <c r="C12" i="27"/>
  <c r="E16" i="27"/>
  <c r="D18" i="27"/>
  <c r="C6" i="27"/>
  <c r="D22" i="27"/>
  <c r="F8" i="27"/>
  <c r="E24" i="27"/>
  <c r="G6" i="27"/>
  <c r="F23" i="27"/>
  <c r="G13" i="27"/>
  <c r="D4" i="27"/>
  <c r="C8" i="27"/>
  <c r="C11" i="27"/>
  <c r="C10" i="27"/>
  <c r="G23" i="27"/>
  <c r="C18" i="27"/>
  <c r="F11" i="27"/>
  <c r="F22" i="27"/>
  <c r="C4" i="27"/>
  <c r="G10" i="27"/>
  <c r="C13" i="27"/>
  <c r="F10" i="27"/>
  <c r="G8" i="27"/>
  <c r="D20" i="27"/>
  <c r="G7" i="27"/>
  <c r="G16" i="27"/>
  <c r="G12" i="27"/>
  <c r="R4" i="27" l="1"/>
  <c r="I6" i="29"/>
  <c r="C7" i="29"/>
  <c r="I10" i="29"/>
  <c r="C11" i="29"/>
  <c r="F14" i="29"/>
  <c r="F18" i="29"/>
  <c r="C19" i="29"/>
  <c r="F22" i="29"/>
  <c r="J22" i="29" s="1"/>
  <c r="K22" i="29" s="1"/>
  <c r="I5" i="29"/>
  <c r="F5" i="29"/>
  <c r="C6" i="29"/>
  <c r="I9" i="29"/>
  <c r="F9" i="29"/>
  <c r="C10" i="29"/>
  <c r="I13" i="29"/>
  <c r="F13" i="29"/>
  <c r="C14" i="29"/>
  <c r="I17" i="29"/>
  <c r="F17" i="29"/>
  <c r="C18" i="29"/>
  <c r="I21" i="29"/>
  <c r="F21" i="29"/>
  <c r="C22" i="29"/>
  <c r="I25" i="29"/>
  <c r="C5" i="29"/>
  <c r="I8" i="29"/>
  <c r="F8" i="29"/>
  <c r="J8" i="29" s="1"/>
  <c r="K8" i="29" s="1"/>
  <c r="C9" i="29"/>
  <c r="I12" i="29"/>
  <c r="F12" i="29"/>
  <c r="C13" i="29"/>
  <c r="I16" i="29"/>
  <c r="F16" i="29"/>
  <c r="C17" i="29"/>
  <c r="I20" i="29"/>
  <c r="F20" i="29"/>
  <c r="C21" i="29"/>
  <c r="I24" i="29"/>
  <c r="C25" i="29"/>
  <c r="F6" i="29"/>
  <c r="J6" i="29" s="1"/>
  <c r="F10" i="29"/>
  <c r="I14" i="29"/>
  <c r="C15" i="29"/>
  <c r="I18" i="29"/>
  <c r="I22" i="29"/>
  <c r="C23" i="29"/>
  <c r="I7" i="29"/>
  <c r="F7" i="29"/>
  <c r="J7" i="29" s="1"/>
  <c r="C8" i="29"/>
  <c r="I11" i="29"/>
  <c r="F11" i="29"/>
  <c r="J11" i="29" s="1"/>
  <c r="K11" i="29" s="1"/>
  <c r="C12" i="29"/>
  <c r="I15" i="29"/>
  <c r="F15" i="29"/>
  <c r="C16" i="29"/>
  <c r="I19" i="29"/>
  <c r="F19" i="29"/>
  <c r="J19" i="29" s="1"/>
  <c r="C20" i="29"/>
  <c r="C24" i="29"/>
  <c r="C5" i="22"/>
  <c r="C25" i="26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J24" i="29" l="1"/>
  <c r="K7" i="29"/>
  <c r="K6" i="29"/>
  <c r="J16" i="29"/>
  <c r="K16" i="29" s="1"/>
  <c r="J18" i="29"/>
  <c r="J20" i="29"/>
  <c r="K20" i="29" s="1"/>
  <c r="J21" i="29"/>
  <c r="K21" i="29" s="1"/>
  <c r="J5" i="29"/>
  <c r="K5" i="29" s="1"/>
  <c r="K18" i="29"/>
  <c r="J25" i="29"/>
  <c r="J9" i="29"/>
  <c r="K9" i="29" s="1"/>
  <c r="J14" i="29"/>
  <c r="K14" i="29" s="1"/>
  <c r="J15" i="29"/>
  <c r="K15" i="29" s="1"/>
  <c r="J13" i="29"/>
  <c r="K13" i="29" s="1"/>
  <c r="K19" i="29"/>
  <c r="J10" i="29"/>
  <c r="K10" i="29" s="1"/>
  <c r="J12" i="29"/>
  <c r="K12" i="29" s="1"/>
  <c r="J17" i="29"/>
  <c r="K17" i="29" s="1"/>
  <c r="I36" i="22"/>
  <c r="I35" i="22"/>
  <c r="I34" i="22"/>
  <c r="I33" i="22"/>
  <c r="I32" i="22"/>
  <c r="I31" i="22"/>
  <c r="I30" i="22"/>
  <c r="I29" i="22"/>
  <c r="I28" i="22"/>
  <c r="I27" i="22"/>
  <c r="I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B14" i="3"/>
  <c r="A18" i="3"/>
  <c r="D34" i="3"/>
  <c r="A5" i="3"/>
  <c r="C36" i="3"/>
  <c r="A20" i="3"/>
  <c r="D31" i="3"/>
  <c r="D6" i="3"/>
  <c r="C9" i="3"/>
  <c r="A12" i="3"/>
  <c r="B24" i="3"/>
  <c r="A7" i="3"/>
  <c r="B23" i="3"/>
  <c r="A15" i="3"/>
  <c r="B15" i="3"/>
  <c r="D35" i="3"/>
  <c r="C7" i="3"/>
  <c r="D19" i="3"/>
  <c r="C13" i="3"/>
  <c r="D32" i="3"/>
  <c r="C8" i="3"/>
  <c r="B13" i="3"/>
  <c r="C14" i="3"/>
  <c r="C15" i="3"/>
  <c r="A16" i="3"/>
  <c r="C33" i="3"/>
  <c r="B6" i="3"/>
  <c r="D8" i="3"/>
  <c r="C10" i="3"/>
  <c r="D15" i="3"/>
  <c r="C17" i="3"/>
  <c r="B12" i="3"/>
  <c r="D30" i="3"/>
  <c r="B9" i="3"/>
  <c r="C20" i="3"/>
  <c r="B17" i="3"/>
  <c r="C5" i="3"/>
  <c r="C12" i="3"/>
  <c r="D26" i="3"/>
  <c r="B5" i="3"/>
  <c r="D18" i="3"/>
  <c r="D27" i="3"/>
  <c r="D12" i="3"/>
  <c r="D25" i="3"/>
  <c r="A24" i="3"/>
  <c r="C19" i="3"/>
  <c r="C18" i="3"/>
  <c r="C24" i="3"/>
  <c r="A19" i="3"/>
  <c r="D11" i="3"/>
  <c r="D14" i="3"/>
  <c r="D13" i="3"/>
  <c r="D9" i="3"/>
  <c r="A9" i="3"/>
  <c r="C23" i="3"/>
  <c r="C16" i="3"/>
  <c r="C28" i="3"/>
  <c r="A11" i="3"/>
  <c r="A17" i="3"/>
  <c r="C27" i="3"/>
  <c r="C22" i="3"/>
  <c r="C32" i="3"/>
  <c r="A10" i="3"/>
  <c r="B20" i="3"/>
  <c r="D20" i="3"/>
  <c r="D23" i="3"/>
  <c r="D29" i="3"/>
  <c r="A8" i="3"/>
  <c r="B18" i="3"/>
  <c r="B11" i="3"/>
  <c r="C11" i="3"/>
  <c r="D17" i="3"/>
  <c r="B19" i="3"/>
  <c r="B16" i="3"/>
  <c r="B25" i="3"/>
  <c r="D16" i="3"/>
  <c r="B21" i="3"/>
  <c r="D10" i="3"/>
  <c r="D21" i="3"/>
  <c r="D5" i="3"/>
  <c r="A23" i="3"/>
  <c r="B8" i="3"/>
  <c r="C21" i="3"/>
  <c r="D24" i="3"/>
  <c r="A22" i="3"/>
  <c r="B22" i="3"/>
  <c r="B7" i="3"/>
  <c r="C26" i="3"/>
  <c r="D36" i="3"/>
  <c r="B10" i="3"/>
  <c r="A13" i="3"/>
  <c r="D22" i="3"/>
  <c r="C6" i="3"/>
  <c r="C31" i="3"/>
  <c r="D7" i="3"/>
  <c r="C25" i="3"/>
  <c r="C30" i="3"/>
  <c r="D33" i="3"/>
  <c r="A14" i="3"/>
  <c r="A6" i="3"/>
  <c r="C29" i="3"/>
  <c r="C35" i="3"/>
  <c r="C34" i="3"/>
  <c r="D28" i="3"/>
  <c r="A25" i="3"/>
  <c r="A21" i="3"/>
  <c r="H35" i="22"/>
  <c r="H27" i="22"/>
  <c r="H23" i="22"/>
  <c r="H19" i="22"/>
  <c r="H15" i="22"/>
  <c r="H11" i="22"/>
  <c r="H7" i="22"/>
  <c r="A24" i="22"/>
  <c r="D15" i="22"/>
  <c r="A8" i="22"/>
  <c r="G25" i="22"/>
  <c r="A19" i="22"/>
  <c r="A11" i="22"/>
  <c r="G35" i="22"/>
  <c r="G27" i="22"/>
  <c r="H22" i="22"/>
  <c r="H18" i="22"/>
  <c r="H14" i="22"/>
  <c r="H10" i="22"/>
  <c r="H6" i="22"/>
  <c r="G32" i="22"/>
  <c r="G14" i="22"/>
  <c r="G22" i="22"/>
  <c r="H5" i="22"/>
  <c r="D22" i="22"/>
  <c r="A15" i="22"/>
  <c r="D6" i="22"/>
  <c r="H31" i="22"/>
  <c r="D25" i="22"/>
  <c r="D21" i="22"/>
  <c r="D17" i="22"/>
  <c r="D13" i="22"/>
  <c r="D9" i="22"/>
  <c r="A20" i="22"/>
  <c r="D11" i="22"/>
  <c r="G29" i="22"/>
  <c r="A23" i="22"/>
  <c r="D14" i="22"/>
  <c r="A7" i="22"/>
  <c r="D24" i="22"/>
  <c r="D20" i="22"/>
  <c r="D16" i="22"/>
  <c r="D12" i="22"/>
  <c r="D8" i="22"/>
  <c r="G36" i="22"/>
  <c r="H17" i="22"/>
  <c r="G33" i="22"/>
  <c r="D10" i="22"/>
  <c r="G30" i="22"/>
  <c r="G12" i="22"/>
  <c r="G24" i="22"/>
  <c r="G8" i="22"/>
  <c r="G20" i="22"/>
  <c r="G16" i="22"/>
  <c r="H29" i="22"/>
  <c r="G18" i="22"/>
  <c r="H9" i="22"/>
  <c r="H26" i="22"/>
  <c r="H12" i="22"/>
  <c r="H36" i="22"/>
  <c r="H28" i="22"/>
  <c r="G19" i="22"/>
  <c r="G15" i="22"/>
  <c r="G7" i="22"/>
  <c r="H33" i="22"/>
  <c r="A16" i="22"/>
  <c r="H30" i="22"/>
  <c r="H8" i="22"/>
  <c r="G34" i="22"/>
  <c r="G26" i="22"/>
  <c r="A22" i="22"/>
  <c r="A6" i="22"/>
  <c r="A18" i="22"/>
  <c r="A14" i="22"/>
  <c r="A10" i="22"/>
  <c r="H21" i="22"/>
  <c r="H13" i="22"/>
  <c r="G6" i="22"/>
  <c r="H24" i="22"/>
  <c r="G17" i="22"/>
  <c r="G9" i="22"/>
  <c r="H32" i="22"/>
  <c r="C10" i="22" l="1"/>
  <c r="C14" i="22"/>
  <c r="C18" i="22"/>
  <c r="C6" i="22"/>
  <c r="C22" i="22"/>
  <c r="C16" i="22"/>
  <c r="C7" i="22"/>
  <c r="C23" i="22"/>
  <c r="C20" i="22"/>
  <c r="C15" i="22"/>
  <c r="C11" i="22"/>
  <c r="C19" i="22"/>
  <c r="C8" i="22"/>
  <c r="C24" i="22"/>
  <c r="I5" i="22"/>
  <c r="A25" i="22"/>
  <c r="A9" i="22"/>
  <c r="A13" i="22"/>
  <c r="A21" i="22"/>
  <c r="A17" i="22"/>
  <c r="G28" i="22"/>
  <c r="D19" i="22"/>
  <c r="A12" i="22"/>
  <c r="H34" i="22"/>
  <c r="H20" i="22"/>
  <c r="G13" i="22"/>
  <c r="G31" i="22"/>
  <c r="H25" i="22"/>
  <c r="G10" i="22"/>
  <c r="D18" i="22"/>
  <c r="G21" i="22"/>
  <c r="G23" i="22"/>
  <c r="G11" i="22"/>
  <c r="D23" i="22"/>
  <c r="D7" i="22"/>
  <c r="H16" i="22"/>
  <c r="C6" i="23"/>
  <c r="C8" i="23"/>
  <c r="F22" i="23"/>
  <c r="E7" i="23"/>
  <c r="E16" i="23"/>
  <c r="D21" i="23"/>
  <c r="E6" i="23"/>
  <c r="G6" i="23"/>
  <c r="E9" i="23"/>
  <c r="F21" i="23"/>
  <c r="D24" i="23"/>
  <c r="F15" i="23"/>
  <c r="F17" i="23"/>
  <c r="C23" i="23"/>
  <c r="C21" i="23"/>
  <c r="F20" i="23"/>
  <c r="E24" i="23"/>
  <c r="G4" i="23"/>
  <c r="E23" i="23"/>
  <c r="E5" i="23"/>
  <c r="C13" i="23"/>
  <c r="C17" i="23"/>
  <c r="G24" i="23"/>
  <c r="F16" i="23"/>
  <c r="D8" i="23"/>
  <c r="F5" i="23"/>
  <c r="F11" i="23"/>
  <c r="C11" i="23"/>
  <c r="E8" i="23"/>
  <c r="G10" i="23"/>
  <c r="F7" i="23"/>
  <c r="G7" i="23"/>
  <c r="E11" i="23"/>
  <c r="D10" i="23"/>
  <c r="F12" i="23"/>
  <c r="E17" i="23"/>
  <c r="G15" i="23"/>
  <c r="C20" i="23"/>
  <c r="E15" i="23"/>
  <c r="F4" i="23"/>
  <c r="G21" i="23"/>
  <c r="D13" i="23"/>
  <c r="G12" i="23"/>
  <c r="C14" i="23"/>
  <c r="F14" i="23"/>
  <c r="D18" i="23"/>
  <c r="D5" i="23"/>
  <c r="G5" i="23"/>
  <c r="D7" i="23"/>
  <c r="C5" i="23"/>
  <c r="D14" i="23"/>
  <c r="F19" i="23"/>
  <c r="E10" i="23"/>
  <c r="D11" i="23"/>
  <c r="F24" i="23"/>
  <c r="C9" i="23"/>
  <c r="C16" i="23"/>
  <c r="E12" i="23"/>
  <c r="G9" i="23"/>
  <c r="C24" i="23"/>
  <c r="C18" i="23"/>
  <c r="E4" i="23"/>
  <c r="E14" i="23"/>
  <c r="G18" i="23"/>
  <c r="C12" i="23"/>
  <c r="G8" i="23"/>
  <c r="G13" i="23"/>
  <c r="D12" i="23"/>
  <c r="F6" i="23"/>
  <c r="F8" i="23"/>
  <c r="F18" i="23"/>
  <c r="D19" i="23"/>
  <c r="E18" i="23"/>
  <c r="D9" i="23"/>
  <c r="D23" i="23"/>
  <c r="D22" i="23"/>
  <c r="C19" i="23"/>
  <c r="E22" i="23"/>
  <c r="G14" i="23"/>
  <c r="G17" i="23"/>
  <c r="G16" i="23"/>
  <c r="D17" i="23"/>
  <c r="D4" i="23"/>
  <c r="G22" i="23"/>
  <c r="D15" i="23"/>
  <c r="G19" i="23"/>
  <c r="C15" i="23"/>
  <c r="D20" i="23"/>
  <c r="D6" i="23"/>
  <c r="E20" i="23"/>
  <c r="E19" i="23"/>
  <c r="E13" i="23"/>
  <c r="C22" i="23"/>
  <c r="C4" i="23"/>
  <c r="C7" i="23"/>
  <c r="F9" i="23"/>
  <c r="F10" i="23"/>
  <c r="C10" i="23"/>
  <c r="G11" i="23"/>
  <c r="G20" i="23"/>
  <c r="F23" i="23"/>
  <c r="G23" i="23"/>
  <c r="E21" i="23"/>
  <c r="F13" i="23"/>
  <c r="D16" i="23"/>
  <c r="C12" i="22" l="1"/>
  <c r="C17" i="22"/>
  <c r="C21" i="22"/>
  <c r="C13" i="22"/>
  <c r="C9" i="22"/>
  <c r="C25" i="22"/>
  <c r="I15" i="22"/>
  <c r="I12" i="22"/>
  <c r="I16" i="22"/>
  <c r="I9" i="22"/>
  <c r="I13" i="22"/>
  <c r="I17" i="22"/>
  <c r="I21" i="22"/>
  <c r="I25" i="22"/>
  <c r="I7" i="22"/>
  <c r="I11" i="22"/>
  <c r="I19" i="22"/>
  <c r="I23" i="22"/>
  <c r="I8" i="22"/>
  <c r="I20" i="22"/>
  <c r="I24" i="22"/>
  <c r="I6" i="22"/>
  <c r="I10" i="22"/>
  <c r="I14" i="22"/>
  <c r="I18" i="22"/>
  <c r="I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H24" i="23"/>
  <c r="H12" i="23"/>
  <c r="H5" i="23"/>
  <c r="H19" i="23"/>
  <c r="H18" i="23"/>
  <c r="H14" i="23"/>
  <c r="H8" i="23"/>
  <c r="H20" i="23"/>
  <c r="H7" i="23"/>
  <c r="H17" i="23"/>
  <c r="H13" i="23"/>
  <c r="H21" i="23"/>
  <c r="H6" i="23"/>
  <c r="H16" i="23"/>
  <c r="H22" i="23"/>
  <c r="H9" i="23"/>
  <c r="H11" i="23"/>
  <c r="H10" i="23"/>
  <c r="H23" i="23"/>
  <c r="H4" i="23"/>
  <c r="H15" i="23"/>
  <c r="B17" i="27" l="1"/>
  <c r="Q17" i="27" s="1"/>
  <c r="R17" i="27" s="1"/>
  <c r="B17" i="23"/>
  <c r="B23" i="27"/>
  <c r="B23" i="23"/>
  <c r="B18" i="27"/>
  <c r="Q18" i="27" s="1"/>
  <c r="R18" i="27" s="1"/>
  <c r="B18" i="23"/>
  <c r="B20" i="27"/>
  <c r="Q20" i="27" s="1"/>
  <c r="R20" i="27" s="1"/>
  <c r="B20" i="23"/>
  <c r="K20" i="23" s="1"/>
  <c r="B15" i="27"/>
  <c r="Q15" i="27" s="1"/>
  <c r="R15" i="27" s="1"/>
  <c r="B15" i="23"/>
  <c r="B13" i="27"/>
  <c r="Q13" i="27" s="1"/>
  <c r="R13" i="27" s="1"/>
  <c r="B13" i="23"/>
  <c r="K13" i="23" s="1"/>
  <c r="B19" i="27"/>
  <c r="Q19" i="27" s="1"/>
  <c r="R19" i="27" s="1"/>
  <c r="B19" i="23"/>
  <c r="K19" i="23" s="1"/>
  <c r="B10" i="27"/>
  <c r="Q10" i="27" s="1"/>
  <c r="R10" i="27" s="1"/>
  <c r="B10" i="23"/>
  <c r="K10" i="23" s="1"/>
  <c r="B16" i="27"/>
  <c r="Q16" i="27" s="1"/>
  <c r="R16" i="27" s="1"/>
  <c r="B16" i="23"/>
  <c r="B11" i="27"/>
  <c r="Q11" i="27" s="1"/>
  <c r="R11" i="27" s="1"/>
  <c r="B11" i="23"/>
  <c r="K11" i="23" s="1"/>
  <c r="B9" i="27"/>
  <c r="Q9" i="27" s="1"/>
  <c r="R9" i="27" s="1"/>
  <c r="B9" i="23"/>
  <c r="K9" i="23" s="1"/>
  <c r="B7" i="27"/>
  <c r="Q7" i="27" s="1"/>
  <c r="R7" i="27" s="1"/>
  <c r="B7" i="23"/>
  <c r="K7" i="23" s="1"/>
  <c r="B6" i="27"/>
  <c r="Q6" i="27" s="1"/>
  <c r="R6" i="27" s="1"/>
  <c r="B6" i="23"/>
  <c r="B12" i="27"/>
  <c r="Q12" i="27" s="1"/>
  <c r="R12" i="27" s="1"/>
  <c r="B12" i="23"/>
  <c r="K12" i="23" s="1"/>
  <c r="B14" i="27"/>
  <c r="Q14" i="27" s="1"/>
  <c r="R14" i="27" s="1"/>
  <c r="B14" i="23"/>
  <c r="B21" i="27"/>
  <c r="Q21" i="27" s="1"/>
  <c r="R21" i="27" s="1"/>
  <c r="B21" i="23"/>
  <c r="K21" i="23" s="1"/>
  <c r="B5" i="27"/>
  <c r="Q5" i="27" s="1"/>
  <c r="R5" i="27" s="1"/>
  <c r="B5" i="23"/>
  <c r="K5" i="23" s="1"/>
  <c r="B22" i="27"/>
  <c r="B22" i="23"/>
  <c r="B24" i="27"/>
  <c r="B24" i="23"/>
  <c r="B8" i="27"/>
  <c r="Q8" i="27" s="1"/>
  <c r="R8" i="27" s="1"/>
  <c r="B8" i="23"/>
  <c r="K8" i="23" s="1"/>
  <c r="K4" i="27"/>
  <c r="B4" i="23"/>
  <c r="K4" i="23" s="1"/>
  <c r="K17" i="23"/>
  <c r="K14" i="23"/>
  <c r="K6" i="23"/>
  <c r="K16" i="23"/>
  <c r="K15" i="23"/>
  <c r="K18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M4" i="27" l="1"/>
  <c r="N4" i="27"/>
  <c r="T4" i="27"/>
  <c r="W4" i="27"/>
  <c r="X4" i="27" s="1"/>
  <c r="K8" i="27"/>
  <c r="K21" i="27"/>
  <c r="K11" i="27"/>
  <c r="K20" i="27"/>
  <c r="K12" i="27"/>
  <c r="K7" i="27"/>
  <c r="K10" i="27"/>
  <c r="K13" i="27"/>
  <c r="K5" i="27"/>
  <c r="K14" i="27"/>
  <c r="K6" i="27"/>
  <c r="K9" i="27"/>
  <c r="K16" i="27"/>
  <c r="K19" i="27"/>
  <c r="K15" i="27"/>
  <c r="K18" i="27"/>
  <c r="K17" i="27"/>
  <c r="O15" i="23"/>
  <c r="O16" i="23"/>
  <c r="O17" i="23" s="1"/>
  <c r="M19" i="27" l="1"/>
  <c r="N19" i="27"/>
  <c r="M14" i="27"/>
  <c r="N14" i="27"/>
  <c r="M7" i="27"/>
  <c r="N7" i="27"/>
  <c r="M21" i="27"/>
  <c r="N21" i="27"/>
  <c r="M17" i="27"/>
  <c r="N17" i="27"/>
  <c r="M16" i="27"/>
  <c r="N16" i="27"/>
  <c r="M5" i="27"/>
  <c r="N5" i="27"/>
  <c r="M12" i="27"/>
  <c r="N12" i="27"/>
  <c r="M8" i="27"/>
  <c r="N8" i="27"/>
  <c r="M18" i="27"/>
  <c r="N18" i="27"/>
  <c r="M9" i="27"/>
  <c r="N9" i="27"/>
  <c r="M13" i="27"/>
  <c r="N13" i="27"/>
  <c r="M20" i="27"/>
  <c r="N20" i="27"/>
  <c r="M15" i="27"/>
  <c r="N15" i="27"/>
  <c r="M6" i="27"/>
  <c r="N6" i="27"/>
  <c r="M10" i="27"/>
  <c r="N10" i="27"/>
  <c r="M11" i="27"/>
  <c r="N11" i="27"/>
  <c r="T19" i="27"/>
  <c r="T14" i="27"/>
  <c r="T7" i="27"/>
  <c r="T21" i="27"/>
  <c r="T17" i="27"/>
  <c r="T16" i="27"/>
  <c r="T5" i="27"/>
  <c r="T12" i="27"/>
  <c r="T8" i="27"/>
  <c r="T18" i="27"/>
  <c r="T9" i="27"/>
  <c r="T13" i="27"/>
  <c r="T20" i="27"/>
  <c r="T15" i="27"/>
  <c r="T6" i="27"/>
  <c r="T10" i="27"/>
  <c r="T11" i="27"/>
  <c r="U4" i="27"/>
  <c r="W19" i="27"/>
  <c r="X19" i="27" s="1"/>
  <c r="W14" i="27"/>
  <c r="X14" i="27" s="1"/>
  <c r="W7" i="27"/>
  <c r="X7" i="27" s="1"/>
  <c r="W21" i="27"/>
  <c r="X21" i="27" s="1"/>
  <c r="W16" i="27"/>
  <c r="X16" i="27" s="1"/>
  <c r="W12" i="27"/>
  <c r="X12" i="27" s="1"/>
  <c r="W8" i="27"/>
  <c r="X8" i="27" s="1"/>
  <c r="W17" i="27"/>
  <c r="X17" i="27" s="1"/>
  <c r="W5" i="27"/>
  <c r="X5" i="27" s="1"/>
  <c r="W18" i="27"/>
  <c r="X18" i="27" s="1"/>
  <c r="W9" i="27"/>
  <c r="X9" i="27" s="1"/>
  <c r="W13" i="27"/>
  <c r="X13" i="27" s="1"/>
  <c r="W20" i="27"/>
  <c r="X20" i="27" s="1"/>
  <c r="W15" i="27"/>
  <c r="X15" i="27" s="1"/>
  <c r="W6" i="27"/>
  <c r="X6" i="27" s="1"/>
  <c r="W10" i="27"/>
  <c r="X10" i="27" s="1"/>
  <c r="W11" i="27"/>
  <c r="X11" i="27" s="1"/>
  <c r="U18" i="27" l="1"/>
  <c r="U17" i="27"/>
  <c r="U13" i="27"/>
  <c r="U14" i="27"/>
  <c r="U15" i="27"/>
  <c r="U16" i="27"/>
  <c r="U21" i="27"/>
  <c r="U10" i="27"/>
  <c r="U12" i="27"/>
  <c r="U11" i="27"/>
  <c r="U6" i="27"/>
  <c r="U20" i="27"/>
  <c r="U9" i="27"/>
  <c r="U8" i="27"/>
  <c r="U5" i="27"/>
  <c r="U7" i="27"/>
  <c r="U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<sst xmlns="http://schemas.openxmlformats.org/spreadsheetml/2006/main" count="13369" uniqueCount="339">
  <si>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</si>
  <si>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</si>
  <si>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</si>
  <si>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</si>
  <si>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</si>
  <si>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</si>
  <si>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</si>
  <si>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</si>
  <si>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</si>
  <si>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</si>
  <si>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</si>
  <si>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</si>
  <si>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</si>
  <si>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</si>
  <si>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</si>
  <si>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</si>
  <si>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</si>
  <si>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</si>
  <si>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</si>
  <si>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</si>
  <si>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</si>
  <si>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</si>
  <si>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</si>
  <si>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</si>
  <si>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</si>
  <si>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</si>
  <si>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</si>
  <si>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</si>
  <si>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</si>
  <si>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</si>
  <si>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</si>
  <si>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</si>
  <si>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</si>
  <si>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</si>
  <si>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</si>
  <si>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</si>
  <si>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</si>
  <si>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</si>
  <si>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</si>
  <si>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</si>
  <si>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</si>
  <si>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</si>
  <si>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</si>
  <si>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</si>
  <si>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</si>
  <si>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</si>
  <si>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</si>
  <si>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</si>
  <si>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</si>
  <si>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</si>
  <si>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</si>
  <si>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</si>
  <si>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</si>
  <si>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</si>
  <si>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</si>
  <si>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</si>
  <si>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</si>
  <si>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</si>
  <si>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</si>
  <si>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</si>
  <si>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</si>
  <si>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</si>
  <si>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</si>
  <si>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</si>
  <si>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</si>
  <si>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</si>
  <si>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</si>
  <si>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</si>
  <si>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</si>
  <si>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</si>
  <si>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</si>
  <si>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</si>
  <si>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</si>
  <si>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</si>
  <si>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</si>
  <si>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</si>
  <si>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</si>
  <si>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</si>
  <si>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</si>
  <si>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</si>
  <si>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</si>
  <si>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</si>
  <si>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</si>
  <si>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</si>
  <si>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</si>
  <si>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</si>
  <si>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</si>
  <si>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</si>
  <si>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</si>
  <si>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</si>
  <si>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</si>
  <si>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</si>
  <si>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</si>
  <si>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</si>
  <si>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</si>
  <si>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</si>
  <si>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</si>
  <si>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</si>
  <si>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</si>
  <si>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</si>
  <si>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</si>
  <si>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</si>
  <si>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</si>
  <si>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</si>
  <si>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</si>
  <si>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</si>
  <si>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</si>
  <si>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</si>
  <si>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</si>
  <si>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</si>
  <si>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</si>
  <si>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</si>
  <si>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</si>
  <si>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</si>
  <si>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</si>
  <si>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</si>
  <si>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</si>
  <si>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</si>
  <si>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</si>
  <si>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</si>
  <si>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</si>
  <si>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</si>
  <si>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</si>
  <si>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</si>
  <si>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</si>
  <si>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</si>
  <si>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</si>
  <si>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</si>
  <si>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</si>
  <si>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</si>
  <si>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</si>
  <si>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</si>
  <si>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</si>
  <si>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</si>
  <si>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</si>
  <si>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</si>
  <si>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</si>
  <si>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</si>
  <si>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</si>
  <si>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</si>
  <si>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</si>
  <si>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</si>
  <si>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</si>
  <si>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</si>
  <si>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</si>
  <si>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</si>
  <si>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</si>
  <si>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</si>
  <si>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</si>
  <si>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</si>
  <si>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</si>
  <si>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</si>
  <si>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</si>
  <si>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</si>
  <si>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</si>
  <si>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</si>
  <si>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</si>
  <si>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</si>
  <si>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</si>
  <si>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</si>
  <si>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</si>
  <si>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</si>
  <si>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</si>
  <si>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</si>
  <si>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</si>
  <si>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</si>
  <si>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</si>
  <si>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</si>
  <si>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</si>
  <si>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</si>
  <si>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</si>
  <si>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</si>
  <si>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</si>
  <si>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</si>
  <si>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</si>
  <si>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</si>
  <si>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</si>
  <si>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</si>
  <si>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</si>
  <si>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</si>
  <si>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</si>
  <si>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</si>
  <si>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</si>
  <si>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</si>
  <si>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</si>
  <si>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</si>
  <si>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</si>
  <si>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</si>
  <si>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</si>
  <si>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</si>
  <si>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</si>
  <si>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</si>
  <si>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</si>
  <si>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</si>
  <si>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</si>
  <si>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</si>
  <si>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</si>
  <si>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</si>
  <si>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</si>
  <si>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</si>
  <si>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</si>
  <si>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</si>
  <si>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</si>
  <si>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</si>
  <si>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</si>
  <si>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</si>
  <si>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</si>
  <si>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</si>
  <si>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</si>
  <si>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</si>
  <si>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</si>
  <si>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</si>
  <si>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</si>
  <si>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</si>
  <si>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</si>
  <si>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</si>
  <si>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</si>
  <si>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</si>
  <si>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</si>
  <si>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</si>
  <si>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</si>
  <si>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</si>
  <si>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</si>
  <si>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</si>
  <si>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</si>
  <si>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</si>
  <si>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</si>
  <si>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</si>
  <si>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</si>
  <si>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</si>
  <si>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</si>
  <si>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</si>
  <si>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</si>
  <si>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</si>
  <si>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</si>
  <si>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</si>
  <si>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</si>
  <si>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</si>
  <si>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</si>
  <si>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</si>
  <si>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</si>
  <si>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</si>
  <si>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</si>
  <si>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</si>
  <si>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</si>
  <si>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</si>
  <si>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</si>
  <si>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</si>
  <si>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</si>
  <si>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</si>
  <si>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</si>
  <si>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</si>
  <si>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</si>
  <si>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</si>
  <si>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</si>
  <si>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</si>
  <si>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</si>
  <si>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</si>
  <si>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</si>
  <si>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</si>
  <si>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</si>
  <si>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</si>
  <si>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</si>
  <si>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</si>
  <si>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</si>
  <si>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</si>
  <si>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</si>
  <si>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</si>
  <si>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</si>
  <si>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</si>
  <si>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</si>
  <si>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</si>
  <si>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</si>
  <si>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</si>
  <si>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</si>
  <si>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</si>
  <si>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</si>
  <si>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</si>
  <si>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</si>
  <si>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</si>
  <si>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</si>
  <si>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</si>
  <si>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</si>
  <si>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</si>
  <si>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</si>
  <si>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</si>
  <si>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</si>
  <si>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</si>
  <si>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</si>
  <si>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</si>
  <si>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</si>
  <si>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</si>
  <si>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</si>
  <si>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</si>
  <si>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</si>
  <si>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</si>
  <si>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</si>
  <si>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</si>
  <si>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</si>
  <si>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</si>
  <si>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</si>
  <si>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</si>
  <si>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</si>
  <si>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</si>
  <si>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</si>
  <si>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</si>
  <si>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</si>
  <si>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</si>
  <si>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</si>
  <si>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</si>
  <si>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</si>
  <si>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49/47= a 4% mortality benefit if you were vaccinated</t>
  </si>
  <si>
    <t>this is NOT a whole period protection. This is simply the incremental ACM benefit of vaccination</t>
  </si>
  <si>
    <t>based on the Czech data</t>
  </si>
  <si>
    <t xml:space="preserve">600 * (1- 1/1.4)= </t>
  </si>
  <si>
    <t>171K extra deaths caused by the vaccine</t>
  </si>
  <si>
    <t>so even if the vaccine didn't kill anyone, increasing the case counts increases the death count.</t>
  </si>
  <si>
    <r>
      <t xml:space="preserve">There were 600K COVID deaths post-vaccine  so this would be 24,000 lives saved if everyone was vaccinated, but only 70% were vaccinated so </t>
    </r>
    <r>
      <rPr>
        <b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</si>
  <si>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z val="11"/>
        <color theme="1"/>
        <rFont val="Aptos Narrow"/>
        <family val="2"/>
        <scheme val="minor"/>
      </rPr>
      <t>40% more cases then there should have been</t>
    </r>
    <r>
      <rPr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</si>
  <si>
    <t>A positive number means the vaccine increased mortality</t>
  </si>
  <si>
    <t>95% confidence limits are around .1 for the ratio</t>
  </si>
  <si>
    <t>Uvax death rate MOE 995</t>
  </si>
  <si>
    <t>Vax death rate MOE 995</t>
  </si>
  <si>
    <t>Uvax death rate relative MOE 995</t>
  </si>
  <si>
    <t>U/V ratio MOE 995</t>
  </si>
  <si>
    <t>U/V ratio relative MOE 995</t>
  </si>
  <si>
    <t>Vax death rate relative MOE 995</t>
  </si>
  <si>
    <t>MoE 99.5%</t>
  </si>
  <si>
    <t>Low-2021 w 24-38moe</t>
  </si>
  <si>
    <t>relative error meas. Period</t>
  </si>
  <si>
    <t>relative error baseline</t>
  </si>
  <si>
    <t>sum of relative errors</t>
  </si>
  <si>
    <t>Max ratio  both errors</t>
  </si>
  <si>
    <t>Min ratio  both errors</t>
  </si>
  <si>
    <t>Max ratio  baseline errors</t>
  </si>
  <si>
    <t>Min ratio  baseline errors</t>
  </si>
  <si>
    <t>+/-</t>
  </si>
  <si>
    <t>baseline</t>
  </si>
  <si>
    <t>baseline + measurement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</si>
</sst>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2" fontId="1" fillId="0" borderId="0" xfId="0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4" borderId="0" xfId="0" applyNumberFormat="1" applyFill="1" applyAlignment="1">
      <alignment wrapText="1"/>
    </xf>
    <xf numFmtId="10" fontId="1" fillId="2" borderId="0" xfId="0" applyNumberFormat="1" applyFont="1" applyFill="1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64" fontId="0" fillId="0" borderId="0" xfId="0" applyNumberFormat="1" applyAlignment="1">
      <alignment wrapText="1"/>
    </xf>
    <xf numFmtId="164" fontId="0" fillId="4" borderId="0" xfId="0" applyNumberForma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0" fillId="0" borderId="0" xfId="0" applyNumberFormat="1"/>
    <xf numFmtId="2" fontId="0" fillId="0" borderId="0" xfId="0" applyNumberFormat="1" applyAlignment="1">
      <alignment wrapText="1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 applyAlignment="1">
      <alignment wrapText="1"/>
    </xf>
    <xf numFmtId="2" fontId="1" fillId="0" borderId="7" xfId="0" applyNumberFormat="1" applyFont="1" applyBorder="1"/>
    <xf numFmtId="2" fontId="1" fillId="0" borderId="0" xfId="0" quotePrefix="1" applyNumberFormat="1" applyFont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quotePrefix="1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</cellXfs>
  <cellStyles count="1">
    <cellStyle name="Normal" xfId="0" builtinId="0"/>
  </cellStyles>
  <dxfs count="29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9BAF0-33D7-437A-B1FA-91BD80290B50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T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T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9"/>
    <tableColumn id="2" xr3:uid="{232A7AE7-6AAD-4C4D-A617-1A0838FA6118}" uniqueName="2" name="isoweek_int" queryTableFieldId="2"/>
    <tableColumn id="3" xr3:uid="{E2B1BC2B-A7E1-49D9-8827-630FD085C458}" uniqueName="3" name="age" queryTableFieldId="3" dataDxfId="18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E882-E945-4B79-9C8E-DC86B59FEBF0}">
  <dimension ref="A1:AB24"/>
  <sheetViews>
    <sheetView tabSelected="1" workbookViewId="0">
      <selection activeCell="R5" sqref="R5"/>
    </sheetView>
  </sheetViews>
  <sheetFormatPr defaultRowHeight="14.3" x14ac:dyDescent="0.25"/>
  <cols>
    <col min="1" max="1" width="10.75" bestFit="1" customWidth="1"/>
    <col min="2" max="2" width="17.625" style="12" customWidth="1"/>
    <col min="3" max="3" width="13.75" style="12" hidden="1" customWidth="1"/>
    <col min="4" max="4" width="14.375" style="12" hidden="1" customWidth="1"/>
    <col min="5" max="5" width="21.875" style="12" hidden="1" customWidth="1"/>
    <col min="6" max="6" width="15.75" style="12" hidden="1" customWidth="1"/>
    <col min="7" max="7" width="22.375" style="12" hidden="1" customWidth="1"/>
    <col min="8" max="8" width="9.375" style="12" customWidth="1"/>
    <col min="9" max="9" width="20.125" style="12" customWidth="1"/>
    <col min="10" max="10" width="9.375" style="12" customWidth="1"/>
    <col min="11" max="11" width="11.875" customWidth="1"/>
    <col min="12" max="12" width="4" customWidth="1"/>
    <col min="13" max="13" width="4.75" style="12" customWidth="1"/>
    <col min="14" max="14" width="11.25" style="12" customWidth="1"/>
    <col min="15" max="15" width="4.25" style="12" customWidth="1"/>
    <col min="16" max="16" width="12.625" customWidth="1"/>
    <col min="17" max="17" width="11.625" customWidth="1"/>
    <col min="18" max="19" width="8.25" style="6" customWidth="1"/>
    <col min="20" max="20" width="14.625" style="12" customWidth="1"/>
    <col min="21" max="21" width="13.25" style="12" customWidth="1"/>
    <col min="22" max="22" width="8.25" style="6" customWidth="1"/>
    <col min="23" max="23" width="11.125" style="30" customWidth="1"/>
    <col min="24" max="25" width="10.25" style="30" customWidth="1"/>
  </cols>
  <sheetData>
    <row r="1" spans="1:28" ht="14.95" thickBot="1" x14ac:dyDescent="0.3">
      <c r="A1" s="12"/>
    </row>
    <row r="2" spans="1:28" ht="46.2" customHeight="1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I2" s="12" t="s">
        <v>282</v>
      </c>
      <c r="K2" s="34" t="s">
        <v>276</v>
      </c>
      <c r="L2" s="35"/>
      <c r="M2" s="36"/>
      <c r="N2" s="37"/>
      <c r="T2" s="33" t="s">
        <v>334</v>
      </c>
      <c r="U2" s="33" t="s">
        <v>335</v>
      </c>
      <c r="W2" s="32" t="s">
        <v>332</v>
      </c>
      <c r="X2" s="32" t="s">
        <v>333</v>
      </c>
      <c r="Y2" s="32"/>
    </row>
    <row r="3" spans="1:28" ht="46.2" customHeight="1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327</v>
      </c>
      <c r="I3" t="s">
        <v>328</v>
      </c>
      <c r="J3" s="12" t="s">
        <v>327</v>
      </c>
      <c r="K3" s="38"/>
      <c r="M3" s="31" t="s">
        <v>337</v>
      </c>
      <c r="N3" s="39" t="s">
        <v>338</v>
      </c>
      <c r="P3" s="31" t="s">
        <v>330</v>
      </c>
      <c r="Q3" s="31" t="s">
        <v>329</v>
      </c>
      <c r="R3" s="20" t="s">
        <v>331</v>
      </c>
      <c r="S3" s="20"/>
      <c r="T3" s="31"/>
      <c r="U3" s="31"/>
      <c r="V3" s="20"/>
    </row>
    <row r="4" spans="1:28" x14ac:dyDescent="0.25">
      <c r="A4" t="s">
        <v>22</v>
      </c>
      <c r="B4" s="12">
        <f>INDEX('2021 w 24- 2022'!I:I,MATCH(A4,'2021 w 24- 2022'!L:L,0))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G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>INDEX('2021 w 24- 2022'!K:K,MATCH(A4,'2021 w 24- 2022'!L:L,0))</f>
        <v>2.3386357734424455E-2</v>
      </c>
      <c r="I4" s="12">
        <f ca="1">INDEX(INDIRECT("'" &amp; I$3 &amp; "'!I:I"), MATCH($A4, INDIRECT("'" &amp; I$3 &amp; "'!L:L"), 0))</f>
        <v>1.206617838427863</v>
      </c>
      <c r="J4" s="12">
        <f ca="1">INDEX(INDIRECT("'" &amp; I$3 &amp; "'!K:K"), MATCH($A4, INDIRECT("'" &amp; I$3 &amp; "'!L:L"), 0))</f>
        <v>2.2522522716741614E-2</v>
      </c>
      <c r="K4" s="40">
        <f ca="1">I4/B4</f>
        <v>1.0003351150510515</v>
      </c>
      <c r="L4" s="41" t="s">
        <v>336</v>
      </c>
      <c r="M4" s="18">
        <f ca="1">K4*P4</f>
        <v>1.867208459510819E-2</v>
      </c>
      <c r="N4" s="42">
        <f ca="1">K4*R4</f>
        <v>3.8066820738065291E-2</v>
      </c>
      <c r="O4" s="18"/>
      <c r="P4" s="6">
        <f ca="1">J4/I4</f>
        <v>1.8665829394737654E-2</v>
      </c>
      <c r="Q4" s="6">
        <f>+H4/B4</f>
        <v>1.9388238852304313E-2</v>
      </c>
      <c r="R4" s="6">
        <f ca="1">P4+Q4</f>
        <v>3.8054068247041967E-2</v>
      </c>
      <c r="T4" s="18">
        <f ca="1">K4+P4*K4</f>
        <v>1.0190071996461598</v>
      </c>
      <c r="U4" s="18">
        <f ca="1">K4-W4*P4</f>
        <v>0.9809524816744466</v>
      </c>
      <c r="W4" s="18">
        <f t="shared" ref="W4:W21" ca="1" si="1">K4+R4*K4</f>
        <v>1.0384019357891168</v>
      </c>
      <c r="X4" s="18">
        <f ca="1">K4-W4*R4</f>
        <v>0.96081969691867197</v>
      </c>
      <c r="Y4" s="18"/>
      <c r="Z4" t="s">
        <v>319</v>
      </c>
    </row>
    <row r="5" spans="1:28" x14ac:dyDescent="0.25">
      <c r="A5" t="s">
        <v>23</v>
      </c>
      <c r="B5" s="12">
        <f>INDEX('2021 w 24- 2022'!I:I,MATCH(A5,'2021 w 24- 2022'!L:L,0))</f>
        <v>1.4264363729619414</v>
      </c>
      <c r="C5" s="12">
        <f t="shared" ref="C5:C24" ca="1" si="2">INDEX(INDIRECT("'" &amp; C$3 &amp; "'!E:E"), MATCH(A5, INDIRECT("'" &amp; C$3 &amp; "'!F:F"), 0))</f>
        <v>1.5288514590049767</v>
      </c>
      <c r="D5" s="12">
        <f t="shared" ref="D5:G24" ca="1" si="3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>INDEX('2021 w 24- 2022'!K:K,MATCH(A5,'2021 w 24- 2022'!L:L,0))</f>
        <v>1.3112295011411071E-2</v>
      </c>
      <c r="I5" s="12">
        <f t="shared" ref="I5:I24" ca="1" si="4">INDEX(INDIRECT("'" &amp; I$3 &amp; "'!I:I"), MATCH($A5, INDIRECT("'" &amp; I$3 &amp; "'!L:L"), 0))</f>
        <v>1.4021589222960265</v>
      </c>
      <c r="J5" s="12">
        <f t="shared" ref="J5:J21" ca="1" si="5">INDEX(INDIRECT("'" &amp; I$3 &amp; "'!K:K"), MATCH($A5, INDIRECT("'" &amp; I$3 &amp; "'!L:L"), 0))</f>
        <v>1.2800618008713781E-2</v>
      </c>
      <c r="K5" s="40">
        <f t="shared" ref="K5:K21" ca="1" si="6">I5/B5</f>
        <v>0.98298034800142986</v>
      </c>
      <c r="L5" s="41" t="s">
        <v>336</v>
      </c>
      <c r="M5" s="18">
        <f t="shared" ref="M5:M21" ca="1" si="7">K5*P5</f>
        <v>8.9738443658259927E-3</v>
      </c>
      <c r="N5" s="42">
        <f t="shared" ref="N5:N21" ca="1" si="8">K5*R5</f>
        <v>1.8009738681007033E-2</v>
      </c>
      <c r="O5" s="18"/>
      <c r="P5" s="6">
        <f t="shared" ref="P5:P21" ca="1" si="9">J5/I5</f>
        <v>9.129220522130865E-3</v>
      </c>
      <c r="Q5" s="6">
        <f t="shared" ref="Q5:Q21" si="10">+H5/B5</f>
        <v>9.1923448251560527E-3</v>
      </c>
      <c r="R5" s="6">
        <f t="shared" ref="R5:R21" ca="1" si="11">P5+Q5</f>
        <v>1.8321565347286919E-2</v>
      </c>
      <c r="T5" s="18">
        <f t="shared" ref="T5:T21" ca="1" si="12">K5+P5*K5</f>
        <v>0.9919541923672559</v>
      </c>
      <c r="U5" s="18">
        <f t="shared" ref="U5:U21" ca="1" si="13">K5-W5*P5</f>
        <v>0.97384208875963896</v>
      </c>
      <c r="W5" s="18">
        <f t="shared" ca="1" si="1"/>
        <v>1.0009900866824368</v>
      </c>
      <c r="X5" s="18">
        <f t="shared" ref="X5:X21" ca="1" si="14">K5-W5*R5</f>
        <v>0.96464064271629124</v>
      </c>
      <c r="Y5" s="18"/>
      <c r="Z5" t="s">
        <v>320</v>
      </c>
    </row>
    <row r="6" spans="1:28" x14ac:dyDescent="0.25">
      <c r="A6" t="s">
        <v>24</v>
      </c>
      <c r="B6" s="12">
        <f>INDEX('2021 w 24- 2022'!I:I,MATCH(A6,'2021 w 24- 2022'!L:L,0))</f>
        <v>1.7343375398421301</v>
      </c>
      <c r="C6" s="12">
        <f t="shared" ca="1" si="2"/>
        <v>1.8321436425221482</v>
      </c>
      <c r="D6" s="12">
        <f t="shared" ca="1" si="3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>INDEX('2021 w 24- 2022'!K:K,MATCH(A6,'2021 w 24- 2022'!L:L,0))</f>
        <v>1.1613936879232534E-2</v>
      </c>
      <c r="I6" s="12">
        <f t="shared" ca="1" si="4"/>
        <v>1.778879025339678</v>
      </c>
      <c r="J6" s="12">
        <f t="shared" ca="1" si="5"/>
        <v>1.2060110618927611E-2</v>
      </c>
      <c r="K6" s="40">
        <f t="shared" ca="1" si="6"/>
        <v>1.0256821319231793</v>
      </c>
      <c r="L6" s="41" t="s">
        <v>336</v>
      </c>
      <c r="M6" s="18">
        <f t="shared" ca="1" si="7"/>
        <v>6.9537274849193398E-3</v>
      </c>
      <c r="N6" s="42">
        <f t="shared" ca="1" si="8"/>
        <v>1.3822175676034882E-2</v>
      </c>
      <c r="O6" s="18"/>
      <c r="P6" s="6">
        <f t="shared" ca="1" si="9"/>
        <v>6.7796125802454307E-3</v>
      </c>
      <c r="Q6" s="6">
        <f t="shared" si="10"/>
        <v>6.6964686010830997E-3</v>
      </c>
      <c r="R6" s="6">
        <f t="shared" ca="1" si="11"/>
        <v>1.3476081181328529E-2</v>
      </c>
      <c r="T6" s="18">
        <f t="shared" ca="1" si="12"/>
        <v>1.0326358594080987</v>
      </c>
      <c r="U6" s="18">
        <f t="shared" ca="1" si="13"/>
        <v>1.0186346954421603</v>
      </c>
      <c r="W6" s="18">
        <f t="shared" ca="1" si="1"/>
        <v>1.0395043075992141</v>
      </c>
      <c r="X6" s="18">
        <f t="shared" ca="1" si="14"/>
        <v>1.0116736874856316</v>
      </c>
      <c r="Y6" s="18"/>
    </row>
    <row r="7" spans="1:28" x14ac:dyDescent="0.25">
      <c r="A7" t="s">
        <v>25</v>
      </c>
      <c r="B7" s="12">
        <f>INDEX('2021 w 24- 2022'!I:I,MATCH(A7,'2021 w 24- 2022'!L:L,0))</f>
        <v>1.9744997221633835</v>
      </c>
      <c r="C7" s="12">
        <f t="shared" ca="1" si="2"/>
        <v>2.0531830548498777</v>
      </c>
      <c r="D7" s="12">
        <f t="shared" ca="1" si="3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>INDEX('2021 w 24- 2022'!K:K,MATCH(A7,'2021 w 24- 2022'!L:L,0))</f>
        <v>1.3144058856653281E-2</v>
      </c>
      <c r="I7" s="12">
        <f t="shared" ca="1" si="4"/>
        <v>2.2018571218323566</v>
      </c>
      <c r="J7" s="12">
        <f t="shared" ca="1" si="5"/>
        <v>1.5204190075984359E-2</v>
      </c>
      <c r="K7" s="40">
        <f t="shared" ca="1" si="6"/>
        <v>1.1151468380151841</v>
      </c>
      <c r="L7" s="41" t="s">
        <v>336</v>
      </c>
      <c r="M7" s="18">
        <f t="shared" ca="1" si="7"/>
        <v>7.7002746089656123E-3</v>
      </c>
      <c r="N7" s="42">
        <f t="shared" ca="1" si="8"/>
        <v>1.5123702178062791E-2</v>
      </c>
      <c r="O7" s="18"/>
      <c r="P7" s="6">
        <f t="shared" ca="1" si="9"/>
        <v>6.9051665184031701E-3</v>
      </c>
      <c r="Q7" s="6">
        <f t="shared" si="10"/>
        <v>6.6569059033605941E-3</v>
      </c>
      <c r="R7" s="6">
        <f t="shared" ca="1" si="11"/>
        <v>1.3562072421763764E-2</v>
      </c>
      <c r="T7" s="18">
        <f t="shared" ca="1" si="12"/>
        <v>1.1228471126241497</v>
      </c>
      <c r="U7" s="18">
        <f t="shared" ca="1" si="13"/>
        <v>1.1073421317243042</v>
      </c>
      <c r="W7" s="18">
        <f t="shared" ca="1" si="1"/>
        <v>1.1302705401932469</v>
      </c>
      <c r="X7" s="18">
        <f t="shared" ca="1" si="14"/>
        <v>1.0998180270928972</v>
      </c>
      <c r="Y7" s="18"/>
    </row>
    <row r="8" spans="1:28" x14ac:dyDescent="0.25">
      <c r="A8" t="s">
        <v>26</v>
      </c>
      <c r="B8" s="12">
        <f>INDEX('2021 w 24- 2022'!I:I,MATCH(A8,'2021 w 24- 2022'!L:L,0))</f>
        <v>2.3662757606529849</v>
      </c>
      <c r="C8" s="12">
        <f t="shared" ca="1" si="2"/>
        <v>2.2365320548559464</v>
      </c>
      <c r="D8" s="12">
        <f t="shared" ca="1" si="3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>INDEX('2021 w 24- 2022'!K:K,MATCH(A8,'2021 w 24- 2022'!L:L,0))</f>
        <v>1.4947868168995199E-2</v>
      </c>
      <c r="I8" s="12">
        <f t="shared" ca="1" si="4"/>
        <v>2.6809032438708118</v>
      </c>
      <c r="J8" s="12">
        <f t="shared" ca="1" si="5"/>
        <v>1.7358106424057954E-2</v>
      </c>
      <c r="K8" s="40">
        <f t="shared" ca="1" si="6"/>
        <v>1.132963151822594</v>
      </c>
      <c r="L8" s="41" t="s">
        <v>336</v>
      </c>
      <c r="M8" s="18">
        <f t="shared" ca="1" si="7"/>
        <v>7.3356228013204605E-3</v>
      </c>
      <c r="N8" s="42">
        <f t="shared" ca="1" si="8"/>
        <v>1.4492600916626864E-2</v>
      </c>
      <c r="O8" s="18"/>
      <c r="P8" s="6">
        <f t="shared" ca="1" si="9"/>
        <v>6.4747231977665548E-3</v>
      </c>
      <c r="Q8" s="6">
        <f t="shared" si="10"/>
        <v>6.317044030772755E-3</v>
      </c>
      <c r="R8" s="6">
        <f t="shared" ca="1" si="11"/>
        <v>1.279176722853931E-2</v>
      </c>
      <c r="T8" s="18">
        <f t="shared" ca="1" si="12"/>
        <v>1.1402987746239144</v>
      </c>
      <c r="U8" s="18">
        <f t="shared" ca="1" si="13"/>
        <v>1.1255336934419227</v>
      </c>
      <c r="W8" s="18">
        <f t="shared" ca="1" si="1"/>
        <v>1.1474557527392208</v>
      </c>
      <c r="X8" s="18">
        <f t="shared" ca="1" si="14"/>
        <v>1.1182851649285055</v>
      </c>
      <c r="Y8" s="18"/>
      <c r="Z8" t="s">
        <v>289</v>
      </c>
      <c r="AB8">
        <v>5.6700425637090178E-2</v>
      </c>
    </row>
    <row r="9" spans="1:28" x14ac:dyDescent="0.25">
      <c r="A9" t="s">
        <v>27</v>
      </c>
      <c r="B9" s="12">
        <f>INDEX('2021 w 24- 2022'!I:I,MATCH(A9,'2021 w 24- 2022'!L:L,0))</f>
        <v>2.5231554528572651</v>
      </c>
      <c r="C9" s="12">
        <f t="shared" ca="1" si="2"/>
        <v>2.3023900813434994</v>
      </c>
      <c r="D9" s="12">
        <f t="shared" ca="1" si="3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>INDEX('2021 w 24- 2022'!K:K,MATCH(A9,'2021 w 24- 2022'!L:L,0))</f>
        <v>1.6129123445569056E-2</v>
      </c>
      <c r="I9" s="12">
        <f t="shared" ca="1" si="4"/>
        <v>2.9557006173737106</v>
      </c>
      <c r="J9" s="12">
        <f t="shared" ca="1" si="5"/>
        <v>1.9290199699375052E-2</v>
      </c>
      <c r="K9" s="40">
        <f t="shared" ca="1" si="6"/>
        <v>1.1714302477980989</v>
      </c>
      <c r="L9" s="41" t="s">
        <v>336</v>
      </c>
      <c r="M9" s="18">
        <f t="shared" ca="1" si="7"/>
        <v>7.6452680224401125E-3</v>
      </c>
      <c r="N9" s="42">
        <f t="shared" ca="1" si="8"/>
        <v>1.5133567268217074E-2</v>
      </c>
      <c r="O9" s="18"/>
      <c r="P9" s="6">
        <f t="shared" ca="1" si="9"/>
        <v>6.5264389721971803E-3</v>
      </c>
      <c r="Q9" s="6">
        <f t="shared" si="10"/>
        <v>6.392441427778125E-3</v>
      </c>
      <c r="R9" s="6">
        <f t="shared" ca="1" si="11"/>
        <v>1.2918880399975305E-2</v>
      </c>
      <c r="T9" s="18">
        <f t="shared" ca="1" si="12"/>
        <v>1.179075515820539</v>
      </c>
      <c r="U9" s="18">
        <f t="shared" ca="1" si="13"/>
        <v>1.1636862114724511</v>
      </c>
      <c r="W9" s="18">
        <f t="shared" ca="1" si="1"/>
        <v>1.186563815066316</v>
      </c>
      <c r="X9" s="18">
        <f t="shared" ca="1" si="14"/>
        <v>1.1561011717843188</v>
      </c>
      <c r="Y9" s="18"/>
      <c r="Z9" t="s">
        <v>290</v>
      </c>
      <c r="AB9">
        <v>0.11113283424869674</v>
      </c>
    </row>
    <row r="10" spans="1:28" x14ac:dyDescent="0.25">
      <c r="A10" t="s">
        <v>28</v>
      </c>
      <c r="B10" s="12">
        <f>INDEX('2021 w 24- 2022'!I:I,MATCH(A10,'2021 w 24- 2022'!L:L,0))</f>
        <v>2.6576478740752174</v>
      </c>
      <c r="C10" s="12">
        <f t="shared" ca="1" si="2"/>
        <v>2.2544701974739998</v>
      </c>
      <c r="D10" s="12">
        <f t="shared" ca="1" si="3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>INDEX('2021 w 24- 2022'!K:K,MATCH(A10,'2021 w 24- 2022'!L:L,0))</f>
        <v>1.9084693707788317E-2</v>
      </c>
      <c r="I10" s="12">
        <f t="shared" ca="1" si="4"/>
        <v>3.298990099172157</v>
      </c>
      <c r="J10" s="12">
        <f t="shared" ca="1" si="5"/>
        <v>2.4535774691547642E-2</v>
      </c>
      <c r="K10" s="40">
        <f t="shared" ca="1" si="6"/>
        <v>1.2413194883163774</v>
      </c>
      <c r="L10" s="41" t="s">
        <v>336</v>
      </c>
      <c r="M10" s="18">
        <f t="shared" ca="1" si="7"/>
        <v>9.2321390395201861E-3</v>
      </c>
      <c r="N10" s="42">
        <f t="shared" ca="1" si="8"/>
        <v>1.8146112353712558E-2</v>
      </c>
      <c r="O10" s="18"/>
      <c r="P10" s="6">
        <f t="shared" ca="1" si="9"/>
        <v>7.4373592990487018E-3</v>
      </c>
      <c r="Q10" s="6">
        <f t="shared" si="10"/>
        <v>7.1810467797315787E-3</v>
      </c>
      <c r="R10" s="6">
        <f t="shared" ca="1" si="11"/>
        <v>1.4618406078780281E-2</v>
      </c>
      <c r="T10" s="18">
        <f t="shared" ca="1" si="12"/>
        <v>1.2505516273558976</v>
      </c>
      <c r="U10" s="18">
        <f t="shared" ca="1" si="13"/>
        <v>1.2319523901194018</v>
      </c>
      <c r="W10" s="18">
        <f t="shared" ca="1" si="1"/>
        <v>1.2594656006700899</v>
      </c>
      <c r="X10" s="18">
        <f t="shared" ca="1" si="14"/>
        <v>1.2229081087235272</v>
      </c>
      <c r="Y10" s="18"/>
    </row>
    <row r="11" spans="1:28" x14ac:dyDescent="0.25">
      <c r="A11" t="s">
        <v>29</v>
      </c>
      <c r="B11" s="12">
        <f>INDEX('2021 w 24- 2022'!I:I,MATCH(A11,'2021 w 24- 2022'!L:L,0))</f>
        <v>2.5586599108910644</v>
      </c>
      <c r="C11" s="12">
        <f t="shared" ca="1" si="2"/>
        <v>2.2179035161658396</v>
      </c>
      <c r="D11" s="12">
        <f t="shared" ca="1" si="3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>INDEX('2021 w 24- 2022'!K:K,MATCH(A11,'2021 w 24- 2022'!L:L,0))</f>
        <v>2.2632575214658026E-2</v>
      </c>
      <c r="I11" s="12">
        <f t="shared" ca="1" si="4"/>
        <v>3.2678710370069202</v>
      </c>
      <c r="J11" s="12">
        <f t="shared" ca="1" si="5"/>
        <v>3.0950526879605783E-2</v>
      </c>
      <c r="K11" s="40">
        <f t="shared" ca="1" si="6"/>
        <v>1.2771806925559208</v>
      </c>
      <c r="L11" s="41" t="s">
        <v>336</v>
      </c>
      <c r="M11" s="18">
        <f t="shared" ca="1" si="7"/>
        <v>1.2096381683186308E-2</v>
      </c>
      <c r="N11" s="42">
        <f t="shared" ca="1" si="8"/>
        <v>2.3393658028487824E-2</v>
      </c>
      <c r="O11" s="18"/>
      <c r="P11" s="6">
        <f t="shared" ca="1" si="9"/>
        <v>9.4711592131719244E-3</v>
      </c>
      <c r="Q11" s="6">
        <f t="shared" si="10"/>
        <v>8.8454800570882171E-3</v>
      </c>
      <c r="R11" s="6">
        <f t="shared" ca="1" si="11"/>
        <v>1.8316639270260143E-2</v>
      </c>
      <c r="T11" s="18">
        <f t="shared" ca="1" si="12"/>
        <v>1.2892770742391071</v>
      </c>
      <c r="U11" s="18">
        <f t="shared" ca="1" si="13"/>
        <v>1.2648627458129682</v>
      </c>
      <c r="W11" s="18">
        <f t="shared" ca="1" si="1"/>
        <v>1.3005743505844087</v>
      </c>
      <c r="X11" s="18">
        <f t="shared" ca="1" si="14"/>
        <v>1.2533585413321133</v>
      </c>
      <c r="Y11" s="18"/>
    </row>
    <row r="12" spans="1:28" x14ac:dyDescent="0.25">
      <c r="A12" t="s">
        <v>30</v>
      </c>
      <c r="B12" s="12">
        <f>INDEX('2021 w 24- 2022'!I:I,MATCH(A12,'2021 w 24- 2022'!L:L,0))</f>
        <v>2.4024582980817764</v>
      </c>
      <c r="C12" s="12">
        <f t="shared" ca="1" si="2"/>
        <v>2.1446070317427015</v>
      </c>
      <c r="D12" s="12">
        <f t="shared" ca="1" si="3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>INDEX('2021 w 24- 2022'!K:K,MATCH(A12,'2021 w 24- 2022'!L:L,0))</f>
        <v>2.6760221419326231E-2</v>
      </c>
      <c r="I12" s="12">
        <f t="shared" ca="1" si="4"/>
        <v>3.0731660034080854</v>
      </c>
      <c r="J12" s="12">
        <f t="shared" ca="1" si="5"/>
        <v>3.7005717948047842E-2</v>
      </c>
      <c r="K12" s="40">
        <f t="shared" ca="1" si="6"/>
        <v>1.2791755868819161</v>
      </c>
      <c r="L12" s="41" t="s">
        <v>336</v>
      </c>
      <c r="M12" s="18">
        <f t="shared" ca="1" si="7"/>
        <v>1.5403271714474613E-2</v>
      </c>
      <c r="N12" s="42">
        <f t="shared" ca="1" si="8"/>
        <v>2.9651603086756136E-2</v>
      </c>
      <c r="O12" s="18"/>
      <c r="P12" s="6">
        <f t="shared" ca="1" si="9"/>
        <v>1.2041561668653489E-2</v>
      </c>
      <c r="Q12" s="6">
        <f t="shared" si="10"/>
        <v>1.1138683006773818E-2</v>
      </c>
      <c r="R12" s="6">
        <f t="shared" ca="1" si="11"/>
        <v>2.3180244675427307E-2</v>
      </c>
      <c r="T12" s="18">
        <f t="shared" ca="1" si="12"/>
        <v>1.2945788585963907</v>
      </c>
      <c r="U12" s="18">
        <f t="shared" ca="1" si="13"/>
        <v>1.263415263560298</v>
      </c>
      <c r="W12" s="18">
        <f t="shared" ca="1" si="1"/>
        <v>1.3088271899686723</v>
      </c>
      <c r="X12" s="18">
        <f t="shared" ca="1" si="14"/>
        <v>1.2488366523805903</v>
      </c>
      <c r="Y12" s="18"/>
    </row>
    <row r="13" spans="1:28" x14ac:dyDescent="0.25">
      <c r="A13" t="s">
        <v>31</v>
      </c>
      <c r="B13" s="12">
        <f>INDEX('2021 w 24- 2022'!I:I,MATCH(A13,'2021 w 24- 2022'!L:L,0))</f>
        <v>2.1922595346077749</v>
      </c>
      <c r="C13" s="12">
        <f t="shared" ca="1" si="2"/>
        <v>1.960101979684004</v>
      </c>
      <c r="D13" s="12">
        <f t="shared" ca="1" si="3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>INDEX('2021 w 24- 2022'!K:K,MATCH(A13,'2021 w 24- 2022'!L:L,0))</f>
        <v>3.0116271569353956E-2</v>
      </c>
      <c r="I13" s="12">
        <f t="shared" ca="1" si="4"/>
        <v>2.968907456971313</v>
      </c>
      <c r="J13" s="12">
        <f t="shared" ca="1" si="5"/>
        <v>4.4206832223180684E-2</v>
      </c>
      <c r="K13" s="40">
        <f t="shared" ca="1" si="6"/>
        <v>1.3542682379084696</v>
      </c>
      <c r="L13" s="41" t="s">
        <v>336</v>
      </c>
      <c r="M13" s="18">
        <f t="shared" ca="1" si="7"/>
        <v>2.0164962918539611E-2</v>
      </c>
      <c r="N13" s="42">
        <f t="shared" ca="1" si="8"/>
        <v>3.8769288449685725E-2</v>
      </c>
      <c r="O13" s="18"/>
      <c r="P13" s="6">
        <f t="shared" ca="1" si="9"/>
        <v>1.4889932698770486E-2</v>
      </c>
      <c r="Q13" s="6">
        <f t="shared" si="10"/>
        <v>1.3737548448953224E-2</v>
      </c>
      <c r="R13" s="6">
        <f t="shared" ca="1" si="11"/>
        <v>2.8627481147723711E-2</v>
      </c>
      <c r="T13" s="18">
        <f t="shared" ca="1" si="12"/>
        <v>1.3744332008270093</v>
      </c>
      <c r="U13" s="18">
        <f t="shared" ca="1" si="13"/>
        <v>1.3335260028941349</v>
      </c>
      <c r="W13" s="18">
        <f t="shared" ca="1" si="1"/>
        <v>1.3930375263581554</v>
      </c>
      <c r="X13" s="18">
        <f t="shared" ca="1" si="14"/>
        <v>1.3143890823845799</v>
      </c>
      <c r="Y13" s="18"/>
    </row>
    <row r="14" spans="1:28" x14ac:dyDescent="0.25">
      <c r="A14" t="s">
        <v>32</v>
      </c>
      <c r="B14" s="12">
        <f>INDEX('2021 w 24- 2022'!I:I,MATCH(A14,'2021 w 24- 2022'!L:L,0))</f>
        <v>2.1541117538825616</v>
      </c>
      <c r="C14" s="12">
        <f t="shared" ca="1" si="2"/>
        <v>1.8916074840965023</v>
      </c>
      <c r="D14" s="12">
        <f t="shared" ca="1" si="3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>INDEX('2021 w 24- 2022'!K:K,MATCH(A14,'2021 w 24- 2022'!L:L,0))</f>
        <v>3.490315822674573E-2</v>
      </c>
      <c r="I14" s="12">
        <f t="shared" ca="1" si="4"/>
        <v>2.602039539866686</v>
      </c>
      <c r="J14" s="12">
        <f t="shared" ca="1" si="5"/>
        <v>4.5141329660480345E-2</v>
      </c>
      <c r="K14" s="40">
        <f t="shared" ca="1" si="6"/>
        <v>1.2079408299856222</v>
      </c>
      <c r="L14" s="41" t="s">
        <v>336</v>
      </c>
      <c r="M14" s="18">
        <f t="shared" ca="1" si="7"/>
        <v>2.0955890324221946E-2</v>
      </c>
      <c r="N14" s="42">
        <f t="shared" ca="1" si="8"/>
        <v>4.052820352549575E-2</v>
      </c>
      <c r="O14" s="18"/>
      <c r="P14" s="6">
        <f t="shared" ca="1" si="9"/>
        <v>1.7348441085869561E-2</v>
      </c>
      <c r="Q14" s="6">
        <f t="shared" si="10"/>
        <v>1.6203039681593319E-2</v>
      </c>
      <c r="R14" s="6">
        <f t="shared" ca="1" si="11"/>
        <v>3.355148076746288E-2</v>
      </c>
      <c r="T14" s="18">
        <f t="shared" ca="1" si="12"/>
        <v>1.2288967203098442</v>
      </c>
      <c r="U14" s="18">
        <f t="shared" ca="1" si="13"/>
        <v>1.1862818385102221</v>
      </c>
      <c r="W14" s="18">
        <f t="shared" ca="1" si="1"/>
        <v>1.2484690335111179</v>
      </c>
      <c r="X14" s="18">
        <f t="shared" ca="1" si="14"/>
        <v>1.1660528452190011</v>
      </c>
      <c r="Y14" s="18"/>
    </row>
    <row r="15" spans="1:28" x14ac:dyDescent="0.25">
      <c r="A15" t="s">
        <v>33</v>
      </c>
      <c r="B15" s="12">
        <f>INDEX('2021 w 24- 2022'!I:I,MATCH(A15,'2021 w 24- 2022'!L:L,0))</f>
        <v>2.0794699708322977</v>
      </c>
      <c r="C15" s="12">
        <f t="shared" ca="1" si="2"/>
        <v>1.8398262680783668</v>
      </c>
      <c r="D15" s="12">
        <f t="shared" ca="1" si="3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>INDEX('2021 w 24- 2022'!K:K,MATCH(A15,'2021 w 24- 2022'!L:L,0))</f>
        <v>4.0478518832030796E-2</v>
      </c>
      <c r="I15" s="12">
        <f t="shared" ca="1" si="4"/>
        <v>2.8989187992677152</v>
      </c>
      <c r="J15" s="12">
        <f t="shared" ca="1" si="5"/>
        <v>6.3137912651678132E-2</v>
      </c>
      <c r="K15" s="40">
        <f t="shared" ca="1" si="6"/>
        <v>1.3940661995265251</v>
      </c>
      <c r="L15" s="41" t="s">
        <v>336</v>
      </c>
      <c r="M15" s="18">
        <f t="shared" ca="1" si="7"/>
        <v>3.0362502722945064E-2</v>
      </c>
      <c r="N15" s="42">
        <f t="shared" ca="1" si="8"/>
        <v>5.749909796218592E-2</v>
      </c>
      <c r="O15" s="18"/>
      <c r="P15" s="6">
        <f t="shared" ca="1" si="9"/>
        <v>2.1779814138853132E-2</v>
      </c>
      <c r="Q15" s="6">
        <f t="shared" si="10"/>
        <v>1.9465786666700201E-2</v>
      </c>
      <c r="R15" s="6">
        <f t="shared" ca="1" si="11"/>
        <v>4.1245600805553333E-2</v>
      </c>
      <c r="T15" s="18">
        <f t="shared" ca="1" si="12"/>
        <v>1.4244287022494702</v>
      </c>
      <c r="U15" s="18">
        <f t="shared" ca="1" si="13"/>
        <v>1.3624513771368119</v>
      </c>
      <c r="W15" s="18">
        <f t="shared" ca="1" si="1"/>
        <v>1.451565297488711</v>
      </c>
      <c r="X15" s="18">
        <f t="shared" ca="1" si="14"/>
        <v>1.3341955167231114</v>
      </c>
      <c r="Y15" s="18"/>
      <c r="AB15" s="12"/>
    </row>
    <row r="16" spans="1:28" x14ac:dyDescent="0.25">
      <c r="A16" t="s">
        <v>34</v>
      </c>
      <c r="B16" s="12">
        <f>INDEX('2021 w 24- 2022'!I:I,MATCH(A16,'2021 w 24- 2022'!L:L,0))</f>
        <v>1.8318552892696236</v>
      </c>
      <c r="C16" s="12">
        <f t="shared" ca="1" si="2"/>
        <v>1.6240278529391636</v>
      </c>
      <c r="D16" s="12">
        <f t="shared" ca="1" si="3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>INDEX('2021 w 24- 2022'!K:K,MATCH(A16,'2021 w 24- 2022'!L:L,0))</f>
        <v>4.8868070595348111E-2</v>
      </c>
      <c r="I16" s="12">
        <f t="shared" ca="1" si="4"/>
        <v>2.0201159707752376</v>
      </c>
      <c r="J16" s="12">
        <f t="shared" ca="1" si="5"/>
        <v>5.7579868328651057E-2</v>
      </c>
      <c r="K16" s="40">
        <f t="shared" ca="1" si="6"/>
        <v>1.1027704986351161</v>
      </c>
      <c r="L16" s="41" t="s">
        <v>336</v>
      </c>
      <c r="M16" s="18">
        <f t="shared" ca="1" si="7"/>
        <v>3.1432542005874628E-2</v>
      </c>
      <c r="N16" s="42">
        <f t="shared" ca="1" si="8"/>
        <v>6.0850950159312668E-2</v>
      </c>
      <c r="O16" s="18"/>
      <c r="P16" s="6">
        <f t="shared" ca="1" si="9"/>
        <v>2.8503248903355913E-2</v>
      </c>
      <c r="Q16" s="6">
        <f t="shared" si="10"/>
        <v>2.6676818240829618E-2</v>
      </c>
      <c r="R16" s="6">
        <f t="shared" ca="1" si="11"/>
        <v>5.5180067144185531E-2</v>
      </c>
      <c r="T16" s="18">
        <f t="shared" ca="1" si="12"/>
        <v>1.1342030406409906</v>
      </c>
      <c r="U16" s="18">
        <f t="shared" ca="1" si="13"/>
        <v>1.0696035068508449</v>
      </c>
      <c r="W16" s="18">
        <f t="shared" ca="1" si="1"/>
        <v>1.1636214487944287</v>
      </c>
      <c r="X16" s="18">
        <f t="shared" ca="1" si="14"/>
        <v>1.038561788960225</v>
      </c>
      <c r="Y16" s="18"/>
    </row>
    <row r="17" spans="1:25" x14ac:dyDescent="0.25">
      <c r="A17" t="s">
        <v>35</v>
      </c>
      <c r="B17" s="12">
        <f>INDEX('2021 w 24- 2022'!I:I,MATCH(A17,'2021 w 24- 2022'!L:L,0))</f>
        <v>1.9349832570516499</v>
      </c>
      <c r="C17" s="12">
        <f t="shared" ca="1" si="2"/>
        <v>1.6190987505545746</v>
      </c>
      <c r="D17" s="12">
        <f t="shared" ca="1" si="3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>INDEX('2021 w 24- 2022'!K:K,MATCH(A17,'2021 w 24- 2022'!L:L,0))</f>
        <v>6.2917638504273871E-2</v>
      </c>
      <c r="I17" s="12">
        <f t="shared" ca="1" si="4"/>
        <v>2.7467106476164753</v>
      </c>
      <c r="J17" s="12">
        <f t="shared" ca="1" si="5"/>
        <v>0.10523473378668392</v>
      </c>
      <c r="K17" s="40">
        <f t="shared" ca="1" si="6"/>
        <v>1.4195009892755668</v>
      </c>
      <c r="L17" s="41" t="s">
        <v>336</v>
      </c>
      <c r="M17" s="18">
        <f t="shared" ca="1" si="7"/>
        <v>5.4385345921303202E-2</v>
      </c>
      <c r="N17" s="42">
        <f t="shared" ca="1" si="8"/>
        <v>0.10054163682161009</v>
      </c>
      <c r="O17" s="18"/>
      <c r="P17" s="6">
        <f t="shared" ca="1" si="9"/>
        <v>3.8313003183645833E-2</v>
      </c>
      <c r="Q17" s="6">
        <f t="shared" si="10"/>
        <v>3.2515856803919843E-2</v>
      </c>
      <c r="R17" s="6">
        <f t="shared" ca="1" si="11"/>
        <v>7.0828859987565676E-2</v>
      </c>
      <c r="T17" s="18">
        <f t="shared" ca="1" si="12"/>
        <v>1.4738863351968701</v>
      </c>
      <c r="U17" s="18">
        <f t="shared" ca="1" si="13"/>
        <v>1.3612635913026283</v>
      </c>
      <c r="W17" s="18">
        <f t="shared" ca="1" si="1"/>
        <v>1.5200426260971769</v>
      </c>
      <c r="X17" s="18">
        <f t="shared" ca="1" si="14"/>
        <v>1.3118381029365982</v>
      </c>
      <c r="Y17" s="18"/>
    </row>
    <row r="18" spans="1:25" x14ac:dyDescent="0.25">
      <c r="A18" t="s">
        <v>36</v>
      </c>
      <c r="B18" s="12">
        <f>INDEX('2021 w 24- 2022'!I:I,MATCH(A18,'2021 w 24- 2022'!L:L,0))</f>
        <v>1.5419253129322443</v>
      </c>
      <c r="C18" s="12">
        <f t="shared" ca="1" si="2"/>
        <v>1.4078882085972073</v>
      </c>
      <c r="D18" s="12">
        <f t="shared" ca="1" si="3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>INDEX('2021 w 24- 2022'!K:K,MATCH(A18,'2021 w 24- 2022'!L:L,0))</f>
        <v>6.4510210037088206E-2</v>
      </c>
      <c r="I18" s="12">
        <f t="shared" ca="1" si="4"/>
        <v>1.4763336225620449</v>
      </c>
      <c r="J18" s="12">
        <f t="shared" ca="1" si="5"/>
        <v>7.2153667627477006E-2</v>
      </c>
      <c r="K18" s="40">
        <f t="shared" ca="1" si="6"/>
        <v>0.95746117544080966</v>
      </c>
      <c r="L18" s="41" t="s">
        <v>336</v>
      </c>
      <c r="M18" s="18">
        <f t="shared" ca="1" si="7"/>
        <v>4.6794528257833722E-2</v>
      </c>
      <c r="N18" s="42">
        <f t="shared" ca="1" si="8"/>
        <v>8.6852254148969757E-2</v>
      </c>
      <c r="O18" s="18"/>
      <c r="P18" s="6">
        <f t="shared" ca="1" si="9"/>
        <v>4.887355169914831E-2</v>
      </c>
      <c r="Q18" s="6">
        <f t="shared" si="10"/>
        <v>4.1837441474004082E-2</v>
      </c>
      <c r="R18" s="6">
        <f t="shared" ca="1" si="11"/>
        <v>9.0710993173152399E-2</v>
      </c>
      <c r="T18" s="18">
        <f t="shared" ca="1" si="12"/>
        <v>1.0042557036986435</v>
      </c>
      <c r="U18" s="18">
        <f t="shared" ca="1" si="13"/>
        <v>0.90642186904963873</v>
      </c>
      <c r="W18" s="18">
        <f t="shared" ca="1" si="1"/>
        <v>1.0443134295897794</v>
      </c>
      <c r="X18" s="18">
        <f t="shared" ca="1" si="14"/>
        <v>0.86273046705865986</v>
      </c>
      <c r="Y18" s="18"/>
    </row>
    <row r="19" spans="1:25" x14ac:dyDescent="0.25">
      <c r="A19" t="s">
        <v>37</v>
      </c>
      <c r="B19" s="12">
        <f>INDEX('2021 w 24- 2022'!I:I,MATCH(A19,'2021 w 24- 2022'!L:L,0))</f>
        <v>1.223639650299905</v>
      </c>
      <c r="C19" s="12">
        <f t="shared" ca="1" si="2"/>
        <v>1.0606423337262592</v>
      </c>
      <c r="D19" s="12">
        <f t="shared" ca="1" si="3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>INDEX('2021 w 24- 2022'!K:K,MATCH(A19,'2021 w 24- 2022'!L:L,0))</f>
        <v>6.3471186512841712E-2</v>
      </c>
      <c r="I19" s="12">
        <f t="shared" ca="1" si="4"/>
        <v>1.7157724164027301</v>
      </c>
      <c r="J19" s="12">
        <f t="shared" ca="1" si="5"/>
        <v>0.11597989387100309</v>
      </c>
      <c r="K19" s="40">
        <f t="shared" ca="1" si="6"/>
        <v>1.4021876587459445</v>
      </c>
      <c r="L19" s="41" t="s">
        <v>336</v>
      </c>
      <c r="M19" s="18">
        <f t="shared" ca="1" si="7"/>
        <v>9.4782719604237467E-2</v>
      </c>
      <c r="N19" s="42">
        <f t="shared" ca="1" si="8"/>
        <v>0.16751533691723136</v>
      </c>
      <c r="O19" s="18"/>
      <c r="P19" s="6">
        <f t="shared" ca="1" si="9"/>
        <v>6.7596315666482901E-2</v>
      </c>
      <c r="Q19" s="6">
        <f t="shared" si="10"/>
        <v>5.1870815478466552E-2</v>
      </c>
      <c r="R19" s="6">
        <f t="shared" ca="1" si="11"/>
        <v>0.11946713114494945</v>
      </c>
      <c r="T19" s="18">
        <f t="shared" ca="1" si="12"/>
        <v>1.496970378350182</v>
      </c>
      <c r="U19" s="18">
        <f t="shared" ca="1" si="13"/>
        <v>1.2960815195484727</v>
      </c>
      <c r="W19" s="18">
        <f t="shared" ca="1" si="1"/>
        <v>1.5697029956631758</v>
      </c>
      <c r="X19" s="18">
        <f t="shared" ca="1" si="14"/>
        <v>1.2146597451044319</v>
      </c>
      <c r="Y19" s="18"/>
    </row>
    <row r="20" spans="1:25" x14ac:dyDescent="0.25">
      <c r="A20" t="s">
        <v>38</v>
      </c>
      <c r="B20" s="12">
        <f>INDEX('2021 w 24- 2022'!I:I,MATCH(A20,'2021 w 24- 2022'!L:L,0))</f>
        <v>1.4585924190121249</v>
      </c>
      <c r="C20" s="12">
        <f t="shared" ca="1" si="2"/>
        <v>1.0991988896701756</v>
      </c>
      <c r="D20" s="12">
        <f t="shared" ca="1" si="3"/>
        <v>2.3418528199963906</v>
      </c>
      <c r="E20" s="12">
        <f t="shared" ca="1" si="3"/>
        <v>0.97555244296542798</v>
      </c>
      <c r="F20" s="12">
        <f t="shared" ca="1" si="3"/>
        <v>1.092369041102458</v>
      </c>
      <c r="G20" s="12">
        <f t="shared" ca="1" si="3"/>
        <v>1.7122625062503674</v>
      </c>
      <c r="H20" s="12">
        <f>INDEX('2021 w 24- 2022'!K:K,MATCH(A20,'2021 w 24- 2022'!L:L,0))</f>
        <v>7.9697566648746887E-2</v>
      </c>
      <c r="I20" s="12">
        <f t="shared" ca="1" si="4"/>
        <v>0.87002760940093993</v>
      </c>
      <c r="J20" s="12">
        <f t="shared" ca="1" si="5"/>
        <v>5.092590477874618E-2</v>
      </c>
      <c r="K20" s="40">
        <f t="shared" ca="1" si="6"/>
        <v>0.59648439006024179</v>
      </c>
      <c r="L20" s="41" t="s">
        <v>336</v>
      </c>
      <c r="M20" s="18">
        <f t="shared" ca="1" si="7"/>
        <v>3.4914417567888684E-2</v>
      </c>
      <c r="N20" s="42">
        <f t="shared" ca="1" si="8"/>
        <v>6.7506356078003815E-2</v>
      </c>
      <c r="O20" s="18"/>
      <c r="P20" s="6">
        <f t="shared" ca="1" si="9"/>
        <v>5.8533665171627558E-2</v>
      </c>
      <c r="Q20" s="6">
        <f t="shared" si="10"/>
        <v>5.4640052704184788E-2</v>
      </c>
      <c r="R20" s="6">
        <f t="shared" ca="1" si="11"/>
        <v>0.11317371787581235</v>
      </c>
      <c r="T20" s="18">
        <f t="shared" ca="1" si="12"/>
        <v>0.6313988076281305</v>
      </c>
      <c r="U20" s="18">
        <f t="shared" ca="1" si="13"/>
        <v>0.55761857804872661</v>
      </c>
      <c r="W20" s="18">
        <f t="shared" ca="1" si="1"/>
        <v>0.6639907461382456</v>
      </c>
      <c r="X20" s="18">
        <f t="shared" ca="1" si="14"/>
        <v>0.52133808868464182</v>
      </c>
      <c r="Y20" s="18"/>
    </row>
    <row r="21" spans="1:25" ht="14.95" thickBot="1" x14ac:dyDescent="0.3">
      <c r="A21" t="s">
        <v>39</v>
      </c>
      <c r="B21" s="12">
        <f>INDEX('2021 w 24- 2022'!I:I,MATCH(A21,'2021 w 24- 2022'!L:L,0))</f>
        <v>1.188085165155462</v>
      </c>
      <c r="C21" s="12">
        <f t="shared" ca="1" si="2"/>
        <v>0.96170523472493641</v>
      </c>
      <c r="D21" s="12">
        <f t="shared" ca="1" si="3"/>
        <v>0.61295912150809639</v>
      </c>
      <c r="E21" s="12">
        <f t="shared" ca="1" si="3"/>
        <v>2.5927957525337457</v>
      </c>
      <c r="F21" s="12">
        <f t="shared" ca="1" si="3"/>
        <v>2.0737499038063816</v>
      </c>
      <c r="G21" s="12">
        <f t="shared" ca="1" si="3"/>
        <v>1.5238038671343099</v>
      </c>
      <c r="H21" s="12">
        <f>INDEX('2021 w 24- 2022'!K:K,MATCH(A21,'2021 w 24- 2022'!L:L,0))</f>
        <v>0.10045828881538912</v>
      </c>
      <c r="I21" s="12">
        <f t="shared" ca="1" si="4"/>
        <v>1.2878051926255225</v>
      </c>
      <c r="J21" s="12">
        <f t="shared" ca="1" si="5"/>
        <v>0.18720311289341121</v>
      </c>
      <c r="K21" s="43">
        <f t="shared" ca="1" si="6"/>
        <v>1.0839334000580776</v>
      </c>
      <c r="L21" s="44" t="s">
        <v>336</v>
      </c>
      <c r="M21" s="45">
        <f t="shared" ca="1" si="7"/>
        <v>0.15756708221242333</v>
      </c>
      <c r="N21" s="46">
        <f t="shared" ca="1" si="8"/>
        <v>0.24921884064965008</v>
      </c>
      <c r="O21" s="18"/>
      <c r="P21" s="6">
        <f t="shared" ca="1" si="9"/>
        <v>0.14536601806345373</v>
      </c>
      <c r="Q21" s="6">
        <f t="shared" si="10"/>
        <v>8.4554787621007002E-2</v>
      </c>
      <c r="R21" s="6">
        <f t="shared" ca="1" si="11"/>
        <v>0.22992080568446072</v>
      </c>
      <c r="T21" s="18">
        <f t="shared" ca="1" si="12"/>
        <v>1.2415004822705009</v>
      </c>
      <c r="U21" s="18">
        <f t="shared" ca="1" si="13"/>
        <v>0.89013836735402418</v>
      </c>
      <c r="W21" s="18">
        <f t="shared" ca="1" si="1"/>
        <v>1.3331522407077276</v>
      </c>
      <c r="X21" s="18">
        <f t="shared" ca="1" si="14"/>
        <v>0.77741396277451269</v>
      </c>
      <c r="Y21" s="18"/>
    </row>
    <row r="22" spans="1:25" x14ac:dyDescent="0.25">
      <c r="A22" t="s">
        <v>40</v>
      </c>
      <c r="B22" s="12">
        <f>INDEX('2021 w 24- 2022'!I:I,MATCH(A22,'2021 w 24- 2022'!L:L,0))</f>
        <v>4.169495474334771</v>
      </c>
      <c r="C22" s="12">
        <f t="shared" ca="1" si="2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3"/>
        <v>1.5574682653943712</v>
      </c>
      <c r="F22" s="12" t="str">
        <f t="shared" ca="1" si="3"/>
        <v/>
      </c>
      <c r="G22" s="12">
        <f t="shared" ca="1" si="3"/>
        <v>4.7192125525526345</v>
      </c>
      <c r="H22" s="12">
        <f>INDEX('2021 w 24- 2022'!K:K,MATCH(A22,'2021 w 24- 2022'!L:L,0))</f>
        <v>1.5846978656176822</v>
      </c>
      <c r="I22" s="12" t="str">
        <f t="shared" ca="1" si="4"/>
        <v/>
      </c>
    </row>
    <row r="23" spans="1:25" x14ac:dyDescent="0.25">
      <c r="A23" t="s">
        <v>41</v>
      </c>
      <c r="B23" s="12">
        <f>INDEX('2021 w 24- 2022'!I:I,MATCH(A23,'2021 w 24- 2022'!L:L,0))</f>
        <v>1.1866448999788284</v>
      </c>
      <c r="C23" s="12">
        <f t="shared" ca="1" si="2"/>
        <v>1.081861479348635</v>
      </c>
      <c r="D23" s="12" t="str">
        <f t="shared" ca="1" si="3"/>
        <v/>
      </c>
      <c r="E23" s="12" t="str">
        <f t="shared" ca="1" si="3"/>
        <v/>
      </c>
      <c r="F23" s="12">
        <f t="shared" ca="1" si="3"/>
        <v>0.12947910987758335</v>
      </c>
      <c r="G23" s="12" t="str">
        <f t="shared" ca="1" si="3"/>
        <v/>
      </c>
      <c r="H23" s="12">
        <f>INDEX('2021 w 24- 2022'!K:K,MATCH(A23,'2021 w 24- 2022'!L:L,0))</f>
        <v>0.44451529636258202</v>
      </c>
      <c r="I23" s="12" t="str">
        <f t="shared" ca="1" si="4"/>
        <v/>
      </c>
    </row>
    <row r="24" spans="1:25" x14ac:dyDescent="0.25">
      <c r="A24" t="s">
        <v>42</v>
      </c>
      <c r="B24" s="12">
        <f>INDEX('2021 w 24- 2022'!I:I,MATCH(A24,'2021 w 24- 2022'!L:L,0))</f>
        <v>1.3965035375924615E-2</v>
      </c>
      <c r="C24" s="12">
        <f t="shared" ca="1" si="2"/>
        <v>1.5335303478330569E-2</v>
      </c>
      <c r="D24" s="12">
        <f t="shared" ca="1" si="3"/>
        <v>5.7114275037180688E-3</v>
      </c>
      <c r="E24" s="12" t="str">
        <f t="shared" ca="1" si="3"/>
        <v/>
      </c>
      <c r="F24" s="12" t="str">
        <f t="shared" ca="1" si="3"/>
        <v/>
      </c>
      <c r="G24" s="12">
        <f t="shared" ca="1" si="3"/>
        <v>1.327976658807207E-2</v>
      </c>
      <c r="H24" s="12">
        <f>INDEX('2021 w 24- 2022'!K:K,MATCH(A24,'2021 w 24- 2022'!L:L,0))</f>
        <v>5.0708698147918282E-3</v>
      </c>
      <c r="I24" s="12" t="str">
        <f t="shared" ca="1" si="4"/>
        <v/>
      </c>
    </row>
  </sheetData>
  <conditionalFormatting sqref="K4:L21">
    <cfRule type="colorScale" priority="7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T4:T21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U4:U21">
    <cfRule type="colorScale" priority="1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W4:Y21">
    <cfRule type="colorScale" priority="6">
      <colorScale>
        <cfvo type="min"/>
        <cfvo type="num" val="1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I3" sqref="I3"/>
    </sheetView>
  </sheetViews>
  <sheetFormatPr defaultRowHeight="14.3" x14ac:dyDescent="0.25"/>
  <cols>
    <col min="1" max="1" width="10.75" bestFit="1" customWidth="1"/>
    <col min="2" max="2" width="17.625" style="12" customWidth="1"/>
    <col min="3" max="3" width="13.75" style="12" hidden="1" customWidth="1"/>
    <col min="4" max="4" width="14.375" style="12" hidden="1" customWidth="1"/>
    <col min="5" max="5" width="21.875" style="12" hidden="1" customWidth="1"/>
    <col min="6" max="6" width="15.75" style="12" hidden="1" customWidth="1"/>
    <col min="7" max="7" width="22.375" style="12" hidden="1" customWidth="1"/>
    <col min="8" max="9" width="15.625" style="12" customWidth="1"/>
    <col min="12" max="12" width="19.625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24- 2022'!I:I,MATCH(A4,'2021 w 24- 2022'!L:L,0))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24- 2022'!I:I,MATCH(A5,'2021 w 24- 2022'!L:L,0))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24- 2022'!I:I,MATCH(A6,'2021 w 24- 2022'!L:L,0))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24- 2022'!I:I,MATCH(A7,'2021 w 24- 2022'!L:L,0))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24- 2022'!I:I,MATCH(A8,'2021 w 24- 2022'!L:L,0))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24- 2022'!I:I,MATCH(A9,'2021 w 24- 2022'!L:L,0))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24- 2022'!I:I,MATCH(A10,'2021 w 24- 2022'!L:L,0))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24- 2022'!I:I,MATCH(A11,'2021 w 24- 2022'!L:L,0))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24- 2022'!I:I,MATCH(A12,'2021 w 24- 2022'!L:L,0))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24- 2022'!I:I,MATCH(A13,'2021 w 24- 2022'!L:L,0))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24- 2022'!I:I,MATCH(A14,'2021 w 24- 2022'!L:L,0))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24- 2022'!I:I,MATCH(A15,'2021 w 24- 2022'!L:L,0))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24- 2022'!I:I,MATCH(A16,'2021 w 24- 2022'!L:L,0))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24- 2022'!I:I,MATCH(A17,'2021 w 24- 2022'!L:L,0))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24- 2022'!I:I,MATCH(A18,'2021 w 24- 2022'!L:L,0))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24- 2022'!I:I,MATCH(A19,'2021 w 24- 2022'!L:L,0))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24- 2022'!I:I,MATCH(A20,'2021 w 24- 2022'!L:L,0))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24- 2022'!I:I,MATCH(A21,'2021 w 24- 2022'!L:L,0))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24- 2022'!I:I,MATCH(A22,'2021 w 24- 2022'!L:L,0))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24- 2022'!I:I,MATCH(A23,'2021 w 24- 2022'!L:L,0))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24- 2022'!I:I,MATCH(A24,'2021 w 24- 2022'!L:L,0))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827-BA4E-4CB5-9C01-F3EE63FFED51}">
  <dimension ref="A2:W36"/>
  <sheetViews>
    <sheetView topLeftCell="B1" zoomScaleNormal="100" workbookViewId="0">
      <selection activeCell="K25" sqref="K25"/>
    </sheetView>
  </sheetViews>
  <sheetFormatPr defaultRowHeight="14.3" x14ac:dyDescent="0.25"/>
  <cols>
    <col min="1" max="1" width="15.625" customWidth="1"/>
    <col min="2" max="2" width="15.625" style="23" customWidth="1"/>
    <col min="3" max="3" width="15.625" style="6" customWidth="1"/>
    <col min="4" max="4" width="23.25" customWidth="1"/>
    <col min="5" max="5" width="23.25" style="27" customWidth="1"/>
    <col min="6" max="6" width="23.25" style="19" customWidth="1"/>
    <col min="7" max="8" width="15.625" customWidth="1"/>
    <col min="11" max="11" width="9" style="12"/>
    <col min="12" max="12" width="12.25" bestFit="1" customWidth="1"/>
    <col min="13" max="13" width="25.75" bestFit="1" customWidth="1"/>
    <col min="14" max="14" width="26.125" bestFit="1" customWidth="1"/>
    <col min="15" max="15" width="24.625" bestFit="1" customWidth="1"/>
    <col min="16" max="16" width="25" bestFit="1" customWidth="1"/>
    <col min="17" max="17" width="30.25" bestFit="1" customWidth="1"/>
    <col min="18" max="18" width="30.625" bestFit="1" customWidth="1"/>
    <col min="19" max="19" width="30.25" bestFit="1" customWidth="1"/>
    <col min="20" max="20" width="30.625" bestFit="1" customWidth="1"/>
  </cols>
  <sheetData>
    <row r="2" spans="1:23" x14ac:dyDescent="0.25">
      <c r="L2" s="1" t="s">
        <v>257</v>
      </c>
      <c r="M2" t="s">
        <v>205</v>
      </c>
    </row>
    <row r="4" spans="1:23" ht="51.65" customHeight="1" x14ac:dyDescent="0.25">
      <c r="A4" s="5" t="s">
        <v>200</v>
      </c>
      <c r="B4" s="24" t="s">
        <v>321</v>
      </c>
      <c r="C4" s="26" t="s">
        <v>323</v>
      </c>
      <c r="D4" s="5" t="s">
        <v>201</v>
      </c>
      <c r="E4" s="24" t="s">
        <v>322</v>
      </c>
      <c r="F4" s="24" t="s">
        <v>326</v>
      </c>
      <c r="G4" s="5" t="s">
        <v>202</v>
      </c>
      <c r="H4" s="5" t="s">
        <v>203</v>
      </c>
      <c r="I4" s="5" t="s">
        <v>204</v>
      </c>
      <c r="J4" s="5" t="s">
        <v>325</v>
      </c>
      <c r="K4" s="25" t="s">
        <v>324</v>
      </c>
      <c r="L4" s="1" t="s">
        <v>194</v>
      </c>
      <c r="M4" t="s">
        <v>197</v>
      </c>
      <c r="N4" t="s">
        <v>193</v>
      </c>
      <c r="O4" t="s">
        <v>198</v>
      </c>
      <c r="P4" t="s">
        <v>192</v>
      </c>
      <c r="Q4" t="s">
        <v>199</v>
      </c>
      <c r="R4" t="s">
        <v>191</v>
      </c>
      <c r="S4" t="s">
        <v>196</v>
      </c>
      <c r="T4" t="s">
        <v>190</v>
      </c>
    </row>
    <row r="5" spans="1:23" s="2" customFormat="1" x14ac:dyDescent="0.25">
      <c r="A5" s="6">
        <f t="shared" ref="A5:A25" si="0">52*GETPIVOTDATA("Average of uvax_died_at_week",$L$4,"age",L5)/GETPIVOTDATA("Average of uvax_alive_at_week",$L$4,"age",L5)</f>
        <v>0.39467162329615862</v>
      </c>
      <c r="B5" s="23">
        <f>IFERROR((GETPIVOTDATA("Average of uvax_died_at_week",$L$4,"age",L5)/GETPIVOTDATA("Average of uvax_alive_at_week",$L$4,"age",L5))*SQRT((SQRT(GETPIVOTDATA("Average of uvax_died_at_week",$L$4,"age",L5))/GETPIVOTDATA("Average of uvax_died_at_week",$L$4,"age",L5))^2+(SQRT(GETPIVOTDATA("Average of uvax_alive_at_week",$L$4,"age",L5))/GETPIVOTDATA("Average of uvax_alive_at_week",$L$4,"age",L5))^2)*1.96,"")</f>
        <v>4.1309326380054188E-3</v>
      </c>
      <c r="C5" s="6">
        <f>B5/A5</f>
        <v>1.0466758677771972E-2</v>
      </c>
      <c r="D5" s="6">
        <f>IFERROR(52*GETPIVOTDATA("Average of vax_died_at_week",$L$4,"age",L5)/GETPIVOTDATA("Average of vax_alive_at_week",$L$4,"age",L5),"")</f>
        <v>0.32708916669953064</v>
      </c>
      <c r="E5" s="27">
        <f>IFERROR((GETPIVOTDATA("Average of vax_died_at_week",$L$4,"age",L5)/GETPIVOTDATA("Average of vax_alive_at_week",$L$4,"age",L5))*SQRT((SQRT(GETPIVOTDATA("Average of vax_died_at_week",$L$4,"age",L5))/GETPIVOTDATA("Average of vax_died_at_week",$L$4,"age",L5))^2+(SQRT(GETPIVOTDATA("Average of vax_alive_at_week",$L$4,"age",L5))/GETPIVOTDATA("Average of vax_alive_at_week",$L$4,"age",L5))^2)*1.96,"")</f>
        <v>2.6818272085228283E-3</v>
      </c>
      <c r="F5" s="20">
        <f>E5/D5</f>
        <v>8.1990707169656823E-3</v>
      </c>
      <c r="G5" s="6">
        <f t="shared" ref="G5:G36" si="1">IFERROR(52*GETPIVOTDATA("Average of vax_CO01_died_at_week",$L$4,"age",L5)/GETPIVOTDATA("Average of vax_CO01_alive_at_week",$L$4,"age",L5),"")</f>
        <v>0.32530012809437275</v>
      </c>
      <c r="H5" s="6">
        <f t="shared" ref="H5:H36" si="2">IFERROR(52*GETPIVOTDATA("Average of vax_CO02_died_at_week",$L$4,"age",L5)/GETPIVOTDATA("Average of vax_CO02_alive_at_week",$L$4,"age",L5),"")</f>
        <v>0.26701777485187628</v>
      </c>
      <c r="I5" s="7">
        <f>IFERROR(A5/D5,"")</f>
        <v>1.206617838427863</v>
      </c>
      <c r="J5" s="6">
        <f>F5+C5</f>
        <v>1.8665829394737654E-2</v>
      </c>
      <c r="K5" s="12">
        <f>J5*I5</f>
        <v>2.2522522716741614E-2</v>
      </c>
      <c r="L5" s="3" t="s">
        <v>22</v>
      </c>
      <c r="M5" s="2">
        <v>13.066666666666666</v>
      </c>
      <c r="N5" s="2">
        <v>1721.6</v>
      </c>
      <c r="O5" s="2">
        <v>21.266666666666666</v>
      </c>
      <c r="P5" s="2">
        <v>3380.9333333333334</v>
      </c>
      <c r="Q5" s="2">
        <v>14</v>
      </c>
      <c r="R5" s="2">
        <v>2237.9333333333334</v>
      </c>
      <c r="S5" s="2">
        <v>2.6</v>
      </c>
      <c r="T5" s="2">
        <v>506.33333333333331</v>
      </c>
      <c r="V5" s="8"/>
      <c r="W5" s="9"/>
    </row>
    <row r="6" spans="1:23" x14ac:dyDescent="0.25">
      <c r="A6" s="6">
        <f t="shared" si="0"/>
        <v>0.29866370226267402</v>
      </c>
      <c r="B6" s="23">
        <f>IFERROR((GETPIVOTDATA("Average of uvax_died_at_week",$L$4,"age",L6)/GETPIVOTDATA("Average of uvax_alive_at_week",$L$4,"age",L6))*SQRT((SQRT(GETPIVOTDATA("Average of uvax_died_at_week",$L$4,"age",L6))/GETPIVOTDATA("Average of uvax_died_at_week",$L$4,"age",L6))^2+(SQRT(GETPIVOTDATA("Average of uvax_alive_at_week",$L$4,"age",L6))/GETPIVOTDATA("Average of uvax_alive_at_week",$L$4,"age",L6))^2)*1.96,"")</f>
        <v>1.6030163726999287E-3</v>
      </c>
      <c r="C6" s="6">
        <f t="shared" ref="C6:C25" si="3">B6/A6</f>
        <v>5.3672955921844146E-3</v>
      </c>
      <c r="D6" s="6">
        <f t="shared" ref="D6:D22" si="4">IFERROR(52*GETPIVOTDATA("Average of vax_died_at_week",$L$4,"age",L6)/GETPIVOTDATA("Average of vax_alive_at_week",$L$4,"age",L6),"")</f>
        <v>0.21300274705923783</v>
      </c>
      <c r="E6" s="27">
        <f t="shared" ref="E6:E25" si="5">IFERROR((GETPIVOTDATA("Average of vax_died_at_week",$L$4,"age",L6)/GETPIVOTDATA("Average of vax_alive_at_week",$L$4,"age",L6))*SQRT((SQRT(GETPIVOTDATA("Average of vax_died_at_week",$L$4,"age",L6))/GETPIVOTDATA("Average of vax_died_at_week",$L$4,"age",L6))^2+(SQRT(GETPIVOTDATA("Average of vax_alive_at_week",$L$4,"age",L6))/GETPIVOTDATA("Average of vax_alive_at_week",$L$4,"age",L6))^2)*1.96,"")</f>
        <v>8.013003443092247E-4</v>
      </c>
      <c r="F6" s="20">
        <f t="shared" ref="F6:F22" si="6">E6/D6</f>
        <v>3.76192492994645E-3</v>
      </c>
      <c r="G6" s="6">
        <f t="shared" si="1"/>
        <v>0.2044767718059986</v>
      </c>
      <c r="H6" s="6">
        <f t="shared" si="2"/>
        <v>0.25942586079986912</v>
      </c>
      <c r="I6" s="7">
        <f t="shared" ref="I6:I36" si="7">IFERROR(A6/D6,"")</f>
        <v>1.4021589222960265</v>
      </c>
      <c r="J6" s="6">
        <f t="shared" ref="J6:J25" si="8">F6+C6</f>
        <v>9.129220522130865E-3</v>
      </c>
      <c r="K6" s="12">
        <f t="shared" ref="K6:K25" si="9">J6*I6</f>
        <v>1.2800618008713781E-2</v>
      </c>
      <c r="L6" s="3" t="s">
        <v>23</v>
      </c>
      <c r="M6" s="2">
        <v>49.6</v>
      </c>
      <c r="N6" s="2">
        <v>8635.7999999999993</v>
      </c>
      <c r="O6" s="2">
        <v>100.8</v>
      </c>
      <c r="P6" s="2">
        <v>24608.133333333335</v>
      </c>
      <c r="Q6" s="2">
        <v>65.666666666666671</v>
      </c>
      <c r="R6" s="2">
        <v>16699.533333333333</v>
      </c>
      <c r="S6" s="2">
        <v>16.266666666666666</v>
      </c>
      <c r="T6" s="2">
        <v>3260.5333333333333</v>
      </c>
    </row>
    <row r="7" spans="1:23" x14ac:dyDescent="0.25">
      <c r="A7" s="6">
        <f t="shared" si="0"/>
        <v>0.2087642114890329</v>
      </c>
      <c r="B7" s="23">
        <f t="shared" ref="B7:B36" si="10">IFERROR((GETPIVOTDATA("Average of uvax_died_at_week",$L$4,"age",L7)/GETPIVOTDATA("Average of uvax_alive_at_week",$L$4,"age",L7))*SQRT((SQRT(GETPIVOTDATA("Average of uvax_died_at_week",$L$4,"age",L7))/GETPIVOTDATA("Average of uvax_died_at_week",$L$4,"age",L7))^2+(SQRT(GETPIVOTDATA("Average of uvax_alive_at_week",$L$4,"age",L7))/GETPIVOTDATA("Average of uvax_alive_at_week",$L$4,"age",L7))^2)*1.96,"")</f>
        <v>8.5587480089810897E-4</v>
      </c>
      <c r="C7" s="6">
        <f t="shared" si="3"/>
        <v>4.0997199414281359E-3</v>
      </c>
      <c r="D7" s="6">
        <f t="shared" si="4"/>
        <v>0.1173571718566805</v>
      </c>
      <c r="E7" s="27">
        <f t="shared" si="5"/>
        <v>3.1450462097113422E-4</v>
      </c>
      <c r="F7" s="20">
        <f t="shared" si="6"/>
        <v>2.6798926388172943E-3</v>
      </c>
      <c r="G7" s="6">
        <f t="shared" si="1"/>
        <v>0.10979965662939875</v>
      </c>
      <c r="H7" s="6">
        <f t="shared" si="2"/>
        <v>0.1486057002255485</v>
      </c>
      <c r="I7" s="7">
        <f t="shared" si="7"/>
        <v>1.778879025339678</v>
      </c>
      <c r="J7" s="6">
        <f t="shared" si="8"/>
        <v>6.7796125802454307E-3</v>
      </c>
      <c r="K7" s="12">
        <f t="shared" si="9"/>
        <v>1.2060110618927611E-2</v>
      </c>
      <c r="L7" s="3" t="s">
        <v>24</v>
      </c>
      <c r="M7" s="2">
        <v>84.86666666666666</v>
      </c>
      <c r="N7" s="2">
        <v>21139</v>
      </c>
      <c r="O7" s="2">
        <v>198.26666666666668</v>
      </c>
      <c r="P7" s="2">
        <v>87850.333333333328</v>
      </c>
      <c r="Q7" s="2">
        <v>128.4</v>
      </c>
      <c r="R7" s="2">
        <v>60808.933333333334</v>
      </c>
      <c r="S7" s="2">
        <v>29.733333333333334</v>
      </c>
      <c r="T7" s="2">
        <v>10404.266666666666</v>
      </c>
    </row>
    <row r="8" spans="1:23" x14ac:dyDescent="0.25">
      <c r="A8" s="6">
        <f t="shared" si="0"/>
        <v>0.13112466286019903</v>
      </c>
      <c r="B8" s="23">
        <f t="shared" si="10"/>
        <v>5.5166569968622856E-4</v>
      </c>
      <c r="C8" s="6">
        <f t="shared" si="3"/>
        <v>4.2071848853819137E-3</v>
      </c>
      <c r="D8" s="6">
        <f t="shared" si="4"/>
        <v>5.9551849009657272E-2</v>
      </c>
      <c r="E8" s="27">
        <f t="shared" si="5"/>
        <v>1.6066979484051039E-4</v>
      </c>
      <c r="F8" s="20">
        <f t="shared" si="6"/>
        <v>2.697981633021256E-3</v>
      </c>
      <c r="G8" s="6">
        <f t="shared" si="1"/>
        <v>5.405387482260568E-2</v>
      </c>
      <c r="H8" s="6">
        <f t="shared" si="2"/>
        <v>7.7014339029660192E-2</v>
      </c>
      <c r="I8" s="7">
        <f t="shared" si="7"/>
        <v>2.2018571218323566</v>
      </c>
      <c r="J8" s="6">
        <f t="shared" si="8"/>
        <v>6.9051665184031701E-3</v>
      </c>
      <c r="K8" s="12">
        <f t="shared" si="9"/>
        <v>1.5204190075984359E-2</v>
      </c>
      <c r="L8" s="3" t="s">
        <v>25</v>
      </c>
      <c r="M8" s="2">
        <v>80.466666666666669</v>
      </c>
      <c r="N8" s="2">
        <v>31910.6</v>
      </c>
      <c r="O8" s="2">
        <v>195.4</v>
      </c>
      <c r="P8" s="2">
        <v>170621.06666666668</v>
      </c>
      <c r="Q8" s="2">
        <v>125.4</v>
      </c>
      <c r="R8" s="2">
        <v>120635.2</v>
      </c>
      <c r="S8" s="2">
        <v>25.133333333333333</v>
      </c>
      <c r="T8" s="2">
        <v>16970</v>
      </c>
      <c r="V8" s="4"/>
    </row>
    <row r="9" spans="1:23" x14ac:dyDescent="0.25">
      <c r="A9" s="6">
        <f t="shared" si="0"/>
        <v>8.983135027748386E-2</v>
      </c>
      <c r="B9" s="23">
        <f t="shared" si="10"/>
        <v>3.45875534087203E-4</v>
      </c>
      <c r="C9" s="6">
        <f t="shared" si="3"/>
        <v>3.8502764682798759E-3</v>
      </c>
      <c r="D9" s="6">
        <f t="shared" si="4"/>
        <v>3.3507867351371179E-2</v>
      </c>
      <c r="E9" s="27">
        <f t="shared" si="5"/>
        <v>8.7939612882379558E-5</v>
      </c>
      <c r="F9" s="20">
        <f t="shared" si="6"/>
        <v>2.6244467294866789E-3</v>
      </c>
      <c r="G9" s="6">
        <f t="shared" si="1"/>
        <v>3.2066943242635246E-2</v>
      </c>
      <c r="H9" s="6">
        <f t="shared" si="2"/>
        <v>3.7885481388588042E-2</v>
      </c>
      <c r="I9" s="7">
        <f t="shared" si="7"/>
        <v>2.6809032438708118</v>
      </c>
      <c r="J9" s="6">
        <f t="shared" si="8"/>
        <v>6.4747231977665548E-3</v>
      </c>
      <c r="K9" s="12">
        <f t="shared" si="9"/>
        <v>1.7358106424057954E-2</v>
      </c>
      <c r="L9" s="3" t="s">
        <v>26</v>
      </c>
      <c r="M9" s="2">
        <v>96</v>
      </c>
      <c r="N9" s="2">
        <v>55570.8</v>
      </c>
      <c r="O9" s="2">
        <v>206.4</v>
      </c>
      <c r="P9" s="2">
        <v>320306.86666666664</v>
      </c>
      <c r="Q9" s="2">
        <v>125.73333333333333</v>
      </c>
      <c r="R9" s="2">
        <v>203890.13333333333</v>
      </c>
      <c r="S9" s="2">
        <v>27.266666666666666</v>
      </c>
      <c r="T9" s="2">
        <v>37425.066666666666</v>
      </c>
    </row>
    <row r="10" spans="1:23" x14ac:dyDescent="0.25">
      <c r="A10" s="6">
        <f t="shared" si="0"/>
        <v>5.9108963906594592E-2</v>
      </c>
      <c r="B10" s="23">
        <f t="shared" si="10"/>
        <v>2.2269932837133609E-4</v>
      </c>
      <c r="C10" s="6">
        <f t="shared" si="3"/>
        <v>3.7676066987614759E-3</v>
      </c>
      <c r="D10" s="6">
        <f t="shared" si="4"/>
        <v>1.9998291964737583E-2</v>
      </c>
      <c r="E10" s="27">
        <f t="shared" si="5"/>
        <v>5.5171933285907965E-5</v>
      </c>
      <c r="F10" s="20">
        <f t="shared" si="6"/>
        <v>2.7588322734357043E-3</v>
      </c>
      <c r="G10" s="6">
        <f t="shared" si="1"/>
        <v>1.8541918260980107E-2</v>
      </c>
      <c r="H10" s="6">
        <f t="shared" si="2"/>
        <v>2.3728336990995243E-2</v>
      </c>
      <c r="I10" s="7">
        <f t="shared" si="7"/>
        <v>2.9557006173737106</v>
      </c>
      <c r="J10" s="6">
        <f t="shared" si="8"/>
        <v>6.5264389721971803E-3</v>
      </c>
      <c r="K10" s="12">
        <f t="shared" si="9"/>
        <v>1.9290199699375052E-2</v>
      </c>
      <c r="L10" s="3" t="s">
        <v>27</v>
      </c>
      <c r="M10" s="2">
        <v>100.2</v>
      </c>
      <c r="N10" s="2">
        <v>88149.066666666666</v>
      </c>
      <c r="O10" s="2">
        <v>186.73333333333332</v>
      </c>
      <c r="P10" s="2">
        <v>485548.13333333336</v>
      </c>
      <c r="Q10" s="2">
        <v>112.2</v>
      </c>
      <c r="R10" s="2">
        <v>314660</v>
      </c>
      <c r="S10" s="2">
        <v>25.533333333333335</v>
      </c>
      <c r="T10" s="2">
        <v>55955.6</v>
      </c>
    </row>
    <row r="11" spans="1:23" x14ac:dyDescent="0.25">
      <c r="A11" s="6">
        <f t="shared" si="0"/>
        <v>3.8601517927771632E-2</v>
      </c>
      <c r="B11" s="23">
        <f t="shared" si="10"/>
        <v>1.5480754183239145E-4</v>
      </c>
      <c r="C11" s="6">
        <f t="shared" si="3"/>
        <v>4.0104003713547255E-3</v>
      </c>
      <c r="D11" s="6">
        <f t="shared" si="4"/>
        <v>1.1701010541819519E-2</v>
      </c>
      <c r="E11" s="27">
        <f t="shared" si="5"/>
        <v>4.0098882539329731E-5</v>
      </c>
      <c r="F11" s="20">
        <f t="shared" si="6"/>
        <v>3.4269589276939762E-3</v>
      </c>
      <c r="G11" s="6">
        <f t="shared" si="1"/>
        <v>1.040218101708857E-2</v>
      </c>
      <c r="H11" s="6">
        <f t="shared" si="2"/>
        <v>1.7058781718672259E-2</v>
      </c>
      <c r="I11" s="7">
        <f t="shared" si="7"/>
        <v>3.298990099172157</v>
      </c>
      <c r="J11" s="6">
        <f t="shared" si="8"/>
        <v>7.4373592990487018E-3</v>
      </c>
      <c r="K11" s="12">
        <f t="shared" si="9"/>
        <v>2.4535774691547642E-2</v>
      </c>
      <c r="L11" s="3" t="s">
        <v>28</v>
      </c>
      <c r="M11" s="2">
        <v>88.4</v>
      </c>
      <c r="N11" s="2">
        <v>119083.4</v>
      </c>
      <c r="O11" s="2">
        <v>121</v>
      </c>
      <c r="P11" s="2">
        <v>537731.33333333337</v>
      </c>
      <c r="Q11" s="2">
        <v>78.599999999999994</v>
      </c>
      <c r="R11" s="2">
        <v>392917.6</v>
      </c>
      <c r="S11" s="2">
        <v>16</v>
      </c>
      <c r="T11" s="2">
        <v>48772.533333333333</v>
      </c>
      <c r="V11" s="4"/>
    </row>
    <row r="12" spans="1:23" x14ac:dyDescent="0.25">
      <c r="A12" s="6">
        <f t="shared" si="0"/>
        <v>2.2327696135081541E-2</v>
      </c>
      <c r="B12" s="23">
        <f t="shared" si="10"/>
        <v>1.0707685864722197E-4</v>
      </c>
      <c r="C12" s="6">
        <f t="shared" si="3"/>
        <v>4.7956966988180003E-3</v>
      </c>
      <c r="D12" s="6">
        <f t="shared" si="4"/>
        <v>6.8324899857528428E-3</v>
      </c>
      <c r="E12" s="27">
        <f t="shared" si="5"/>
        <v>3.194505080808599E-5</v>
      </c>
      <c r="F12" s="20">
        <f t="shared" si="6"/>
        <v>4.6754625143539232E-3</v>
      </c>
      <c r="G12" s="6">
        <f t="shared" si="1"/>
        <v>6.1378079527105497E-3</v>
      </c>
      <c r="H12" s="6">
        <f t="shared" si="2"/>
        <v>9.3547668878300738E-3</v>
      </c>
      <c r="I12" s="7">
        <f t="shared" si="7"/>
        <v>3.2678710370069202</v>
      </c>
      <c r="J12" s="6">
        <f t="shared" si="8"/>
        <v>9.4711592131719244E-3</v>
      </c>
      <c r="K12" s="12">
        <f t="shared" si="9"/>
        <v>3.0950526879605783E-2</v>
      </c>
      <c r="L12" s="3" t="s">
        <v>29</v>
      </c>
      <c r="M12" s="2">
        <v>61.8</v>
      </c>
      <c r="N12" s="2">
        <v>143928.86666666667</v>
      </c>
      <c r="O12" s="2">
        <v>65</v>
      </c>
      <c r="P12" s="2">
        <v>494695.2</v>
      </c>
      <c r="Q12" s="2">
        <v>46.666666666666664</v>
      </c>
      <c r="R12" s="2">
        <v>395363.73333333334</v>
      </c>
      <c r="S12" s="2">
        <v>6.7333333333333334</v>
      </c>
      <c r="T12" s="2">
        <v>37428.333333333336</v>
      </c>
    </row>
    <row r="13" spans="1:23" x14ac:dyDescent="0.25">
      <c r="A13" s="6">
        <f t="shared" si="0"/>
        <v>1.1999690439505547E-2</v>
      </c>
      <c r="B13" s="23">
        <f t="shared" si="10"/>
        <v>6.8401650933886299E-5</v>
      </c>
      <c r="C13" s="6">
        <f t="shared" si="3"/>
        <v>5.7002846264011479E-3</v>
      </c>
      <c r="D13" s="6">
        <f t="shared" si="4"/>
        <v>3.9046671823774271E-3</v>
      </c>
      <c r="E13" s="27">
        <f t="shared" si="5"/>
        <v>2.476057636124611E-5</v>
      </c>
      <c r="F13" s="20">
        <f t="shared" si="6"/>
        <v>6.3412770422523407E-3</v>
      </c>
      <c r="G13" s="6">
        <f t="shared" si="1"/>
        <v>3.6232924681912477E-3</v>
      </c>
      <c r="H13" s="6">
        <f t="shared" si="2"/>
        <v>5.0527919590646116E-3</v>
      </c>
      <c r="I13" s="7">
        <f t="shared" si="7"/>
        <v>3.0731660034080854</v>
      </c>
      <c r="J13" s="6">
        <f t="shared" si="8"/>
        <v>1.2041561668653489E-2</v>
      </c>
      <c r="K13" s="12">
        <f t="shared" si="9"/>
        <v>3.7005717948047842E-2</v>
      </c>
      <c r="L13" s="3" t="s">
        <v>30</v>
      </c>
      <c r="M13" s="2">
        <v>43.733333333333334</v>
      </c>
      <c r="N13" s="2">
        <v>189516</v>
      </c>
      <c r="O13" s="2">
        <v>35.333333333333336</v>
      </c>
      <c r="P13" s="2">
        <v>470548</v>
      </c>
      <c r="Q13" s="2">
        <v>27.333333333333332</v>
      </c>
      <c r="R13" s="2">
        <v>392276.73333333334</v>
      </c>
      <c r="S13" s="2">
        <v>3.3333333333333335</v>
      </c>
      <c r="T13" s="2">
        <v>34304.466666666667</v>
      </c>
    </row>
    <row r="14" spans="1:23" x14ac:dyDescent="0.25">
      <c r="A14" s="6">
        <f t="shared" si="0"/>
        <v>7.0321260794872619E-3</v>
      </c>
      <c r="B14" s="23">
        <f t="shared" si="10"/>
        <v>4.7763196263883993E-5</v>
      </c>
      <c r="C14" s="6">
        <f t="shared" si="3"/>
        <v>6.7921416260168337E-3</v>
      </c>
      <c r="D14" s="6">
        <f t="shared" si="4"/>
        <v>2.3685905274598829E-3</v>
      </c>
      <c r="E14" s="27">
        <f t="shared" si="5"/>
        <v>1.9180351228273509E-5</v>
      </c>
      <c r="F14" s="20">
        <f t="shared" si="6"/>
        <v>8.0977910727536538E-3</v>
      </c>
      <c r="G14" s="6">
        <f t="shared" si="1"/>
        <v>2.1148420223176842E-3</v>
      </c>
      <c r="H14" s="6">
        <f t="shared" si="2"/>
        <v>4.0200150364023959E-3</v>
      </c>
      <c r="I14" s="7">
        <f t="shared" si="7"/>
        <v>2.968907456971313</v>
      </c>
      <c r="J14" s="6">
        <f t="shared" si="8"/>
        <v>1.4889932698770487E-2</v>
      </c>
      <c r="K14" s="12">
        <f t="shared" si="9"/>
        <v>4.4206832223180684E-2</v>
      </c>
      <c r="L14" s="3" t="s">
        <v>31</v>
      </c>
      <c r="M14" s="2">
        <v>30.8</v>
      </c>
      <c r="N14" s="2">
        <v>227754.73333333334</v>
      </c>
      <c r="O14" s="2">
        <v>21.666666666666668</v>
      </c>
      <c r="P14" s="2">
        <v>475669.66666666669</v>
      </c>
      <c r="Q14" s="2">
        <v>16.533333333333335</v>
      </c>
      <c r="R14" s="2">
        <v>406523.66666666669</v>
      </c>
      <c r="S14" s="2">
        <v>2.6666666666666665</v>
      </c>
      <c r="T14" s="2">
        <v>34494.066666666666</v>
      </c>
    </row>
    <row r="15" spans="1:23" x14ac:dyDescent="0.25">
      <c r="A15" s="6">
        <f t="shared" si="0"/>
        <v>3.8626580977204747E-3</v>
      </c>
      <c r="B15" s="23">
        <f t="shared" si="10"/>
        <v>3.0763172195476577E-5</v>
      </c>
      <c r="C15" s="6">
        <f t="shared" si="3"/>
        <v>7.9642493374268066E-3</v>
      </c>
      <c r="D15" s="6">
        <f t="shared" si="4"/>
        <v>1.4844732520545693E-3</v>
      </c>
      <c r="E15" s="27">
        <f t="shared" si="5"/>
        <v>1.3930581642714468E-5</v>
      </c>
      <c r="F15" s="20">
        <f t="shared" si="6"/>
        <v>9.3841917484427523E-3</v>
      </c>
      <c r="G15" s="6">
        <f t="shared" si="1"/>
        <v>1.3126459751687987E-3</v>
      </c>
      <c r="H15" s="6">
        <f t="shared" si="2"/>
        <v>2.5491847336049428E-3</v>
      </c>
      <c r="I15" s="7">
        <f t="shared" si="7"/>
        <v>2.602039539866686</v>
      </c>
      <c r="J15" s="6">
        <f t="shared" si="8"/>
        <v>1.7348441085869561E-2</v>
      </c>
      <c r="K15" s="12">
        <f t="shared" si="9"/>
        <v>4.5141329660480345E-2</v>
      </c>
      <c r="L15" s="3" t="s">
        <v>32</v>
      </c>
      <c r="M15" s="2">
        <v>22.4</v>
      </c>
      <c r="N15" s="2">
        <v>301554</v>
      </c>
      <c r="O15" s="2">
        <v>16.133333333333333</v>
      </c>
      <c r="P15" s="2">
        <v>565138.73333333328</v>
      </c>
      <c r="Q15" s="2">
        <v>12.466666666666667</v>
      </c>
      <c r="R15" s="2">
        <v>493862.53333333333</v>
      </c>
      <c r="S15" s="2">
        <v>1.8666666666666667</v>
      </c>
      <c r="T15" s="2">
        <v>38077.533333333333</v>
      </c>
    </row>
    <row r="16" spans="1:23" x14ac:dyDescent="0.25">
      <c r="A16" s="6">
        <f t="shared" si="0"/>
        <v>2.334928648873605E-3</v>
      </c>
      <c r="B16" s="23">
        <f t="shared" si="10"/>
        <v>2.1732724159209209E-5</v>
      </c>
      <c r="C16" s="6">
        <f t="shared" si="3"/>
        <v>9.3076609298932168E-3</v>
      </c>
      <c r="D16" s="6">
        <f t="shared" si="4"/>
        <v>8.0544810343201833E-4</v>
      </c>
      <c r="E16" s="27">
        <f t="shared" si="5"/>
        <v>1.0045672147870326E-5</v>
      </c>
      <c r="F16" s="20">
        <f t="shared" si="6"/>
        <v>1.2472153208959915E-2</v>
      </c>
      <c r="G16" s="6">
        <f t="shared" si="1"/>
        <v>7.3997097036962391E-4</v>
      </c>
      <c r="H16" s="6">
        <f t="shared" si="2"/>
        <v>1.1551685247335936E-3</v>
      </c>
      <c r="I16" s="7">
        <f t="shared" si="7"/>
        <v>2.8989187992677152</v>
      </c>
      <c r="J16" s="6">
        <f t="shared" si="8"/>
        <v>2.1779814138853132E-2</v>
      </c>
      <c r="K16" s="12">
        <f t="shared" si="9"/>
        <v>6.3137912651678132E-2</v>
      </c>
      <c r="L16" s="3" t="s">
        <v>33</v>
      </c>
      <c r="M16" s="2">
        <v>16.399999999999999</v>
      </c>
      <c r="N16" s="2">
        <v>365236</v>
      </c>
      <c r="O16" s="2">
        <v>9.1333333333333329</v>
      </c>
      <c r="P16" s="2">
        <v>589651.06666666665</v>
      </c>
      <c r="Q16" s="2">
        <v>7.4</v>
      </c>
      <c r="R16" s="2">
        <v>520020.4</v>
      </c>
      <c r="S16" s="2">
        <v>0.8666666666666667</v>
      </c>
      <c r="T16" s="2">
        <v>39013.066666666666</v>
      </c>
    </row>
    <row r="17" spans="1:20" x14ac:dyDescent="0.25">
      <c r="A17" s="6">
        <f t="shared" si="0"/>
        <v>1.3520437128377374E-3</v>
      </c>
      <c r="B17" s="23">
        <f t="shared" si="10"/>
        <v>1.6741228960274644E-5</v>
      </c>
      <c r="C17" s="6">
        <f t="shared" si="3"/>
        <v>1.2382165459086606E-2</v>
      </c>
      <c r="D17" s="6">
        <f t="shared" si="4"/>
        <v>6.6929014591121639E-4</v>
      </c>
      <c r="E17" s="27">
        <f t="shared" si="5"/>
        <v>1.0789682290661899E-5</v>
      </c>
      <c r="F17" s="20">
        <f t="shared" si="6"/>
        <v>1.6121083444269307E-2</v>
      </c>
      <c r="G17" s="6">
        <f t="shared" si="1"/>
        <v>5.9101896250954333E-4</v>
      </c>
      <c r="H17" s="6">
        <f t="shared" si="2"/>
        <v>1.320952101630175E-3</v>
      </c>
      <c r="I17" s="7">
        <f t="shared" si="7"/>
        <v>2.0201159707752376</v>
      </c>
      <c r="J17" s="6">
        <f t="shared" si="8"/>
        <v>2.8503248903355913E-2</v>
      </c>
      <c r="K17" s="12">
        <f t="shared" si="9"/>
        <v>5.7579868328651057E-2</v>
      </c>
      <c r="L17" s="3" t="s">
        <v>34</v>
      </c>
      <c r="M17" s="2">
        <v>9.2666666666666675</v>
      </c>
      <c r="N17" s="2">
        <v>356398.73333333334</v>
      </c>
      <c r="O17" s="2">
        <v>5.4666666666666668</v>
      </c>
      <c r="P17" s="2">
        <v>424728.6</v>
      </c>
      <c r="Q17" s="2">
        <v>4.2666666666666666</v>
      </c>
      <c r="R17" s="2">
        <v>375396.86666666664</v>
      </c>
      <c r="S17" s="2">
        <v>0.73333333333333328</v>
      </c>
      <c r="T17" s="2">
        <v>28868.066666666666</v>
      </c>
    </row>
    <row r="18" spans="1:20" x14ac:dyDescent="0.25">
      <c r="A18" s="6">
        <f t="shared" si="0"/>
        <v>9.7516243388018472E-4</v>
      </c>
      <c r="B18" s="23">
        <f t="shared" si="10"/>
        <v>1.3635345382294815E-5</v>
      </c>
      <c r="C18" s="6">
        <f t="shared" si="3"/>
        <v>1.3982640131080099E-2</v>
      </c>
      <c r="D18" s="6">
        <f t="shared" si="4"/>
        <v>3.5502918180566474E-4</v>
      </c>
      <c r="E18" s="27">
        <f t="shared" si="5"/>
        <v>8.6379888875871871E-6</v>
      </c>
      <c r="F18" s="20">
        <f t="shared" si="6"/>
        <v>2.433036305256573E-2</v>
      </c>
      <c r="G18" s="6">
        <f t="shared" si="1"/>
        <v>3.1155594376415215E-4</v>
      </c>
      <c r="H18" s="6">
        <f t="shared" si="2"/>
        <v>4.3596852083705958E-4</v>
      </c>
      <c r="I18" s="7">
        <f t="shared" si="7"/>
        <v>2.7467106476164753</v>
      </c>
      <c r="J18" s="6">
        <f t="shared" si="8"/>
        <v>3.8313003183645833E-2</v>
      </c>
      <c r="K18" s="12">
        <f t="shared" si="9"/>
        <v>0.10523473378668392</v>
      </c>
      <c r="L18" s="3" t="s">
        <v>35</v>
      </c>
      <c r="M18" s="2">
        <v>7.2666666666666666</v>
      </c>
      <c r="N18" s="2">
        <v>387491</v>
      </c>
      <c r="O18" s="2">
        <v>2.4</v>
      </c>
      <c r="P18" s="2">
        <v>351520.4</v>
      </c>
      <c r="Q18" s="2">
        <v>1.8666666666666667</v>
      </c>
      <c r="R18" s="2">
        <v>311554.53333333333</v>
      </c>
      <c r="S18" s="2">
        <v>0.2</v>
      </c>
      <c r="T18" s="2">
        <v>23854.933333333334</v>
      </c>
    </row>
    <row r="19" spans="1:20" x14ac:dyDescent="0.25">
      <c r="A19" s="6">
        <f t="shared" si="0"/>
        <v>4.5180498933730201E-4</v>
      </c>
      <c r="B19" s="23">
        <f t="shared" si="10"/>
        <v>9.1463874525363972E-6</v>
      </c>
      <c r="C19" s="6">
        <f t="shared" si="3"/>
        <v>2.0244104576959462E-2</v>
      </c>
      <c r="D19" s="6">
        <f t="shared" si="4"/>
        <v>3.0603176845165584E-4</v>
      </c>
      <c r="E19" s="27">
        <f t="shared" si="5"/>
        <v>8.7615203325966216E-6</v>
      </c>
      <c r="F19" s="20">
        <f t="shared" si="6"/>
        <v>2.8629447122188848E-2</v>
      </c>
      <c r="G19" s="6">
        <f t="shared" si="1"/>
        <v>3.0863974516060107E-4</v>
      </c>
      <c r="H19" s="6">
        <f t="shared" si="2"/>
        <v>3.1603545674720505E-4</v>
      </c>
      <c r="I19" s="7">
        <f t="shared" si="7"/>
        <v>1.4763336225620449</v>
      </c>
      <c r="J19" s="6">
        <f t="shared" si="8"/>
        <v>4.887355169914831E-2</v>
      </c>
      <c r="K19" s="12">
        <f t="shared" si="9"/>
        <v>7.2153667627477006E-2</v>
      </c>
      <c r="L19" s="3" t="s">
        <v>36</v>
      </c>
      <c r="M19" s="2">
        <v>3.4666666666666668</v>
      </c>
      <c r="N19" s="2">
        <v>398992.2</v>
      </c>
      <c r="O19" s="2">
        <v>1.7333333333333334</v>
      </c>
      <c r="P19" s="2">
        <v>294522.8</v>
      </c>
      <c r="Q19" s="2">
        <v>1.5333333333333334</v>
      </c>
      <c r="R19" s="2">
        <v>258337.86666666667</v>
      </c>
      <c r="S19" s="2">
        <v>0.13333333333333333</v>
      </c>
      <c r="T19" s="2">
        <v>21938.466666666667</v>
      </c>
    </row>
    <row r="20" spans="1:20" x14ac:dyDescent="0.25">
      <c r="A20" s="6">
        <f t="shared" si="0"/>
        <v>3.3836945861111001E-4</v>
      </c>
      <c r="B20" s="23">
        <f t="shared" si="10"/>
        <v>9.1725888621548924E-6</v>
      </c>
      <c r="C20" s="6">
        <f t="shared" si="3"/>
        <v>2.7108205627674579E-2</v>
      </c>
      <c r="D20" s="6">
        <f t="shared" si="4"/>
        <v>1.972111542162053E-4</v>
      </c>
      <c r="E20" s="27">
        <f t="shared" si="5"/>
        <v>7.9847069127861191E-6</v>
      </c>
      <c r="F20" s="20">
        <f t="shared" si="6"/>
        <v>4.0488110038808325E-2</v>
      </c>
      <c r="G20" s="6">
        <f t="shared" si="1"/>
        <v>1.9022692542406137E-4</v>
      </c>
      <c r="H20" s="6">
        <f t="shared" si="2"/>
        <v>4.1803499435250801E-4</v>
      </c>
      <c r="I20" s="7">
        <f t="shared" si="7"/>
        <v>1.7157724164027301</v>
      </c>
      <c r="J20" s="6">
        <f t="shared" si="8"/>
        <v>6.7596315666482901E-2</v>
      </c>
      <c r="K20" s="12">
        <f t="shared" si="9"/>
        <v>0.11597989387100309</v>
      </c>
      <c r="L20" s="3" t="s">
        <v>37</v>
      </c>
      <c r="M20" s="2">
        <v>1.9333333333333333</v>
      </c>
      <c r="N20" s="2">
        <v>297111.13333333336</v>
      </c>
      <c r="O20" s="2">
        <v>0.8666666666666667</v>
      </c>
      <c r="P20" s="2">
        <v>228519.86666666667</v>
      </c>
      <c r="Q20" s="2">
        <v>0.73333333333333328</v>
      </c>
      <c r="R20" s="2">
        <v>200462.33333333334</v>
      </c>
      <c r="S20" s="2">
        <v>0.13333333333333333</v>
      </c>
      <c r="T20" s="2">
        <v>16585.533333333333</v>
      </c>
    </row>
    <row r="21" spans="1:20" x14ac:dyDescent="0.25">
      <c r="A21" s="6">
        <f t="shared" si="0"/>
        <v>3.1868957751159284E-4</v>
      </c>
      <c r="B21" s="23">
        <f t="shared" si="10"/>
        <v>8.9533521519365638E-6</v>
      </c>
      <c r="C21" s="6">
        <f t="shared" si="3"/>
        <v>2.8094273499141564E-2</v>
      </c>
      <c r="D21" s="6">
        <f t="shared" si="4"/>
        <v>3.6629823475490332E-4</v>
      </c>
      <c r="E21" s="27">
        <f t="shared" si="5"/>
        <v>1.1149895436644725E-5</v>
      </c>
      <c r="F21" s="20">
        <f t="shared" si="6"/>
        <v>3.0439391672485997E-2</v>
      </c>
      <c r="G21" s="6">
        <f t="shared" si="1"/>
        <v>3.4688439443824237E-4</v>
      </c>
      <c r="H21" s="6">
        <f t="shared" si="2"/>
        <v>3.2529886833528303E-4</v>
      </c>
      <c r="I21" s="7">
        <f t="shared" si="7"/>
        <v>0.87002760940093993</v>
      </c>
      <c r="J21" s="6">
        <f t="shared" si="8"/>
        <v>5.8533665171627558E-2</v>
      </c>
      <c r="K21" s="12">
        <f t="shared" si="9"/>
        <v>5.092590477874618E-2</v>
      </c>
      <c r="L21" s="3" t="s">
        <v>38</v>
      </c>
      <c r="M21" s="2">
        <v>1.8</v>
      </c>
      <c r="N21" s="2">
        <v>293702.73333333334</v>
      </c>
      <c r="O21" s="2">
        <v>1.5333333333333334</v>
      </c>
      <c r="P21" s="2">
        <v>217673.26666666666</v>
      </c>
      <c r="Q21" s="2">
        <v>1.3333333333333333</v>
      </c>
      <c r="R21" s="2">
        <v>199874.46666666667</v>
      </c>
      <c r="S21" s="2">
        <v>6.6666666666666666E-2</v>
      </c>
      <c r="T21" s="2">
        <v>10656.866666666667</v>
      </c>
    </row>
    <row r="22" spans="1:20" x14ac:dyDescent="0.25">
      <c r="A22" s="6">
        <f t="shared" si="0"/>
        <v>8.5984309517057555E-5</v>
      </c>
      <c r="B22" s="23">
        <f t="shared" si="10"/>
        <v>3.6234919545862691E-6</v>
      </c>
      <c r="C22" s="6">
        <f t="shared" si="3"/>
        <v>4.2141315955644687E-2</v>
      </c>
      <c r="D22" s="6">
        <f t="shared" si="4"/>
        <v>6.6768102822878353E-5</v>
      </c>
      <c r="E22" s="27">
        <f t="shared" si="5"/>
        <v>6.8921175241951819E-6</v>
      </c>
      <c r="F22" s="20">
        <f t="shared" si="6"/>
        <v>0.10322470210780904</v>
      </c>
      <c r="G22" s="6">
        <f t="shared" si="1"/>
        <v>6.7436348840451435E-5</v>
      </c>
      <c r="H22" s="6">
        <f t="shared" si="2"/>
        <v>0</v>
      </c>
      <c r="I22" s="7">
        <f t="shared" si="7"/>
        <v>1.2878051926255225</v>
      </c>
      <c r="J22" s="6">
        <f t="shared" si="8"/>
        <v>0.14536601806345373</v>
      </c>
      <c r="K22" s="12">
        <f t="shared" si="9"/>
        <v>0.18720311289341121</v>
      </c>
      <c r="L22" s="3" t="s">
        <v>39</v>
      </c>
      <c r="M22" s="2">
        <v>0.8</v>
      </c>
      <c r="N22" s="2">
        <v>483809.2</v>
      </c>
      <c r="O22" s="2">
        <v>0.13333333333333333</v>
      </c>
      <c r="P22" s="2">
        <v>103842</v>
      </c>
      <c r="Q22" s="2">
        <v>0.13333333333333333</v>
      </c>
      <c r="R22" s="2">
        <v>102813</v>
      </c>
      <c r="S22" s="2">
        <v>0</v>
      </c>
      <c r="T22" s="2">
        <v>1022.4</v>
      </c>
    </row>
    <row r="23" spans="1:20" x14ac:dyDescent="0.25">
      <c r="A23" s="6">
        <f t="shared" si="0"/>
        <v>1.0523403621098425E-4</v>
      </c>
      <c r="B23" s="23">
        <f t="shared" si="10"/>
        <v>3.725894589124385E-6</v>
      </c>
      <c r="C23" s="6">
        <f t="shared" si="3"/>
        <v>3.5405793821823198E-2</v>
      </c>
      <c r="D23" s="23">
        <v>0</v>
      </c>
      <c r="E23" s="27" t="str">
        <f t="shared" si="5"/>
        <v/>
      </c>
      <c r="F23" s="20">
        <f>0</f>
        <v>0</v>
      </c>
      <c r="G23" s="6">
        <f t="shared" si="1"/>
        <v>0</v>
      </c>
      <c r="H23" s="6">
        <v>0</v>
      </c>
      <c r="I23" s="7" t="str">
        <f>IFERROR(A23/D23,"")</f>
        <v/>
      </c>
      <c r="J23" s="6">
        <f>F23+C23</f>
        <v>3.5405793821823198E-2</v>
      </c>
      <c r="K23" s="12">
        <v>0</v>
      </c>
      <c r="L23" s="3" t="s">
        <v>40</v>
      </c>
      <c r="M23" s="2">
        <v>1.1333333333333333</v>
      </c>
      <c r="N23" s="2">
        <v>560021.6</v>
      </c>
      <c r="O23" s="2">
        <v>0</v>
      </c>
      <c r="P23" s="2">
        <v>3.5333333333333332</v>
      </c>
      <c r="Q23" s="2">
        <v>0</v>
      </c>
      <c r="R23" s="2">
        <v>3.5333333333333332</v>
      </c>
      <c r="S23" s="2">
        <v>0</v>
      </c>
      <c r="T23" s="2">
        <v>0</v>
      </c>
    </row>
    <row r="24" spans="1:20" x14ac:dyDescent="0.25">
      <c r="A24" s="6">
        <f t="shared" si="0"/>
        <v>1.3945475730567196E-4</v>
      </c>
      <c r="B24" s="23">
        <f t="shared" si="10"/>
        <v>4.6704150092383474E-6</v>
      </c>
      <c r="C24" s="6">
        <f t="shared" si="3"/>
        <v>3.3490539150279601E-2</v>
      </c>
      <c r="D24" s="23">
        <v>0</v>
      </c>
      <c r="E24" s="27" t="str">
        <f t="shared" si="5"/>
        <v/>
      </c>
      <c r="F24" s="20">
        <f>0</f>
        <v>0</v>
      </c>
      <c r="G24" s="6">
        <f t="shared" si="1"/>
        <v>0</v>
      </c>
      <c r="H24" s="6">
        <v>0</v>
      </c>
      <c r="I24" s="7" t="str">
        <f t="shared" si="7"/>
        <v/>
      </c>
      <c r="J24" s="6">
        <f t="shared" si="8"/>
        <v>3.3490539150279601E-2</v>
      </c>
      <c r="K24" s="12">
        <v>0</v>
      </c>
      <c r="L24" s="3" t="s">
        <v>41</v>
      </c>
      <c r="M24" s="2">
        <v>1.2666666666666666</v>
      </c>
      <c r="N24" s="2">
        <v>472315.66666666669</v>
      </c>
      <c r="O24" s="2">
        <v>0</v>
      </c>
      <c r="P24" s="2">
        <v>4.2</v>
      </c>
      <c r="Q24" s="2">
        <v>0</v>
      </c>
      <c r="R24" s="2">
        <v>4</v>
      </c>
      <c r="S24" s="2">
        <v>0</v>
      </c>
      <c r="T24" s="2">
        <v>0</v>
      </c>
    </row>
    <row r="25" spans="1:20" x14ac:dyDescent="0.25">
      <c r="A25" s="6">
        <f t="shared" si="0"/>
        <v>7.630143468707241E-4</v>
      </c>
      <c r="B25" s="23">
        <f t="shared" si="10"/>
        <v>1.856448890002516E-5</v>
      </c>
      <c r="C25" s="6">
        <f t="shared" si="3"/>
        <v>2.433045849814211E-2</v>
      </c>
      <c r="D25" s="23">
        <v>0</v>
      </c>
      <c r="E25" s="27" t="str">
        <f t="shared" si="5"/>
        <v/>
      </c>
      <c r="F25" s="20">
        <f>0</f>
        <v>0</v>
      </c>
      <c r="G25" s="6">
        <f t="shared" si="1"/>
        <v>0</v>
      </c>
      <c r="H25" s="6">
        <f t="shared" si="2"/>
        <v>0</v>
      </c>
      <c r="I25" s="7" t="str">
        <f t="shared" si="7"/>
        <v/>
      </c>
      <c r="J25" s="6">
        <f t="shared" si="8"/>
        <v>2.433045849814211E-2</v>
      </c>
      <c r="K25" s="12" t="e">
        <f t="shared" si="9"/>
        <v>#VALUE!</v>
      </c>
      <c r="L25" s="3" t="s">
        <v>42</v>
      </c>
      <c r="M25" s="2">
        <v>2.4</v>
      </c>
      <c r="N25" s="2">
        <v>163561.79999999999</v>
      </c>
      <c r="O25" s="2">
        <v>0</v>
      </c>
      <c r="P25" s="2">
        <v>7.6</v>
      </c>
      <c r="Q25" s="2">
        <v>0</v>
      </c>
      <c r="R25" s="2">
        <v>5.6</v>
      </c>
      <c r="S25" s="2">
        <v>0</v>
      </c>
      <c r="T25" s="2">
        <v>1</v>
      </c>
    </row>
    <row r="26" spans="1:20" x14ac:dyDescent="0.25">
      <c r="A26" s="6"/>
      <c r="B26" s="23" t="str">
        <f t="shared" si="10"/>
        <v/>
      </c>
      <c r="D26" s="6"/>
      <c r="F26" s="20"/>
      <c r="G26" s="6" t="str">
        <f t="shared" si="1"/>
        <v/>
      </c>
      <c r="H26" s="6" t="str">
        <f t="shared" si="2"/>
        <v/>
      </c>
      <c r="I26" s="7" t="str">
        <f t="shared" si="7"/>
        <v/>
      </c>
      <c r="L26" s="3" t="s">
        <v>195</v>
      </c>
      <c r="M26" s="2">
        <v>34.146031746031746</v>
      </c>
      <c r="N26" s="2">
        <v>236552.56825396826</v>
      </c>
      <c r="O26" s="2">
        <v>56.631746031746033</v>
      </c>
      <c r="P26" s="2">
        <v>278408.17777777778</v>
      </c>
      <c r="Q26" s="2">
        <v>36.679365079365077</v>
      </c>
      <c r="R26" s="2">
        <v>227064.21904761906</v>
      </c>
      <c r="S26" s="2">
        <v>7.5841269841269838</v>
      </c>
      <c r="T26" s="2">
        <v>21882.812698412698</v>
      </c>
    </row>
    <row r="27" spans="1:20" x14ac:dyDescent="0.25">
      <c r="A27" s="6"/>
      <c r="B27" s="23" t="str">
        <f t="shared" si="10"/>
        <v/>
      </c>
      <c r="D27" s="6"/>
      <c r="F27" s="20"/>
      <c r="G27" s="6" t="str">
        <f t="shared" si="1"/>
        <v/>
      </c>
      <c r="H27" s="6" t="str">
        <f t="shared" si="2"/>
        <v/>
      </c>
      <c r="I27" s="7" t="str">
        <f t="shared" si="7"/>
        <v/>
      </c>
    </row>
    <row r="28" spans="1:20" x14ac:dyDescent="0.25">
      <c r="A28" s="6"/>
      <c r="B28" s="23" t="str">
        <f t="shared" si="10"/>
        <v/>
      </c>
      <c r="D28" s="6"/>
      <c r="F28" s="20"/>
      <c r="G28" s="6" t="str">
        <f t="shared" si="1"/>
        <v/>
      </c>
      <c r="H28" s="6" t="str">
        <f t="shared" si="2"/>
        <v/>
      </c>
      <c r="I28" s="7" t="str">
        <f t="shared" si="7"/>
        <v/>
      </c>
    </row>
    <row r="29" spans="1:20" x14ac:dyDescent="0.25">
      <c r="A29" s="6"/>
      <c r="B29" s="23" t="str">
        <f t="shared" si="10"/>
        <v/>
      </c>
      <c r="D29" s="6" t="s">
        <v>258</v>
      </c>
      <c r="F29" s="20"/>
      <c r="G29" s="6" t="str">
        <f t="shared" si="1"/>
        <v/>
      </c>
      <c r="H29" s="6" t="str">
        <f t="shared" si="2"/>
        <v/>
      </c>
      <c r="I29" s="7" t="str">
        <f t="shared" si="7"/>
        <v/>
      </c>
    </row>
    <row r="30" spans="1:20" x14ac:dyDescent="0.25">
      <c r="A30" s="6"/>
      <c r="B30" s="23" t="str">
        <f t="shared" si="10"/>
        <v/>
      </c>
      <c r="D30" s="11" t="s">
        <v>259</v>
      </c>
      <c r="E30" s="28"/>
      <c r="F30" s="21"/>
      <c r="G30" s="6" t="str">
        <f t="shared" si="1"/>
        <v/>
      </c>
      <c r="H30" s="6" t="str">
        <f t="shared" si="2"/>
        <v/>
      </c>
      <c r="I30" s="7" t="str">
        <f t="shared" si="7"/>
        <v/>
      </c>
    </row>
    <row r="31" spans="1:20" x14ac:dyDescent="0.25">
      <c r="A31" s="6"/>
      <c r="B31" s="23" t="str">
        <f t="shared" si="10"/>
        <v/>
      </c>
      <c r="D31" s="11" t="s">
        <v>260</v>
      </c>
      <c r="E31" s="28"/>
      <c r="F31" s="21"/>
      <c r="G31" s="6" t="str">
        <f t="shared" si="1"/>
        <v/>
      </c>
      <c r="H31" s="6" t="str">
        <f t="shared" si="2"/>
        <v/>
      </c>
      <c r="I31" s="7" t="str">
        <f t="shared" si="7"/>
        <v/>
      </c>
      <c r="J31" s="7"/>
    </row>
    <row r="32" spans="1:20" x14ac:dyDescent="0.25">
      <c r="A32" s="6"/>
      <c r="B32" s="23" t="str">
        <f t="shared" si="10"/>
        <v/>
      </c>
      <c r="D32" s="11" t="s">
        <v>261</v>
      </c>
      <c r="E32" s="28"/>
      <c r="F32" s="21"/>
      <c r="G32" s="6" t="str">
        <f t="shared" si="1"/>
        <v/>
      </c>
      <c r="H32" s="6" t="str">
        <f t="shared" si="2"/>
        <v/>
      </c>
      <c r="I32" s="7" t="str">
        <f t="shared" si="7"/>
        <v/>
      </c>
      <c r="J32" s="7"/>
    </row>
    <row r="33" spans="1:10" x14ac:dyDescent="0.25">
      <c r="A33" s="6"/>
      <c r="B33" s="23" t="str">
        <f t="shared" si="10"/>
        <v/>
      </c>
      <c r="D33" s="11" t="s">
        <v>263</v>
      </c>
      <c r="E33" s="28"/>
      <c r="F33" s="21"/>
      <c r="G33" s="6" t="str">
        <f t="shared" si="1"/>
        <v/>
      </c>
      <c r="H33" s="6" t="str">
        <f t="shared" si="2"/>
        <v/>
      </c>
      <c r="I33" s="7" t="str">
        <f t="shared" si="7"/>
        <v/>
      </c>
      <c r="J33" s="7"/>
    </row>
    <row r="34" spans="1:10" x14ac:dyDescent="0.25">
      <c r="A34" s="6"/>
      <c r="B34" s="23" t="str">
        <f t="shared" si="10"/>
        <v/>
      </c>
      <c r="D34" s="11" t="s">
        <v>262</v>
      </c>
      <c r="E34" s="28"/>
      <c r="F34" s="21"/>
      <c r="G34" s="6" t="str">
        <f t="shared" si="1"/>
        <v/>
      </c>
      <c r="H34" s="6" t="str">
        <f t="shared" si="2"/>
        <v/>
      </c>
      <c r="I34" s="7" t="str">
        <f t="shared" si="7"/>
        <v/>
      </c>
      <c r="J34" s="7"/>
    </row>
    <row r="35" spans="1:10" x14ac:dyDescent="0.25">
      <c r="A35" s="6"/>
      <c r="B35" s="23" t="str">
        <f t="shared" si="10"/>
        <v/>
      </c>
      <c r="D35" s="11" t="s">
        <v>264</v>
      </c>
      <c r="E35" s="28"/>
      <c r="F35" s="21"/>
      <c r="G35" s="6" t="str">
        <f t="shared" si="1"/>
        <v/>
      </c>
      <c r="H35" s="6" t="str">
        <f t="shared" si="2"/>
        <v/>
      </c>
      <c r="I35" s="7" t="str">
        <f t="shared" si="7"/>
        <v/>
      </c>
      <c r="J35" s="7"/>
    </row>
    <row r="36" spans="1:10" x14ac:dyDescent="0.25">
      <c r="A36" s="6"/>
      <c r="B36" s="23" t="str">
        <f t="shared" si="10"/>
        <v/>
      </c>
      <c r="D36" s="10" t="s">
        <v>265</v>
      </c>
      <c r="E36" s="29"/>
      <c r="F36" s="22"/>
      <c r="G36" s="6" t="str">
        <f t="shared" si="1"/>
        <v/>
      </c>
      <c r="H36" s="6" t="str">
        <f t="shared" si="2"/>
        <v/>
      </c>
      <c r="I36" s="7" t="str">
        <f t="shared" si="7"/>
        <v/>
      </c>
      <c r="J36" s="7"/>
    </row>
  </sheetData>
  <conditionalFormatting sqref="G5:H36">
    <cfRule type="expression" dxfId="17" priority="2">
      <formula>G5=MAX($G5,$H5)</formula>
    </cfRule>
  </conditionalFormatting>
  <conditionalFormatting sqref="I5:I27">
    <cfRule type="expression" dxfId="16" priority="1">
      <formula>I5&lt;1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W36"/>
  <sheetViews>
    <sheetView zoomScaleNormal="100" workbookViewId="0">
      <selection activeCell="K4" sqref="K4"/>
    </sheetView>
  </sheetViews>
  <sheetFormatPr defaultRowHeight="14.3" x14ac:dyDescent="0.25"/>
  <cols>
    <col min="1" max="1" width="15.625" customWidth="1"/>
    <col min="2" max="2" width="15.625" style="23" customWidth="1"/>
    <col min="3" max="3" width="15.625" style="6" customWidth="1"/>
    <col min="4" max="4" width="23.25" customWidth="1"/>
    <col min="5" max="5" width="23.25" style="27" customWidth="1"/>
    <col min="6" max="6" width="23.25" style="19" customWidth="1"/>
    <col min="7" max="8" width="15.625" customWidth="1"/>
    <col min="11" max="11" width="9" style="12"/>
    <col min="12" max="12" width="17.25" bestFit="1" customWidth="1"/>
    <col min="13" max="13" width="36" bestFit="1" customWidth="1"/>
    <col min="14" max="14" width="36.375" bestFit="1" customWidth="1"/>
    <col min="15" max="15" width="34.625" bestFit="1" customWidth="1"/>
    <col min="16" max="16" width="35" bestFit="1" customWidth="1"/>
    <col min="17" max="17" width="41.75" bestFit="1" customWidth="1"/>
    <col min="18" max="19" width="42.125" bestFit="1" customWidth="1"/>
    <col min="20" max="20" width="42.375" bestFit="1" customWidth="1"/>
  </cols>
  <sheetData>
    <row r="2" spans="1:23" x14ac:dyDescent="0.25">
      <c r="L2" s="1" t="s">
        <v>257</v>
      </c>
      <c r="M2" t="s">
        <v>205</v>
      </c>
    </row>
    <row r="4" spans="1:23" ht="51.65" customHeight="1" x14ac:dyDescent="0.25">
      <c r="A4" s="5" t="s">
        <v>200</v>
      </c>
      <c r="B4" s="24" t="s">
        <v>321</v>
      </c>
      <c r="C4" s="26" t="s">
        <v>323</v>
      </c>
      <c r="D4" s="5" t="s">
        <v>201</v>
      </c>
      <c r="E4" s="24" t="s">
        <v>322</v>
      </c>
      <c r="F4" s="24" t="s">
        <v>326</v>
      </c>
      <c r="G4" s="5" t="s">
        <v>202</v>
      </c>
      <c r="H4" s="5" t="s">
        <v>203</v>
      </c>
      <c r="I4" s="5" t="s">
        <v>204</v>
      </c>
      <c r="J4" s="5" t="s">
        <v>325</v>
      </c>
      <c r="K4" s="25" t="s">
        <v>324</v>
      </c>
      <c r="L4" s="1" t="s">
        <v>194</v>
      </c>
      <c r="M4" t="s">
        <v>197</v>
      </c>
      <c r="N4" t="s">
        <v>193</v>
      </c>
      <c r="O4" t="s">
        <v>198</v>
      </c>
      <c r="P4" t="s">
        <v>192</v>
      </c>
      <c r="Q4" t="s">
        <v>199</v>
      </c>
      <c r="R4" t="s">
        <v>191</v>
      </c>
      <c r="S4" t="s">
        <v>196</v>
      </c>
      <c r="T4" t="s">
        <v>190</v>
      </c>
    </row>
    <row r="5" spans="1:23" s="2" customFormat="1" x14ac:dyDescent="0.25">
      <c r="A5" s="6">
        <f t="shared" ref="A5:A25" si="0">52*GETPIVOTDATA("Average of uvax_died_at_week",$L$4,"age",L5)/GETPIVOTDATA("Average of uvax_alive_at_week",$L$4,"age",L5)</f>
        <v>0.49657667511542553</v>
      </c>
      <c r="B5" s="23">
        <f>IFERROR((GETPIVOTDATA("Average of uvax_died_at_week",$L$4,"age",L5)/GETPIVOTDATA("Average of uvax_alive_at_week",$L$4,"age",L5))*SQRT((SQRT(GETPIVOTDATA("Average of uvax_died_at_week",$L$4,"age",L5))/GETPIVOTDATA("Average of uvax_died_at_week",$L$4,"age",L5))^2+(SQRT(GETPIVOTDATA("Average of uvax_alive_at_week",$L$4,"age",L5))/GETPIVOTDATA("Average of uvax_alive_at_week",$L$4,"age",L5))^2)*1.96,"")</f>
        <v>5.6169744612933163E-3</v>
      </c>
      <c r="C5" s="6">
        <f>B5/A5</f>
        <v>1.1311394076227388E-2</v>
      </c>
      <c r="D5" s="6">
        <f>IFERROR(52*GETPIVOTDATA("Average of vax_died_at_week",$L$4,"age",L5)/GETPIVOTDATA("Average of vax_alive_at_week",$L$4,"age",L5),"")</f>
        <v>0.41168219929557709</v>
      </c>
      <c r="E5" s="27">
        <f>IFERROR((GETPIVOTDATA("Average of vax_died_at_week",$L$4,"age",L5)/GETPIVOTDATA("Average of vax_alive_at_week",$L$4,"age",L5))*SQRT((SQRT(GETPIVOTDATA("Average of vax_died_at_week",$L$4,"age",L5))/GETPIVOTDATA("Average of vax_died_at_week",$L$4,"age",L5))^2+(SQRT(GETPIVOTDATA("Average of vax_alive_at_week",$L$4,"age",L5))/GETPIVOTDATA("Average of vax_alive_at_week",$L$4,"age",L5))^2)*1.96,"")</f>
        <v>3.3250932207843412E-3</v>
      </c>
      <c r="F5" s="20">
        <f>E5/D5</f>
        <v>8.0768447760769246E-3</v>
      </c>
      <c r="G5" s="6">
        <f t="shared" ref="G5:G36" si="1">IFERROR(52*GETPIVOTDATA("Average of vax_CO01_died_at_week",$L$4,"age",L5)/GETPIVOTDATA("Average of vax_CO01_alive_at_week",$L$4,"age",L5),"")</f>
        <v>0.40582980724024448</v>
      </c>
      <c r="H5" s="6">
        <f t="shared" ref="H5:H36" si="2">IFERROR(52*GETPIVOTDATA("Average of vax_CO02_died_at_week",$L$4,"age",L5)/GETPIVOTDATA("Average of vax_CO02_alive_at_week",$L$4,"age",L5),"")</f>
        <v>0.41446585772067573</v>
      </c>
      <c r="I5" s="7">
        <f>IFERROR(A5/D5,"")</f>
        <v>1.2062136180896577</v>
      </c>
      <c r="J5" s="6">
        <f>F5+C5</f>
        <v>1.9388238852304313E-2</v>
      </c>
      <c r="K5" s="12">
        <f>J5*I5</f>
        <v>2.3386357734424455E-2</v>
      </c>
      <c r="L5" s="3" t="s">
        <v>22</v>
      </c>
      <c r="M5" s="2">
        <v>11.209876543209877</v>
      </c>
      <c r="N5" s="2">
        <v>1173.8641975308642</v>
      </c>
      <c r="O5" s="2">
        <v>21.950617283950617</v>
      </c>
      <c r="P5" s="2">
        <v>2772.6049382716051</v>
      </c>
      <c r="Q5" s="2">
        <v>14.345679012345679</v>
      </c>
      <c r="R5" s="2">
        <v>1838.148148148148</v>
      </c>
      <c r="S5" s="2">
        <v>3.308641975308642</v>
      </c>
      <c r="T5" s="2">
        <v>415.11111111111109</v>
      </c>
      <c r="V5" s="8"/>
      <c r="W5" s="9"/>
    </row>
    <row r="6" spans="1:23" x14ac:dyDescent="0.25">
      <c r="A6" s="6">
        <f t="shared" si="0"/>
        <v>0.39186346936686856</v>
      </c>
      <c r="B6" s="23">
        <f>IFERROR((GETPIVOTDATA("Average of uvax_died_at_week",$L$4,"age",L6)/GETPIVOTDATA("Average of uvax_alive_at_week",$L$4,"age",L6))*SQRT((SQRT(GETPIVOTDATA("Average of uvax_died_at_week",$L$4,"age",L6))/GETPIVOTDATA("Average of uvax_died_at_week",$L$4,"age",L6))^2+(SQRT(GETPIVOTDATA("Average of uvax_alive_at_week",$L$4,"age",L6))/GETPIVOTDATA("Average of uvax_alive_at_week",$L$4,"age",L6))^2)*1.96,"")</f>
        <v>2.2214012040868889E-3</v>
      </c>
      <c r="C6" s="6">
        <f t="shared" ref="C6:C25" si="3">B6/A6</f>
        <v>5.668814211429285E-3</v>
      </c>
      <c r="D6" s="6">
        <f t="shared" ref="D6:D25" si="4">IFERROR(52*GETPIVOTDATA("Average of vax_died_at_week",$L$4,"age",L6)/GETPIVOTDATA("Average of vax_alive_at_week",$L$4,"age",L6),"")</f>
        <v>0.27471500081926459</v>
      </c>
      <c r="E6" s="27">
        <f t="shared" ref="E6:E25" si="5">IFERROR((GETPIVOTDATA("Average of vax_died_at_week",$L$4,"age",L6)/GETPIVOTDATA("Average of vax_alive_at_week",$L$4,"age",L6))*SQRT((SQRT(GETPIVOTDATA("Average of vax_died_at_week",$L$4,"age",L6))/GETPIVOTDATA("Average of vax_died_at_week",$L$4,"age",L6))^2+(SQRT(GETPIVOTDATA("Average of vax_alive_at_week",$L$4,"age",L6))/GETPIVOTDATA("Average of vax_alive_at_week",$L$4,"age",L6))^2)*1.96,"")</f>
        <v>9.6796671543665285E-4</v>
      </c>
      <c r="F6" s="20">
        <f t="shared" ref="F6:F25" si="6">E6/D6</f>
        <v>3.5235306137267677E-3</v>
      </c>
      <c r="G6" s="6">
        <f t="shared" si="1"/>
        <v>0.26591491048654992</v>
      </c>
      <c r="H6" s="6">
        <f t="shared" si="2"/>
        <v>0.29572118851556461</v>
      </c>
      <c r="I6" s="7">
        <f t="shared" ref="I6:I36" si="7">IFERROR(A6/D6,"")</f>
        <v>1.4264363729619414</v>
      </c>
      <c r="J6" s="6">
        <f t="shared" ref="J6:J25" si="8">F6+C6</f>
        <v>9.1923448251560527E-3</v>
      </c>
      <c r="K6" s="12">
        <f t="shared" ref="K6:K25" si="9">J6*I6</f>
        <v>1.3112295011411071E-2</v>
      </c>
      <c r="L6" s="3" t="s">
        <v>23</v>
      </c>
      <c r="M6" s="2">
        <v>44.543209876543209</v>
      </c>
      <c r="N6" s="2">
        <v>5910.8518518518522</v>
      </c>
      <c r="O6" s="2">
        <v>115.03703703703704</v>
      </c>
      <c r="P6" s="2">
        <v>21775.024691358023</v>
      </c>
      <c r="Q6" s="2">
        <v>75.962962962962962</v>
      </c>
      <c r="R6" s="2">
        <v>14854.654320987655</v>
      </c>
      <c r="S6" s="2">
        <v>16.25925925925926</v>
      </c>
      <c r="T6" s="2">
        <v>2859.0493827160494</v>
      </c>
    </row>
    <row r="7" spans="1:23" x14ac:dyDescent="0.25">
      <c r="A7" s="6">
        <f t="shared" si="0"/>
        <v>0.26820556904268417</v>
      </c>
      <c r="B7" s="23">
        <f t="shared" ref="B7:B36" si="10">IFERROR((GETPIVOTDATA("Average of uvax_died_at_week",$L$4,"age",L7)/GETPIVOTDATA("Average of uvax_alive_at_week",$L$4,"age",L7))*SQRT((SQRT(GETPIVOTDATA("Average of uvax_died_at_week",$L$4,"age",L7))/GETPIVOTDATA("Average of uvax_died_at_week",$L$4,"age",L7))^2+(SQRT(GETPIVOTDATA("Average of uvax_alive_at_week",$L$4,"age",L7))/GETPIVOTDATA("Average of uvax_alive_at_week",$L$4,"age",L7))^2)*1.96,"")</f>
        <v>1.1514330326621032E-3</v>
      </c>
      <c r="C7" s="6">
        <f t="shared" si="3"/>
        <v>4.2930988971331008E-3</v>
      </c>
      <c r="D7" s="6">
        <f t="shared" si="4"/>
        <v>0.15464438892736984</v>
      </c>
      <c r="E7" s="27">
        <f t="shared" si="5"/>
        <v>3.7166763923390133E-4</v>
      </c>
      <c r="F7" s="20">
        <f t="shared" si="6"/>
        <v>2.4033697039499988E-3</v>
      </c>
      <c r="G7" s="6">
        <f t="shared" si="1"/>
        <v>0.14517105884660172</v>
      </c>
      <c r="H7" s="6">
        <f t="shared" si="2"/>
        <v>0.18536867184064951</v>
      </c>
      <c r="I7" s="7">
        <f t="shared" si="7"/>
        <v>1.7343375398421301</v>
      </c>
      <c r="J7" s="6">
        <f t="shared" si="8"/>
        <v>6.6964686010830997E-3</v>
      </c>
      <c r="K7" s="12">
        <f t="shared" si="9"/>
        <v>1.1613936879232534E-2</v>
      </c>
      <c r="L7" s="3" t="s">
        <v>24</v>
      </c>
      <c r="M7" s="2">
        <v>77.481481481481481</v>
      </c>
      <c r="N7" s="2">
        <v>15022.197530864198</v>
      </c>
      <c r="O7" s="2">
        <v>246.69135802469137</v>
      </c>
      <c r="P7" s="2">
        <v>82951.28395061729</v>
      </c>
      <c r="Q7" s="2">
        <v>161.33333333333334</v>
      </c>
      <c r="R7" s="2">
        <v>57789.296296296299</v>
      </c>
      <c r="S7" s="2">
        <v>34.432098765432102</v>
      </c>
      <c r="T7" s="2">
        <v>9658.9629629629635</v>
      </c>
    </row>
    <row r="8" spans="1:23" x14ac:dyDescent="0.25">
      <c r="A8" s="6">
        <f t="shared" si="0"/>
        <v>0.16545958580089373</v>
      </c>
      <c r="B8" s="23">
        <f t="shared" si="10"/>
        <v>7.2139873521931397E-4</v>
      </c>
      <c r="C8" s="6">
        <f t="shared" si="3"/>
        <v>4.3599694253278936E-3</v>
      </c>
      <c r="D8" s="6">
        <f t="shared" si="4"/>
        <v>8.3798231999549749E-2</v>
      </c>
      <c r="E8" s="27">
        <f t="shared" si="5"/>
        <v>1.9247921587441295E-4</v>
      </c>
      <c r="F8" s="20">
        <f t="shared" si="6"/>
        <v>2.2969364780327005E-3</v>
      </c>
      <c r="G8" s="6">
        <f t="shared" si="1"/>
        <v>7.7928113140167787E-2</v>
      </c>
      <c r="H8" s="6">
        <f t="shared" si="2"/>
        <v>9.8706840802436052E-2</v>
      </c>
      <c r="I8" s="7">
        <f t="shared" si="7"/>
        <v>1.9744997221633835</v>
      </c>
      <c r="J8" s="6">
        <f t="shared" si="8"/>
        <v>6.6569059033605941E-3</v>
      </c>
      <c r="K8" s="12">
        <f t="shared" si="9"/>
        <v>1.3144058856653281E-2</v>
      </c>
      <c r="L8" s="3" t="s">
        <v>25</v>
      </c>
      <c r="M8" s="2">
        <v>74.975308641975303</v>
      </c>
      <c r="N8" s="2">
        <v>23562.95061728395</v>
      </c>
      <c r="O8" s="2">
        <v>269.71604938271605</v>
      </c>
      <c r="P8" s="2">
        <v>167369.09876543211</v>
      </c>
      <c r="Q8" s="2">
        <v>177.96296296296296</v>
      </c>
      <c r="R8" s="2">
        <v>118751.41975308642</v>
      </c>
      <c r="S8" s="2">
        <v>31.345679012345681</v>
      </c>
      <c r="T8" s="2">
        <v>16513.296296296296</v>
      </c>
      <c r="V8" s="4"/>
    </row>
    <row r="9" spans="1:23" x14ac:dyDescent="0.25">
      <c r="A9" s="6">
        <f t="shared" si="0"/>
        <v>0.10953891655888731</v>
      </c>
      <c r="B9" s="23">
        <f t="shared" si="10"/>
        <v>4.4836503426905986E-4</v>
      </c>
      <c r="C9" s="6">
        <f t="shared" si="3"/>
        <v>4.0932031131421876E-3</v>
      </c>
      <c r="D9" s="6">
        <f t="shared" si="4"/>
        <v>4.6291695321537471E-2</v>
      </c>
      <c r="E9" s="27">
        <f t="shared" si="5"/>
        <v>1.0294536620252254E-4</v>
      </c>
      <c r="F9" s="20">
        <f t="shared" si="6"/>
        <v>2.2238409176305674E-3</v>
      </c>
      <c r="G9" s="6">
        <f t="shared" si="1"/>
        <v>4.3186793953002976E-2</v>
      </c>
      <c r="H9" s="6">
        <f t="shared" si="2"/>
        <v>5.3149932206044713E-2</v>
      </c>
      <c r="I9" s="7">
        <f t="shared" si="7"/>
        <v>2.3662757606529849</v>
      </c>
      <c r="J9" s="6">
        <f t="shared" si="8"/>
        <v>6.317044030772755E-3</v>
      </c>
      <c r="K9" s="12">
        <f t="shared" si="9"/>
        <v>1.4947868168995199E-2</v>
      </c>
      <c r="L9" s="3" t="s">
        <v>26</v>
      </c>
      <c r="M9" s="2">
        <v>84.975308641975303</v>
      </c>
      <c r="N9" s="2">
        <v>40339.234567901236</v>
      </c>
      <c r="O9" s="2">
        <v>287.53086419753089</v>
      </c>
      <c r="P9" s="2">
        <v>322986.76543209876</v>
      </c>
      <c r="Q9" s="2">
        <v>171.64197530864197</v>
      </c>
      <c r="R9" s="2">
        <v>206669.25925925927</v>
      </c>
      <c r="S9" s="2">
        <v>38.185185185185183</v>
      </c>
      <c r="T9" s="2">
        <v>37359.024691358027</v>
      </c>
    </row>
    <row r="10" spans="1:23" x14ac:dyDescent="0.25">
      <c r="A10" s="6">
        <f t="shared" si="0"/>
        <v>6.9049033548429756E-2</v>
      </c>
      <c r="B10" s="23">
        <f t="shared" si="10"/>
        <v>2.8041137115031312E-4</v>
      </c>
      <c r="C10" s="6">
        <f t="shared" si="3"/>
        <v>4.0610470087700445E-3</v>
      </c>
      <c r="D10" s="6">
        <f t="shared" si="4"/>
        <v>2.7366143243468186E-2</v>
      </c>
      <c r="E10" s="27">
        <f t="shared" si="5"/>
        <v>6.3801273627597422E-5</v>
      </c>
      <c r="F10" s="20">
        <f t="shared" si="6"/>
        <v>2.3313944190080805E-3</v>
      </c>
      <c r="G10" s="6">
        <f t="shared" si="1"/>
        <v>2.5349448274960829E-2</v>
      </c>
      <c r="H10" s="6">
        <f t="shared" si="2"/>
        <v>3.1149858593109935E-2</v>
      </c>
      <c r="I10" s="7">
        <f t="shared" si="7"/>
        <v>2.5231554528572651</v>
      </c>
      <c r="J10" s="6">
        <f t="shared" si="8"/>
        <v>6.392441427778125E-3</v>
      </c>
      <c r="K10" s="12">
        <f t="shared" si="9"/>
        <v>1.6129123445569056E-2</v>
      </c>
      <c r="L10" s="3" t="s">
        <v>27</v>
      </c>
      <c r="M10" s="2">
        <v>86.259259259259252</v>
      </c>
      <c r="N10" s="2">
        <v>64960.814814814818</v>
      </c>
      <c r="O10" s="2">
        <v>261.51851851851853</v>
      </c>
      <c r="P10" s="2">
        <v>496926.54320987652</v>
      </c>
      <c r="Q10" s="2">
        <v>157.50617283950618</v>
      </c>
      <c r="R10" s="2">
        <v>323096.61728395062</v>
      </c>
      <c r="S10" s="2">
        <v>33.913580246913583</v>
      </c>
      <c r="T10" s="2">
        <v>56613.617283950618</v>
      </c>
    </row>
    <row r="11" spans="1:23" x14ac:dyDescent="0.25">
      <c r="A11" s="6">
        <f t="shared" si="0"/>
        <v>4.4219541641532113E-2</v>
      </c>
      <c r="B11" s="23">
        <f t="shared" si="10"/>
        <v>1.9306506321323596E-4</v>
      </c>
      <c r="C11" s="6">
        <f t="shared" si="3"/>
        <v>4.3660575403139043E-3</v>
      </c>
      <c r="D11" s="6">
        <f t="shared" si="4"/>
        <v>1.6638600648672917E-2</v>
      </c>
      <c r="E11" s="27">
        <f t="shared" si="5"/>
        <v>4.6837481784982208E-5</v>
      </c>
      <c r="F11" s="20">
        <f t="shared" si="6"/>
        <v>2.8149892394176749E-3</v>
      </c>
      <c r="G11" s="6">
        <f t="shared" si="1"/>
        <v>1.5007140130253515E-2</v>
      </c>
      <c r="H11" s="6">
        <f t="shared" si="2"/>
        <v>2.1784858633553006E-2</v>
      </c>
      <c r="I11" s="7">
        <f t="shared" si="7"/>
        <v>2.6576478740752174</v>
      </c>
      <c r="J11" s="6">
        <f t="shared" si="8"/>
        <v>7.1810467797315796E-3</v>
      </c>
      <c r="K11" s="12">
        <f t="shared" si="9"/>
        <v>1.9084693707788317E-2</v>
      </c>
      <c r="L11" s="3" t="s">
        <v>28</v>
      </c>
      <c r="M11" s="2">
        <v>74.592592592592595</v>
      </c>
      <c r="N11" s="2">
        <v>87717.209876543217</v>
      </c>
      <c r="O11" s="2">
        <v>179.34567901234567</v>
      </c>
      <c r="P11" s="2">
        <v>560502.38271604944</v>
      </c>
      <c r="Q11" s="2">
        <v>117.82716049382717</v>
      </c>
      <c r="R11" s="2">
        <v>408273.14814814815</v>
      </c>
      <c r="S11" s="2">
        <v>21.160493827160494</v>
      </c>
      <c r="T11" s="2">
        <v>50509.654320987655</v>
      </c>
      <c r="V11" s="4"/>
    </row>
    <row r="12" spans="1:23" x14ac:dyDescent="0.25">
      <c r="A12" s="6">
        <f t="shared" si="0"/>
        <v>2.6118292228686144E-2</v>
      </c>
      <c r="B12" s="23">
        <f t="shared" si="10"/>
        <v>1.3413957626151683E-4</v>
      </c>
      <c r="C12" s="6">
        <f t="shared" si="3"/>
        <v>5.1358478987454303E-3</v>
      </c>
      <c r="D12" s="6">
        <f t="shared" si="4"/>
        <v>1.0207801403192477E-2</v>
      </c>
      <c r="E12" s="27">
        <f t="shared" si="5"/>
        <v>3.786718835125943E-5</v>
      </c>
      <c r="F12" s="20">
        <f t="shared" si="6"/>
        <v>3.7096321583427864E-3</v>
      </c>
      <c r="G12" s="6">
        <f t="shared" si="1"/>
        <v>9.0524606493844958E-3</v>
      </c>
      <c r="H12" s="6">
        <f t="shared" si="2"/>
        <v>1.4412769453599955E-2</v>
      </c>
      <c r="I12" s="7">
        <f t="shared" si="7"/>
        <v>2.5586599108910644</v>
      </c>
      <c r="J12" s="6">
        <f t="shared" si="8"/>
        <v>8.8454800570882171E-3</v>
      </c>
      <c r="K12" s="12">
        <f t="shared" si="9"/>
        <v>2.2632575214658026E-2</v>
      </c>
      <c r="L12" s="3" t="s">
        <v>29</v>
      </c>
      <c r="M12" s="2">
        <v>53.888888888888886</v>
      </c>
      <c r="N12" s="2">
        <v>107289.64197530864</v>
      </c>
      <c r="O12" s="2">
        <v>103.25925925925925</v>
      </c>
      <c r="P12" s="2">
        <v>526017.43209876539</v>
      </c>
      <c r="Q12" s="2">
        <v>72.395061728395063</v>
      </c>
      <c r="R12" s="2">
        <v>415858.55555555556</v>
      </c>
      <c r="S12" s="2">
        <v>11.049382716049383</v>
      </c>
      <c r="T12" s="2">
        <v>39865.1975308642</v>
      </c>
    </row>
    <row r="13" spans="1:23" x14ac:dyDescent="0.25">
      <c r="A13" s="6">
        <f t="shared" si="0"/>
        <v>1.3749234698098743E-2</v>
      </c>
      <c r="B13" s="23">
        <f t="shared" si="10"/>
        <v>8.4217722549378927E-5</v>
      </c>
      <c r="C13" s="6">
        <f t="shared" si="3"/>
        <v>6.1252661983451804E-3</v>
      </c>
      <c r="D13" s="6">
        <f t="shared" si="4"/>
        <v>5.7229857887967127E-3</v>
      </c>
      <c r="E13" s="27">
        <f t="shared" si="5"/>
        <v>2.8691713147951659E-5</v>
      </c>
      <c r="F13" s="20">
        <f t="shared" si="6"/>
        <v>5.0134168084286362E-3</v>
      </c>
      <c r="G13" s="6">
        <f t="shared" si="1"/>
        <v>5.0356186666851962E-3</v>
      </c>
      <c r="H13" s="6">
        <f t="shared" si="2"/>
        <v>8.2139426629835449E-3</v>
      </c>
      <c r="I13" s="7">
        <f t="shared" si="7"/>
        <v>2.4024582980817764</v>
      </c>
      <c r="J13" s="6">
        <f t="shared" si="8"/>
        <v>1.1138683006773818E-2</v>
      </c>
      <c r="K13" s="12">
        <f t="shared" si="9"/>
        <v>2.6760221419326231E-2</v>
      </c>
      <c r="L13" s="3" t="s">
        <v>30</v>
      </c>
      <c r="M13" s="2">
        <v>37.876543209876544</v>
      </c>
      <c r="N13" s="2">
        <v>143250.17283950618</v>
      </c>
      <c r="O13" s="2">
        <v>56.530864197530867</v>
      </c>
      <c r="P13" s="2">
        <v>513648.82716049382</v>
      </c>
      <c r="Q13" s="2">
        <v>40.604938271604937</v>
      </c>
      <c r="R13" s="2">
        <v>419304.34567901236</v>
      </c>
      <c r="S13" s="2">
        <v>5.9506172839506171</v>
      </c>
      <c r="T13" s="2">
        <v>37671.567901234564</v>
      </c>
    </row>
    <row r="14" spans="1:23" x14ac:dyDescent="0.25">
      <c r="A14" s="6">
        <f t="shared" si="0"/>
        <v>7.722190121359814E-3</v>
      </c>
      <c r="B14" s="23">
        <f t="shared" si="10"/>
        <v>5.7429089598216326E-5</v>
      </c>
      <c r="C14" s="6">
        <f t="shared" si="3"/>
        <v>7.4368914382677148E-3</v>
      </c>
      <c r="D14" s="6">
        <f t="shared" si="4"/>
        <v>3.5224798886512396E-3</v>
      </c>
      <c r="E14" s="27">
        <f t="shared" si="5"/>
        <v>2.2193937605429144E-5</v>
      </c>
      <c r="F14" s="20">
        <f t="shared" si="6"/>
        <v>6.3006570106855092E-3</v>
      </c>
      <c r="G14" s="6">
        <f t="shared" si="1"/>
        <v>3.168661906759504E-3</v>
      </c>
      <c r="H14" s="6">
        <f t="shared" si="2"/>
        <v>5.0817680836127074E-3</v>
      </c>
      <c r="I14" s="7">
        <f t="shared" si="7"/>
        <v>2.1922595346077749</v>
      </c>
      <c r="J14" s="6">
        <f t="shared" si="8"/>
        <v>1.3737548448953224E-2</v>
      </c>
      <c r="K14" s="12">
        <f t="shared" si="9"/>
        <v>3.0116271569353956E-2</v>
      </c>
      <c r="L14" s="3" t="s">
        <v>31</v>
      </c>
      <c r="M14" s="2">
        <v>25.691358024691358</v>
      </c>
      <c r="N14" s="2">
        <v>173001.51851851851</v>
      </c>
      <c r="O14" s="2">
        <v>35.790123456790127</v>
      </c>
      <c r="P14" s="2">
        <v>528345.50617283955</v>
      </c>
      <c r="Q14" s="2">
        <v>26.765432098765434</v>
      </c>
      <c r="R14" s="2">
        <v>439239.81481481483</v>
      </c>
      <c r="S14" s="2">
        <v>3.7654320987654319</v>
      </c>
      <c r="T14" s="2">
        <v>38530.382716049382</v>
      </c>
    </row>
    <row r="15" spans="1:23" x14ac:dyDescent="0.25">
      <c r="A15" s="6">
        <f t="shared" si="0"/>
        <v>4.3573545564022879E-3</v>
      </c>
      <c r="B15" s="23">
        <f t="shared" si="10"/>
        <v>3.7631659375467224E-5</v>
      </c>
      <c r="C15" s="6">
        <f t="shared" si="3"/>
        <v>8.6363546707886769E-3</v>
      </c>
      <c r="D15" s="6">
        <f t="shared" si="4"/>
        <v>2.0228080314536193E-3</v>
      </c>
      <c r="E15" s="27">
        <f t="shared" si="5"/>
        <v>1.5305951211335349E-5</v>
      </c>
      <c r="F15" s="20">
        <f t="shared" si="6"/>
        <v>7.5666850108046437E-3</v>
      </c>
      <c r="G15" s="6">
        <f t="shared" si="1"/>
        <v>1.7974668719667457E-3</v>
      </c>
      <c r="H15" s="6">
        <f t="shared" si="2"/>
        <v>2.9016750112599342E-3</v>
      </c>
      <c r="I15" s="7">
        <f t="shared" si="7"/>
        <v>2.1541117538825616</v>
      </c>
      <c r="J15" s="6">
        <f t="shared" si="8"/>
        <v>1.6203039681593319E-2</v>
      </c>
      <c r="K15" s="12">
        <f t="shared" si="9"/>
        <v>3.490315822674573E-2</v>
      </c>
      <c r="L15" s="3" t="s">
        <v>32</v>
      </c>
      <c r="M15" s="2">
        <v>19.049382716049383</v>
      </c>
      <c r="N15" s="2">
        <v>227332.40740740742</v>
      </c>
      <c r="O15" s="2">
        <v>24.814814814814813</v>
      </c>
      <c r="P15" s="2">
        <v>637910.4444444445</v>
      </c>
      <c r="Q15" s="2">
        <v>18.641975308641975</v>
      </c>
      <c r="R15" s="2">
        <v>539304.91358024697</v>
      </c>
      <c r="S15" s="2">
        <v>2.4197530864197532</v>
      </c>
      <c r="T15" s="2">
        <v>43363.629629629628</v>
      </c>
    </row>
    <row r="16" spans="1:23" x14ac:dyDescent="0.25">
      <c r="A16" s="6">
        <f t="shared" si="0"/>
        <v>2.6031516480077396E-3</v>
      </c>
      <c r="B16" s="23">
        <f t="shared" si="10"/>
        <v>2.6375625637593071E-5</v>
      </c>
      <c r="C16" s="6">
        <f t="shared" si="3"/>
        <v>1.0132189439589134E-2</v>
      </c>
      <c r="D16" s="6">
        <f t="shared" si="4"/>
        <v>1.2518342099289085E-3</v>
      </c>
      <c r="E16" s="27">
        <f t="shared" si="5"/>
        <v>1.1684116310595234E-5</v>
      </c>
      <c r="F16" s="20">
        <f t="shared" si="6"/>
        <v>9.3335972271110668E-3</v>
      </c>
      <c r="G16" s="6">
        <f t="shared" si="1"/>
        <v>1.1189289832731677E-3</v>
      </c>
      <c r="H16" s="6">
        <f t="shared" si="2"/>
        <v>1.7558722189045459E-3</v>
      </c>
      <c r="I16" s="7">
        <f t="shared" si="7"/>
        <v>2.0794699708322977</v>
      </c>
      <c r="J16" s="6">
        <f t="shared" si="8"/>
        <v>1.9465786666700201E-2</v>
      </c>
      <c r="K16" s="12">
        <f t="shared" si="9"/>
        <v>4.0478518832030796E-2</v>
      </c>
      <c r="L16" s="3" t="s">
        <v>33</v>
      </c>
      <c r="M16" s="2">
        <v>13.839506172839506</v>
      </c>
      <c r="N16" s="2">
        <v>276455.01234567899</v>
      </c>
      <c r="O16" s="2">
        <v>16.308641975308642</v>
      </c>
      <c r="P16" s="2">
        <v>677445.4444444445</v>
      </c>
      <c r="Q16" s="2">
        <v>12.407407407407407</v>
      </c>
      <c r="R16" s="2">
        <v>576609.59259259258</v>
      </c>
      <c r="S16" s="2">
        <v>1.5308641975308641</v>
      </c>
      <c r="T16" s="2">
        <v>45336.407407407409</v>
      </c>
    </row>
    <row r="17" spans="1:20" x14ac:dyDescent="0.25">
      <c r="A17" s="6">
        <f t="shared" si="0"/>
        <v>1.5150402848385853E-3</v>
      </c>
      <c r="B17" s="23">
        <f t="shared" si="10"/>
        <v>2.0395712522104398E-5</v>
      </c>
      <c r="C17" s="6">
        <f t="shared" si="3"/>
        <v>1.3462158548660235E-2</v>
      </c>
      <c r="D17" s="6">
        <f t="shared" si="4"/>
        <v>8.2705238438492861E-4</v>
      </c>
      <c r="E17" s="27">
        <f t="shared" si="5"/>
        <v>1.0929215807244094E-5</v>
      </c>
      <c r="F17" s="20">
        <f t="shared" si="6"/>
        <v>1.3214659692169383E-2</v>
      </c>
      <c r="G17" s="6">
        <f t="shared" si="1"/>
        <v>7.5430542862126059E-4</v>
      </c>
      <c r="H17" s="6">
        <f t="shared" si="2"/>
        <v>1.0283153990231003E-3</v>
      </c>
      <c r="I17" s="7">
        <f t="shared" si="7"/>
        <v>1.8318552892696236</v>
      </c>
      <c r="J17" s="6">
        <f t="shared" si="8"/>
        <v>2.6676818240829618E-2</v>
      </c>
      <c r="K17" s="12">
        <f t="shared" si="9"/>
        <v>4.8868070595348111E-2</v>
      </c>
      <c r="L17" s="3" t="s">
        <v>34</v>
      </c>
      <c r="M17" s="2">
        <v>7.8395061728395063</v>
      </c>
      <c r="N17" s="2">
        <v>269071.60493827163</v>
      </c>
      <c r="O17" s="2">
        <v>8.1358024691358022</v>
      </c>
      <c r="P17" s="2">
        <v>511529.54320987652</v>
      </c>
      <c r="Q17" s="2">
        <v>6.2962962962962967</v>
      </c>
      <c r="R17" s="2">
        <v>434051.50617283949</v>
      </c>
      <c r="S17" s="2">
        <v>0.69135802469135799</v>
      </c>
      <c r="T17" s="2">
        <v>34960.691358024691</v>
      </c>
    </row>
    <row r="18" spans="1:20" x14ac:dyDescent="0.25">
      <c r="A18" s="6">
        <f t="shared" si="0"/>
        <v>1.0824300064362095E-3</v>
      </c>
      <c r="B18" s="23">
        <f t="shared" si="10"/>
        <v>1.6673574368524369E-5</v>
      </c>
      <c r="C18" s="6">
        <f t="shared" si="3"/>
        <v>1.5403836062731125E-2</v>
      </c>
      <c r="D18" s="6">
        <f t="shared" si="4"/>
        <v>5.5940019247790139E-4</v>
      </c>
      <c r="E18" s="27">
        <f t="shared" si="5"/>
        <v>9.5724676963068088E-6</v>
      </c>
      <c r="F18" s="20">
        <f t="shared" si="6"/>
        <v>1.7112020741188717E-2</v>
      </c>
      <c r="G18" s="6">
        <f t="shared" si="1"/>
        <v>5.0952293053685145E-4</v>
      </c>
      <c r="H18" s="6">
        <f t="shared" si="2"/>
        <v>6.5505235542523139E-4</v>
      </c>
      <c r="I18" s="7">
        <f t="shared" si="7"/>
        <v>1.9349832570516499</v>
      </c>
      <c r="J18" s="6">
        <f t="shared" si="8"/>
        <v>3.2515856803919843E-2</v>
      </c>
      <c r="K18" s="12">
        <f t="shared" si="9"/>
        <v>6.2917638504273871E-2</v>
      </c>
      <c r="L18" s="3" t="s">
        <v>35</v>
      </c>
      <c r="M18" s="2">
        <v>5.9876543209876543</v>
      </c>
      <c r="N18" s="2">
        <v>287647.25925925927</v>
      </c>
      <c r="O18" s="2">
        <v>4.8518518518518521</v>
      </c>
      <c r="P18" s="2">
        <v>451012.17283950618</v>
      </c>
      <c r="Q18" s="2">
        <v>3.7407407407407409</v>
      </c>
      <c r="R18" s="2">
        <v>381765.97530864197</v>
      </c>
      <c r="S18" s="2">
        <v>0.38271604938271603</v>
      </c>
      <c r="T18" s="2">
        <v>30381.135802469136</v>
      </c>
    </row>
    <row r="19" spans="1:20" x14ac:dyDescent="0.25">
      <c r="A19" s="6">
        <f t="shared" si="0"/>
        <v>6.1342270577927744E-4</v>
      </c>
      <c r="B19" s="23">
        <f t="shared" si="10"/>
        <v>1.2503101636237377E-5</v>
      </c>
      <c r="C19" s="6">
        <f t="shared" si="3"/>
        <v>2.0382521739807036E-2</v>
      </c>
      <c r="D19" s="6">
        <f t="shared" si="4"/>
        <v>3.9782906515280263E-4</v>
      </c>
      <c r="E19" s="27">
        <f t="shared" si="5"/>
        <v>8.5353906607840315E-6</v>
      </c>
      <c r="F19" s="20">
        <f t="shared" si="6"/>
        <v>2.1454919734197057E-2</v>
      </c>
      <c r="G19" s="6">
        <f t="shared" si="1"/>
        <v>3.6374700729090804E-4</v>
      </c>
      <c r="H19" s="6">
        <f t="shared" si="2"/>
        <v>5.625311826179595E-4</v>
      </c>
      <c r="I19" s="7">
        <f t="shared" si="7"/>
        <v>1.5419253129322443</v>
      </c>
      <c r="J19" s="6">
        <f t="shared" si="8"/>
        <v>4.1837441474004089E-2</v>
      </c>
      <c r="K19" s="12">
        <f t="shared" si="9"/>
        <v>6.4510210037088206E-2</v>
      </c>
      <c r="L19" s="3" t="s">
        <v>36</v>
      </c>
      <c r="M19" s="2">
        <v>3.4197530864197532</v>
      </c>
      <c r="N19" s="2">
        <v>289893.34567901236</v>
      </c>
      <c r="O19" s="2">
        <v>3.0864197530864197</v>
      </c>
      <c r="P19" s="2">
        <v>403424.08641975309</v>
      </c>
      <c r="Q19" s="2">
        <v>2.3580246913580245</v>
      </c>
      <c r="R19" s="2">
        <v>337094.96296296298</v>
      </c>
      <c r="S19" s="2">
        <v>0.30864197530864196</v>
      </c>
      <c r="T19" s="2">
        <v>28530.654320987655</v>
      </c>
    </row>
    <row r="20" spans="1:20" x14ac:dyDescent="0.25">
      <c r="A20" s="6">
        <f t="shared" si="0"/>
        <v>4.7570234707108421E-4</v>
      </c>
      <c r="B20" s="23">
        <f t="shared" si="10"/>
        <v>1.3089128274947601E-5</v>
      </c>
      <c r="C20" s="6">
        <f t="shared" si="3"/>
        <v>2.7515374594087701E-2</v>
      </c>
      <c r="D20" s="6">
        <f t="shared" si="4"/>
        <v>3.8876016068496402E-4</v>
      </c>
      <c r="E20" s="27">
        <f t="shared" si="5"/>
        <v>9.4684251117642685E-6</v>
      </c>
      <c r="F20" s="20">
        <f t="shared" si="6"/>
        <v>2.4355440884378861E-2</v>
      </c>
      <c r="G20" s="6">
        <f t="shared" si="1"/>
        <v>3.7273198253598053E-4</v>
      </c>
      <c r="H20" s="6">
        <f t="shared" si="2"/>
        <v>5.3663232258023834E-4</v>
      </c>
      <c r="I20" s="7">
        <f t="shared" si="7"/>
        <v>1.223639650299905</v>
      </c>
      <c r="J20" s="6">
        <f t="shared" si="8"/>
        <v>5.1870815478466559E-2</v>
      </c>
      <c r="K20" s="12">
        <f t="shared" si="9"/>
        <v>6.3471186512841712E-2</v>
      </c>
      <c r="L20" s="3" t="s">
        <v>37</v>
      </c>
      <c r="M20" s="2">
        <v>1.8765432098765431</v>
      </c>
      <c r="N20" s="2">
        <v>205128.7901234568</v>
      </c>
      <c r="O20" s="2">
        <v>2.3950617283950617</v>
      </c>
      <c r="P20" s="2">
        <v>320360.01234567899</v>
      </c>
      <c r="Q20" s="2">
        <v>1.9135802469135803</v>
      </c>
      <c r="R20" s="2">
        <v>266964.40740740742</v>
      </c>
      <c r="S20" s="2">
        <v>0.22222222222222221</v>
      </c>
      <c r="T20" s="2">
        <v>21533.469135802468</v>
      </c>
    </row>
    <row r="21" spans="1:20" x14ac:dyDescent="0.25">
      <c r="A21" s="6">
        <f t="shared" si="0"/>
        <v>4.860019076759605E-4</v>
      </c>
      <c r="B21" s="23">
        <f t="shared" si="10"/>
        <v>1.3835379252751166E-5</v>
      </c>
      <c r="C21" s="6">
        <f t="shared" si="3"/>
        <v>2.8467746801471076E-2</v>
      </c>
      <c r="D21" s="6">
        <f t="shared" si="4"/>
        <v>3.3319925521422888E-4</v>
      </c>
      <c r="E21" s="27">
        <f t="shared" si="5"/>
        <v>8.7205928340231757E-6</v>
      </c>
      <c r="F21" s="20">
        <f t="shared" si="6"/>
        <v>2.6172305902713713E-2</v>
      </c>
      <c r="G21" s="6">
        <f t="shared" si="1"/>
        <v>3.1417372762769101E-4</v>
      </c>
      <c r="H21" s="6">
        <f t="shared" si="2"/>
        <v>3.8153096637391501E-4</v>
      </c>
      <c r="I21" s="7">
        <f t="shared" si="7"/>
        <v>1.4585924190121249</v>
      </c>
      <c r="J21" s="6">
        <f t="shared" si="8"/>
        <v>5.4640052704184788E-2</v>
      </c>
      <c r="K21" s="12">
        <f t="shared" si="9"/>
        <v>7.9697566648746887E-2</v>
      </c>
      <c r="L21" s="3" t="s">
        <v>38</v>
      </c>
      <c r="M21" s="2">
        <v>1.7530864197530864</v>
      </c>
      <c r="N21" s="2">
        <v>187572.29629629629</v>
      </c>
      <c r="O21" s="2">
        <v>2.074074074074074</v>
      </c>
      <c r="P21" s="2">
        <v>323685.75308641978</v>
      </c>
      <c r="Q21" s="2">
        <v>1.728395061728395</v>
      </c>
      <c r="R21" s="2">
        <v>286072.75308641978</v>
      </c>
      <c r="S21" s="2">
        <v>0.1111111111111111</v>
      </c>
      <c r="T21" s="2">
        <v>15143.666666666666</v>
      </c>
    </row>
    <row r="22" spans="1:20" x14ac:dyDescent="0.25">
      <c r="A22" s="6">
        <f t="shared" si="0"/>
        <v>1.5886105433865101E-4</v>
      </c>
      <c r="B22" s="23">
        <f t="shared" si="10"/>
        <v>5.8111771590126523E-6</v>
      </c>
      <c r="C22" s="6">
        <f t="shared" si="3"/>
        <v>3.6580250478664922E-2</v>
      </c>
      <c r="D22" s="6">
        <f t="shared" si="4"/>
        <v>1.3371184069777009E-4</v>
      </c>
      <c r="E22" s="27">
        <f t="shared" si="5"/>
        <v>6.4147636679260988E-6</v>
      </c>
      <c r="F22" s="20">
        <f t="shared" si="6"/>
        <v>4.797453714234208E-2</v>
      </c>
      <c r="G22" s="6">
        <f t="shared" si="1"/>
        <v>1.3112901398073799E-4</v>
      </c>
      <c r="H22" s="6">
        <f t="shared" si="2"/>
        <v>2.5477082874010923E-4</v>
      </c>
      <c r="I22" s="7">
        <f t="shared" si="7"/>
        <v>1.188085165155462</v>
      </c>
      <c r="J22" s="6">
        <f t="shared" si="8"/>
        <v>8.4554787621007002E-2</v>
      </c>
      <c r="K22" s="12">
        <f t="shared" si="9"/>
        <v>0.10045828881538912</v>
      </c>
      <c r="L22" s="3" t="s">
        <v>39</v>
      </c>
      <c r="M22" s="2">
        <v>1.0617283950617284</v>
      </c>
      <c r="N22" s="2">
        <v>347535.62962962961</v>
      </c>
      <c r="O22" s="2">
        <v>0.61728395061728392</v>
      </c>
      <c r="P22" s="2">
        <v>240059.25925925927</v>
      </c>
      <c r="Q22" s="2">
        <v>0.59259259259259256</v>
      </c>
      <c r="R22" s="2">
        <v>234996.16049382716</v>
      </c>
      <c r="S22" s="2">
        <v>2.4691358024691357E-2</v>
      </c>
      <c r="T22" s="2">
        <v>5039.6296296296296</v>
      </c>
    </row>
    <row r="23" spans="1:20" x14ac:dyDescent="0.25">
      <c r="A23" s="6">
        <f t="shared" si="0"/>
        <v>8.3880481255143758E-5</v>
      </c>
      <c r="B23" s="23">
        <f t="shared" si="10"/>
        <v>3.425562972304722E-6</v>
      </c>
      <c r="C23" s="6">
        <f t="shared" si="3"/>
        <v>4.0838618484853505E-2</v>
      </c>
      <c r="D23" s="6">
        <f t="shared" si="4"/>
        <v>2.011765734522751E-5</v>
      </c>
      <c r="E23" s="27">
        <f t="shared" si="5"/>
        <v>6.824529696472468E-6</v>
      </c>
      <c r="F23" s="20">
        <f t="shared" si="6"/>
        <v>0.33923083485122801</v>
      </c>
      <c r="G23" s="6">
        <f t="shared" si="1"/>
        <v>2.0135309278350512E-5</v>
      </c>
      <c r="H23" s="6">
        <f t="shared" si="2"/>
        <v>0</v>
      </c>
      <c r="I23" s="7">
        <f t="shared" si="7"/>
        <v>4.169495474334771</v>
      </c>
      <c r="J23" s="6">
        <f t="shared" si="8"/>
        <v>0.3800694533360815</v>
      </c>
      <c r="K23" s="12">
        <f t="shared" si="9"/>
        <v>1.5846978656176822</v>
      </c>
      <c r="L23" s="3" t="s">
        <v>40</v>
      </c>
      <c r="M23" s="2">
        <v>0.85185185185185186</v>
      </c>
      <c r="N23" s="2">
        <v>528088.24691358022</v>
      </c>
      <c r="O23" s="2">
        <v>1.2345679012345678E-2</v>
      </c>
      <c r="P23" s="2">
        <v>31911.037037037036</v>
      </c>
      <c r="Q23" s="2">
        <v>1.2345679012345678E-2</v>
      </c>
      <c r="R23" s="2">
        <v>31883.061728395063</v>
      </c>
      <c r="S23" s="2">
        <v>0</v>
      </c>
      <c r="T23" s="2">
        <v>25.271604938271604</v>
      </c>
    </row>
    <row r="24" spans="1:20" x14ac:dyDescent="0.25">
      <c r="A24" s="6">
        <f t="shared" si="0"/>
        <v>1.2666873615421219E-4</v>
      </c>
      <c r="B24" s="23">
        <f t="shared" si="10"/>
        <v>4.4799306366582901E-6</v>
      </c>
      <c r="C24" s="6">
        <f t="shared" si="3"/>
        <v>3.536729561431972E-2</v>
      </c>
      <c r="D24" s="6">
        <f t="shared" si="4"/>
        <v>1.0674527498198673E-4</v>
      </c>
      <c r="E24" s="27">
        <f t="shared" si="5"/>
        <v>3.6211318911016691E-5</v>
      </c>
      <c r="F24" s="20">
        <f t="shared" si="6"/>
        <v>0.33923111741599193</v>
      </c>
      <c r="G24" s="6">
        <f t="shared" si="1"/>
        <v>1.0681412493555204E-4</v>
      </c>
      <c r="H24" s="6" t="str">
        <f t="shared" si="2"/>
        <v/>
      </c>
      <c r="I24" s="7">
        <f t="shared" si="7"/>
        <v>1.1866448999788284</v>
      </c>
      <c r="J24" s="6">
        <f t="shared" si="8"/>
        <v>0.37459841303031166</v>
      </c>
      <c r="K24" s="12">
        <f t="shared" si="9"/>
        <v>0.44451529636258202</v>
      </c>
      <c r="L24" s="3" t="s">
        <v>41</v>
      </c>
      <c r="M24" s="2">
        <v>1.1358024691358024</v>
      </c>
      <c r="N24" s="2">
        <v>466269.18518518517</v>
      </c>
      <c r="O24" s="2">
        <v>1.2345679012345678E-2</v>
      </c>
      <c r="P24" s="2">
        <v>6014.0864197530864</v>
      </c>
      <c r="Q24" s="2">
        <v>1.2345679012345678E-2</v>
      </c>
      <c r="R24" s="2">
        <v>6010.2098765432102</v>
      </c>
      <c r="S24" s="2">
        <v>0</v>
      </c>
      <c r="T24" s="2">
        <v>0</v>
      </c>
    </row>
    <row r="25" spans="1:20" x14ac:dyDescent="0.25">
      <c r="A25" s="6">
        <f t="shared" si="0"/>
        <v>8.0507964473179594E-4</v>
      </c>
      <c r="B25" s="23">
        <f t="shared" si="10"/>
        <v>1.9074822916678276E-5</v>
      </c>
      <c r="C25" s="6">
        <f t="shared" si="3"/>
        <v>2.3693088058427882E-2</v>
      </c>
      <c r="D25" s="6">
        <f t="shared" si="4"/>
        <v>5.7649667405764965E-2</v>
      </c>
      <c r="E25" s="27">
        <f t="shared" si="5"/>
        <v>1.9567378671671375E-2</v>
      </c>
      <c r="F25" s="20">
        <f t="shared" si="6"/>
        <v>0.33941876080476119</v>
      </c>
      <c r="G25" s="6">
        <f t="shared" si="1"/>
        <v>9.6118299445471345E-2</v>
      </c>
      <c r="H25" s="6">
        <f t="shared" si="2"/>
        <v>0</v>
      </c>
      <c r="I25" s="7">
        <f t="shared" si="7"/>
        <v>1.3965035375924615E-2</v>
      </c>
      <c r="J25" s="6">
        <f t="shared" si="8"/>
        <v>0.36311184886318909</v>
      </c>
      <c r="K25" s="12">
        <f t="shared" si="9"/>
        <v>5.0708698147918282E-3</v>
      </c>
      <c r="L25" s="3" t="s">
        <v>42</v>
      </c>
      <c r="M25" s="2">
        <v>2.5308641975308643</v>
      </c>
      <c r="N25" s="2">
        <v>163468.22222222222</v>
      </c>
      <c r="O25" s="2">
        <v>1.2345679012345678E-2</v>
      </c>
      <c r="P25" s="2">
        <v>11.135802469135802</v>
      </c>
      <c r="Q25" s="2">
        <v>1.2345679012345678E-2</v>
      </c>
      <c r="R25" s="2">
        <v>6.6790123456790127</v>
      </c>
      <c r="S25" s="2">
        <v>0</v>
      </c>
      <c r="T25" s="2">
        <v>1</v>
      </c>
    </row>
    <row r="26" spans="1:20" x14ac:dyDescent="0.25">
      <c r="A26" s="6"/>
      <c r="B26" s="23" t="str">
        <f t="shared" si="10"/>
        <v/>
      </c>
      <c r="D26" s="6"/>
      <c r="F26" s="20"/>
      <c r="G26" s="6" t="str">
        <f t="shared" si="1"/>
        <v/>
      </c>
      <c r="H26" s="6" t="str">
        <f t="shared" si="2"/>
        <v/>
      </c>
      <c r="I26" s="7" t="str">
        <f t="shared" si="7"/>
        <v/>
      </c>
      <c r="L26" s="3" t="s">
        <v>195</v>
      </c>
      <c r="M26" s="2">
        <v>30.039976484420929</v>
      </c>
      <c r="N26" s="2">
        <v>186223.35508524397</v>
      </c>
      <c r="O26" s="2">
        <v>78.080540858318642</v>
      </c>
      <c r="P26" s="2">
        <v>325078.97354497353</v>
      </c>
      <c r="Q26" s="2">
        <v>50.669606114050559</v>
      </c>
      <c r="R26" s="2">
        <v>261925.49911816578</v>
      </c>
      <c r="S26" s="2">
        <v>9.764844209288654</v>
      </c>
      <c r="T26" s="2">
        <v>24491.019988242209</v>
      </c>
    </row>
    <row r="27" spans="1:20" x14ac:dyDescent="0.25">
      <c r="A27" s="6"/>
      <c r="B27" s="23" t="str">
        <f t="shared" si="10"/>
        <v/>
      </c>
      <c r="D27" s="6"/>
      <c r="F27" s="20"/>
      <c r="G27" s="6" t="str">
        <f t="shared" si="1"/>
        <v/>
      </c>
      <c r="H27" s="6" t="str">
        <f t="shared" si="2"/>
        <v/>
      </c>
      <c r="I27" s="7" t="str">
        <f t="shared" si="7"/>
        <v/>
      </c>
    </row>
    <row r="28" spans="1:20" x14ac:dyDescent="0.25">
      <c r="A28" s="6"/>
      <c r="B28" s="23" t="str">
        <f t="shared" si="10"/>
        <v/>
      </c>
      <c r="D28" s="6"/>
      <c r="F28" s="20"/>
      <c r="G28" s="6" t="str">
        <f t="shared" si="1"/>
        <v/>
      </c>
      <c r="H28" s="6" t="str">
        <f t="shared" si="2"/>
        <v/>
      </c>
      <c r="I28" s="7" t="str">
        <f t="shared" si="7"/>
        <v/>
      </c>
    </row>
    <row r="29" spans="1:20" x14ac:dyDescent="0.25">
      <c r="A29" s="6"/>
      <c r="B29" s="23" t="str">
        <f t="shared" si="10"/>
        <v/>
      </c>
      <c r="D29" s="6" t="s">
        <v>258</v>
      </c>
      <c r="F29" s="20"/>
      <c r="G29" s="6" t="str">
        <f t="shared" si="1"/>
        <v/>
      </c>
      <c r="H29" s="6" t="str">
        <f t="shared" si="2"/>
        <v/>
      </c>
      <c r="I29" s="7" t="str">
        <f t="shared" si="7"/>
        <v/>
      </c>
    </row>
    <row r="30" spans="1:20" x14ac:dyDescent="0.25">
      <c r="A30" s="6"/>
      <c r="B30" s="23" t="str">
        <f t="shared" si="10"/>
        <v/>
      </c>
      <c r="D30" s="11" t="s">
        <v>259</v>
      </c>
      <c r="E30" s="28"/>
      <c r="F30" s="21"/>
      <c r="G30" s="6" t="str">
        <f t="shared" si="1"/>
        <v/>
      </c>
      <c r="H30" s="6" t="str">
        <f t="shared" si="2"/>
        <v/>
      </c>
      <c r="I30" s="7" t="str">
        <f t="shared" si="7"/>
        <v/>
      </c>
    </row>
    <row r="31" spans="1:20" x14ac:dyDescent="0.25">
      <c r="A31" s="6"/>
      <c r="B31" s="23" t="str">
        <f t="shared" si="10"/>
        <v/>
      </c>
      <c r="D31" s="11" t="s">
        <v>260</v>
      </c>
      <c r="E31" s="28"/>
      <c r="F31" s="21"/>
      <c r="G31" s="6" t="str">
        <f t="shared" si="1"/>
        <v/>
      </c>
      <c r="H31" s="6" t="str">
        <f t="shared" si="2"/>
        <v/>
      </c>
      <c r="I31" s="7" t="str">
        <f t="shared" si="7"/>
        <v/>
      </c>
      <c r="J31" s="7"/>
    </row>
    <row r="32" spans="1:20" x14ac:dyDescent="0.25">
      <c r="A32" s="6"/>
      <c r="B32" s="23" t="str">
        <f t="shared" si="10"/>
        <v/>
      </c>
      <c r="D32" s="11" t="s">
        <v>261</v>
      </c>
      <c r="E32" s="28"/>
      <c r="F32" s="21"/>
      <c r="G32" s="6" t="str">
        <f t="shared" si="1"/>
        <v/>
      </c>
      <c r="H32" s="6" t="str">
        <f t="shared" si="2"/>
        <v/>
      </c>
      <c r="I32" s="7" t="str">
        <f t="shared" si="7"/>
        <v/>
      </c>
      <c r="J32" s="7"/>
    </row>
    <row r="33" spans="1:10" x14ac:dyDescent="0.25">
      <c r="A33" s="6"/>
      <c r="B33" s="23" t="str">
        <f t="shared" si="10"/>
        <v/>
      </c>
      <c r="D33" s="11" t="s">
        <v>263</v>
      </c>
      <c r="E33" s="28"/>
      <c r="F33" s="21"/>
      <c r="G33" s="6" t="str">
        <f t="shared" si="1"/>
        <v/>
      </c>
      <c r="H33" s="6" t="str">
        <f t="shared" si="2"/>
        <v/>
      </c>
      <c r="I33" s="7" t="str">
        <f t="shared" si="7"/>
        <v/>
      </c>
      <c r="J33" s="7"/>
    </row>
    <row r="34" spans="1:10" x14ac:dyDescent="0.25">
      <c r="A34" s="6"/>
      <c r="B34" s="23" t="str">
        <f t="shared" si="10"/>
        <v/>
      </c>
      <c r="D34" s="11" t="s">
        <v>262</v>
      </c>
      <c r="E34" s="28"/>
      <c r="F34" s="21"/>
      <c r="G34" s="6" t="str">
        <f t="shared" si="1"/>
        <v/>
      </c>
      <c r="H34" s="6" t="str">
        <f t="shared" si="2"/>
        <v/>
      </c>
      <c r="I34" s="7" t="str">
        <f t="shared" si="7"/>
        <v/>
      </c>
      <c r="J34" s="7"/>
    </row>
    <row r="35" spans="1:10" x14ac:dyDescent="0.25">
      <c r="A35" s="6"/>
      <c r="B35" s="23" t="str">
        <f t="shared" si="10"/>
        <v/>
      </c>
      <c r="D35" s="11" t="s">
        <v>264</v>
      </c>
      <c r="E35" s="28"/>
      <c r="F35" s="21"/>
      <c r="G35" s="6" t="str">
        <f t="shared" si="1"/>
        <v/>
      </c>
      <c r="H35" s="6" t="str">
        <f t="shared" si="2"/>
        <v/>
      </c>
      <c r="I35" s="7" t="str">
        <f t="shared" si="7"/>
        <v/>
      </c>
      <c r="J35" s="7"/>
    </row>
    <row r="36" spans="1:10" x14ac:dyDescent="0.25">
      <c r="A36" s="6"/>
      <c r="B36" s="23" t="str">
        <f t="shared" si="10"/>
        <v/>
      </c>
      <c r="D36" s="10" t="s">
        <v>265</v>
      </c>
      <c r="E36" s="29"/>
      <c r="F36" s="22"/>
      <c r="G36" s="6" t="str">
        <f t="shared" si="1"/>
        <v/>
      </c>
      <c r="H36" s="6" t="str">
        <f t="shared" si="2"/>
        <v/>
      </c>
      <c r="I36" s="7" t="str">
        <f t="shared" si="7"/>
        <v/>
      </c>
      <c r="J36" s="7"/>
    </row>
  </sheetData>
  <conditionalFormatting sqref="G5:H36">
    <cfRule type="expression" dxfId="15" priority="2">
      <formula>G5=MAX($G5,$H5)</formula>
    </cfRule>
  </conditionalFormatting>
  <conditionalFormatting sqref="I5:I27">
    <cfRule type="expression" dxfId="14" priority="1">
      <formula>I5&lt;1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ht="14.95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ht="14.95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ht="14.95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ht="14.95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ht="14.95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ht="14.95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ht="14.95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ht="14.95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ht="14.95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ht="14.95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ht="14.95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ht="14.95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ht="14.95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ht="14.95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ht="14.95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ht="14.95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ht="14.95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ht="14.95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ht="14.95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ht="14.95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9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9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9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9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9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9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ht="14.9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ht="14.95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ht="14.95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ht="14.95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ht="14.95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ht="14.95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ht="14.95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ht="14.95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ht="14.95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ht="14.95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ht="14.95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ht="14.95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ht="14.95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ht="14.95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ht="14.95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ht="14.95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ht="14.95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ht="14.95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ht="14.95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ht="14.95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ht="14.95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9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9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9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9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9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9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ht="14.9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ht="14.95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ht="14.95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ht="14.95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ht="14.95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ht="14.95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ht="14.95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ht="14.95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ht="14.95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ht="14.95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ht="14.95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ht="14.95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ht="14.95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ht="14.95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ht="14.95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ht="14.95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ht="14.95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ht="14.95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ht="14.95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ht="14.95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ht="14.95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9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9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9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9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9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9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ht="14.9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Normal="100" workbookViewId="0">
      <selection activeCell="E31" sqref="E31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ht="14.95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ht="14.95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ht="14.95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ht="14.95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ht="14.95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ht="14.95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ht="14.95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ht="14.95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ht="14.95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ht="14.95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ht="14.95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ht="14.95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ht="14.95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ht="14.95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ht="14.95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ht="14.95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ht="14.95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ht="14.95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ht="14.95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ht="14.95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E38" sqref="E38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ht="14.95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ht="14.95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ht="14.95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ht="14.95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ht="14.95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ht="14.95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ht="14.95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ht="14.95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ht="14.95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ht="14.95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ht="14.95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ht="14.95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ht="14.95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ht="14.95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ht="14.95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ht="14.95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ht="14.95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ht="14.95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ht="14.95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ht="14.95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topLeftCell="A7" zoomScaleNormal="100" workbookViewId="0">
      <selection activeCell="A5" sqref="A5:B25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ht="14.95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ht="14.95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ht="14.95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ht="14.95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ht="14.95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ht="14.95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ht="14.95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ht="14.95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ht="14.95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ht="14.95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ht="14.95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ht="14.95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ht="14.95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ht="14.95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ht="14.95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ht="14.95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ht="14.95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ht="14.95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ht="14.95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ht="14.95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topLeftCell="A2" zoomScaleNormal="100" workbookViewId="0">
      <selection activeCell="B27" sqref="B27"/>
    </sheetView>
  </sheetViews>
  <sheetFormatPr defaultRowHeight="14.3" x14ac:dyDescent="0.25"/>
  <cols>
    <col min="1" max="1" width="15.625" customWidth="1"/>
    <col min="2" max="2" width="23.25" customWidth="1"/>
    <col min="3" max="4" width="15.625" customWidth="1"/>
    <col min="6" max="6" width="17.25" bestFit="1" customWidth="1"/>
    <col min="7" max="7" width="36" bestFit="1" customWidth="1"/>
    <col min="8" max="8" width="36.375" bestFit="1" customWidth="1"/>
    <col min="9" max="9" width="34.625" bestFit="1" customWidth="1"/>
    <col min="10" max="10" width="35" bestFit="1" customWidth="1"/>
    <col min="11" max="11" width="41.75" bestFit="1" customWidth="1"/>
    <col min="12" max="13" width="42.125" bestFit="1" customWidth="1"/>
    <col min="14" max="14" width="42.375" bestFit="1" customWidth="1"/>
  </cols>
  <sheetData>
    <row r="2" spans="1:17" ht="14.95" x14ac:dyDescent="0.25">
      <c r="F2" s="1" t="s">
        <v>257</v>
      </c>
      <c r="G2" t="s">
        <v>205</v>
      </c>
    </row>
    <row r="4" spans="1:17" ht="51.65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95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ht="14.95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ht="14.95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ht="14.95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ht="14.95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ht="14.95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ht="14.95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ht="14.95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ht="14.95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ht="14.95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ht="14.95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ht="14.95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ht="14.95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ht="14.95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ht="14.95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ht="14.95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ht="14.95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ht="14.95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ht="14.95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ht="14.95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ht="14.95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ht="14.9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ht="14.9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9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95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dimension ref="A1:K46"/>
  <sheetViews>
    <sheetView topLeftCell="A12" workbookViewId="0">
      <selection activeCell="R24" sqref="R24"/>
    </sheetView>
  </sheetViews>
  <sheetFormatPr defaultRowHeight="14.3" x14ac:dyDescent="0.25"/>
  <cols>
    <col min="1" max="1" width="15" customWidth="1"/>
    <col min="7" max="7" width="14.375" customWidth="1"/>
    <col min="8" max="8" width="12" bestFit="1" customWidth="1"/>
  </cols>
  <sheetData>
    <row r="1" spans="1:11" ht="14.95" x14ac:dyDescent="0.25">
      <c r="B1" t="s">
        <v>306</v>
      </c>
      <c r="D1" t="s">
        <v>307</v>
      </c>
      <c r="H1" t="s">
        <v>306</v>
      </c>
      <c r="J1" t="s">
        <v>307</v>
      </c>
    </row>
    <row r="2" spans="1:11" ht="15.8" thickBot="1" x14ac:dyDescent="0.3">
      <c r="A2" t="s">
        <v>303</v>
      </c>
      <c r="B2" t="s">
        <v>304</v>
      </c>
      <c r="C2" t="s">
        <v>305</v>
      </c>
      <c r="D2" t="s">
        <v>308</v>
      </c>
      <c r="E2" t="s">
        <v>305</v>
      </c>
      <c r="G2" t="s">
        <v>309</v>
      </c>
      <c r="H2" t="s">
        <v>304</v>
      </c>
      <c r="I2" t="s">
        <v>305</v>
      </c>
      <c r="J2" t="s">
        <v>308</v>
      </c>
      <c r="K2" t="s">
        <v>305</v>
      </c>
    </row>
    <row r="3" spans="1:11" ht="16.5" thickBot="1" x14ac:dyDescent="0.3">
      <c r="A3" t="s">
        <v>22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3">
      <c r="A4" t="s">
        <v>23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3">
      <c r="A5" t="s">
        <v>24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3">
      <c r="A6" t="s">
        <v>25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3">
      <c r="A7" t="s">
        <v>26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3">
      <c r="A8" t="s">
        <v>27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3">
      <c r="A9" t="s">
        <v>28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3">
      <c r="A10" t="s">
        <v>29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3">
      <c r="A11" t="s">
        <v>30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3">
      <c r="A12" t="s">
        <v>31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3">
      <c r="A13" t="s">
        <v>32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3">
      <c r="A14" t="s">
        <v>33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3">
      <c r="A15" t="s">
        <v>34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3">
      <c r="A16" t="s">
        <v>35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3">
      <c r="A17" t="s">
        <v>36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3">
      <c r="A18" t="s">
        <v>37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3">
      <c r="A19" t="s">
        <v>38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3" si="2">C19*$G19</f>
        <v>3.0109714896853056E-3</v>
      </c>
      <c r="J19">
        <f t="shared" ref="J19:J23" si="3">D19*$G19</f>
        <v>4.4112481461244246E-3</v>
      </c>
      <c r="K19">
        <f t="shared" ref="K19:K23" si="4">E19*$G19</f>
        <v>2.4376672745373535E-3</v>
      </c>
    </row>
    <row r="20" spans="1:11" ht="16.5" thickBot="1" x14ac:dyDescent="0.3">
      <c r="A20" t="s">
        <v>39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3">
      <c r="A21" t="s">
        <v>40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3">
      <c r="A22" t="s">
        <v>41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5.8" x14ac:dyDescent="0.25">
      <c r="A23" t="s">
        <v>42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ht="14.95" x14ac:dyDescent="0.25">
      <c r="A24" t="s">
        <v>309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ht="14.95" x14ac:dyDescent="0.25">
      <c r="A25" t="s">
        <v>310</v>
      </c>
      <c r="B25">
        <f>D24/B24</f>
        <v>1.5127899143967316</v>
      </c>
      <c r="C25">
        <f>E24/C24</f>
        <v>1.4522649584936103</v>
      </c>
      <c r="G25" t="s">
        <v>310</v>
      </c>
      <c r="H25">
        <f>J24/H24</f>
        <v>1.4915525954941096</v>
      </c>
      <c r="I25">
        <f>K24/I24</f>
        <v>1.4702762843357431</v>
      </c>
    </row>
    <row r="26" spans="1:11" ht="14.95" x14ac:dyDescent="0.25">
      <c r="C26" s="6"/>
      <c r="D26" s="6"/>
      <c r="E26" s="6"/>
      <c r="F26" s="6"/>
    </row>
    <row r="27" spans="1:11" ht="14.95" x14ac:dyDescent="0.25">
      <c r="C27" s="6"/>
      <c r="D27" s="6"/>
      <c r="E27" s="6"/>
      <c r="F27" s="6"/>
      <c r="H27" t="s">
        <v>311</v>
      </c>
    </row>
    <row r="28" spans="1:11" ht="14.95" x14ac:dyDescent="0.25">
      <c r="C28" s="6"/>
      <c r="D28" s="6"/>
      <c r="E28" s="6"/>
      <c r="F28" s="6"/>
      <c r="H28" t="s">
        <v>312</v>
      </c>
    </row>
    <row r="29" spans="1:11" ht="14.95" x14ac:dyDescent="0.25">
      <c r="C29" s="6"/>
      <c r="D29" s="6"/>
      <c r="E29" s="6"/>
      <c r="F29" s="6"/>
      <c r="H29" t="s">
        <v>313</v>
      </c>
    </row>
    <row r="30" spans="1:11" ht="14.95" x14ac:dyDescent="0.25">
      <c r="C30" s="6"/>
      <c r="D30" s="6"/>
      <c r="E30" s="6"/>
      <c r="F30" s="6"/>
    </row>
    <row r="31" spans="1:11" ht="14.95" x14ac:dyDescent="0.25">
      <c r="C31" s="6"/>
      <c r="D31" s="6"/>
      <c r="E31" s="6"/>
      <c r="F31" s="6"/>
      <c r="H31" t="s">
        <v>317</v>
      </c>
    </row>
    <row r="32" spans="1:11" ht="14.95" x14ac:dyDescent="0.25">
      <c r="C32" s="6"/>
      <c r="D32" s="6"/>
      <c r="E32" s="6"/>
      <c r="F32" s="6"/>
      <c r="H32" t="s">
        <v>318</v>
      </c>
    </row>
    <row r="33" spans="3:10" ht="14.95" x14ac:dyDescent="0.25">
      <c r="C33" s="6"/>
      <c r="D33" s="6"/>
      <c r="E33" s="6"/>
      <c r="F33" s="6"/>
      <c r="H33" t="s">
        <v>314</v>
      </c>
      <c r="J33" t="s">
        <v>315</v>
      </c>
    </row>
    <row r="34" spans="3:10" ht="14.95" x14ac:dyDescent="0.25">
      <c r="C34" s="6"/>
      <c r="D34" s="6"/>
      <c r="E34" s="6"/>
      <c r="F34" s="6"/>
    </row>
    <row r="35" spans="3:10" ht="14.95" x14ac:dyDescent="0.25">
      <c r="C35" s="6"/>
      <c r="D35" s="6"/>
      <c r="E35" s="6"/>
      <c r="F35" s="6"/>
      <c r="H35" t="s">
        <v>316</v>
      </c>
    </row>
    <row r="36" spans="3:10" ht="14.95" x14ac:dyDescent="0.25">
      <c r="C36" s="6"/>
      <c r="D36" s="6"/>
      <c r="E36" s="6"/>
      <c r="F36" s="6"/>
    </row>
    <row r="37" spans="3:10" ht="14.95" x14ac:dyDescent="0.25">
      <c r="C37" s="6"/>
      <c r="D37" s="6"/>
      <c r="E37" s="6"/>
      <c r="F37" s="6"/>
    </row>
    <row r="38" spans="3:10" ht="14.95" x14ac:dyDescent="0.25">
      <c r="C38" s="6"/>
      <c r="D38" s="6"/>
      <c r="E38" s="6"/>
      <c r="F38" s="6"/>
    </row>
    <row r="39" spans="3:10" ht="14.95" x14ac:dyDescent="0.25">
      <c r="C39" s="6"/>
      <c r="D39" s="6"/>
      <c r="E39" s="6"/>
      <c r="F39" s="6"/>
    </row>
    <row r="40" spans="3:10" ht="14.95" x14ac:dyDescent="0.25">
      <c r="C40" s="6"/>
      <c r="D40" s="6"/>
      <c r="E40" s="6"/>
      <c r="F40" s="6"/>
    </row>
    <row r="41" spans="3:10" ht="14.95" x14ac:dyDescent="0.25">
      <c r="C41" s="6"/>
      <c r="D41" s="6"/>
      <c r="E41" s="6"/>
      <c r="F41" s="6"/>
    </row>
    <row r="42" spans="3:10" x14ac:dyDescent="0.25">
      <c r="C42" s="6"/>
      <c r="D42" s="6"/>
      <c r="E42" s="6"/>
      <c r="F42" s="6"/>
    </row>
    <row r="43" spans="3:10" x14ac:dyDescent="0.25">
      <c r="C43" s="6"/>
      <c r="D43" s="6"/>
      <c r="E43" s="6"/>
      <c r="F43" s="6"/>
    </row>
    <row r="44" spans="3:10" x14ac:dyDescent="0.25">
      <c r="C44" s="6"/>
      <c r="D44" s="6"/>
      <c r="E44" s="6"/>
      <c r="F44" s="6"/>
    </row>
    <row r="45" spans="3:10" x14ac:dyDescent="0.25">
      <c r="C45" s="6"/>
      <c r="D45" s="6"/>
      <c r="E45" s="6"/>
      <c r="F45" s="6"/>
    </row>
    <row r="46" spans="3:10" x14ac:dyDescent="0.25">
      <c r="C46" s="6"/>
      <c r="D46" s="6"/>
      <c r="E46" s="6"/>
      <c r="F46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:F19"/>
  <sheetViews>
    <sheetView workbookViewId="0">
      <selection activeCell="L20" sqref="L20"/>
    </sheetView>
  </sheetViews>
  <sheetFormatPr defaultRowHeight="14.3" x14ac:dyDescent="0.25"/>
  <sheetData>
    <row r="1" spans="1:6" x14ac:dyDescent="0.25">
      <c r="A1" t="s">
        <v>194</v>
      </c>
      <c r="B1" t="s">
        <v>202</v>
      </c>
      <c r="C1" t="s">
        <v>203</v>
      </c>
      <c r="D1" t="s">
        <v>292</v>
      </c>
      <c r="F1" t="s">
        <v>293</v>
      </c>
    </row>
    <row r="2" spans="1:6" x14ac:dyDescent="0.25">
      <c r="A2" t="s">
        <v>22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25">
      <c r="A3" t="s">
        <v>23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25">
      <c r="A4" t="s">
        <v>24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25">
      <c r="A5" t="s">
        <v>25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25">
      <c r="A6" t="s">
        <v>26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25">
      <c r="A7" t="s">
        <v>27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25">
      <c r="A8" t="s">
        <v>28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25">
      <c r="A9" t="s">
        <v>29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25">
      <c r="A10" t="s">
        <v>30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25">
      <c r="A11" t="s">
        <v>31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25">
      <c r="A12" t="s">
        <v>32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25">
      <c r="A13" t="s">
        <v>33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25">
      <c r="A14" t="s">
        <v>34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25">
      <c r="A15" t="s">
        <v>35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25">
      <c r="A16" t="s">
        <v>36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25">
      <c r="A17" t="s">
        <v>37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25">
      <c r="A18" t="s">
        <v>38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25">
      <c r="A19" t="s">
        <v>39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dimension ref="A1:H5"/>
  <sheetViews>
    <sheetView workbookViewId="0">
      <selection activeCell="G11" sqref="G11"/>
    </sheetView>
  </sheetViews>
  <sheetFormatPr defaultRowHeight="14.3" x14ac:dyDescent="0.25"/>
  <sheetData>
    <row r="1" spans="1:8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3" spans="1:8" x14ac:dyDescent="0.25">
      <c r="A3" t="s">
        <v>294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25">
      <c r="A4" t="s">
        <v>295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25">
      <c r="F5">
        <f>F4/F3</f>
        <v>1.4212075827909385</v>
      </c>
      <c r="G5">
        <f>G4/G3</f>
        <v>1.2388613808690505</v>
      </c>
      <c r="H5" t="s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43B-6EA4-4838-96C4-C108064C2B1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4.3" x14ac:dyDescent="0.25"/>
  <cols>
    <col min="1" max="1" width="10.625" bestFit="1" customWidth="1"/>
    <col min="2" max="2" width="12.75" bestFit="1" customWidth="1"/>
    <col min="3" max="3" width="10.75" bestFit="1" customWidth="1"/>
    <col min="4" max="4" width="18.75" bestFit="1" customWidth="1"/>
    <col min="5" max="5" width="17.75" bestFit="1" customWidth="1"/>
    <col min="6" max="7" width="23.25" bestFit="1" customWidth="1"/>
    <col min="8" max="8" width="19.125" bestFit="1" customWidth="1"/>
    <col min="9" max="9" width="18.125" bestFit="1" customWidth="1"/>
    <col min="10" max="11" width="23.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FINAL ACM ratio</vt:lpstr>
      <vt:lpstr>summary ratio U V</vt:lpstr>
      <vt:lpstr>Low-2021 w 24-38moe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ASMR</vt:lpstr>
      <vt:lpstr>baseline period MRR</vt:lpstr>
      <vt:lpstr>total for all ages</vt:lpstr>
      <vt:lpstr>Sheet1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Jasmin Cardinal</cp:lastModifiedBy>
  <dcterms:created xsi:type="dcterms:W3CDTF">2025-03-26T23:15:43Z</dcterms:created>
  <dcterms:modified xsi:type="dcterms:W3CDTF">2025-05-02T21:29:36Z</dcterms:modified>
</cp:coreProperties>
</file>