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fornia_Fire_Incidents" sheetId="1" r:id="rId4"/>
    <sheet state="visible" name="How Long do Fires Last" sheetId="2" r:id="rId5"/>
    <sheet state="visible" name="Most Fires Per County" sheetId="3" r:id="rId6"/>
    <sheet state="visible" name="What Time did most fires start" sheetId="4" r:id="rId7"/>
    <sheet state="visible" name="Sheet5" sheetId="5" r:id="rId8"/>
  </sheets>
  <definedNames>
    <definedName hidden="1" localSheetId="1" name="_xlnm._FilterDatabase">'How Long do Fires Last'!$A$1:$Z$1615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<sst xmlns="http://schemas.openxmlformats.org/spreadsheetml/2006/main" count="14769" uniqueCount="4643">
  <si>
    <t>AcresBurned</t>
  </si>
  <si>
    <t>Active</t>
  </si>
  <si>
    <t>Counties</t>
  </si>
  <si>
    <t>CrewsInvolved</t>
  </si>
  <si>
    <t>Dozers</t>
  </si>
  <si>
    <t>Engines</t>
  </si>
  <si>
    <t>Extinguished</t>
  </si>
  <si>
    <t>Fatalities</t>
  </si>
  <si>
    <t>Helicopters</t>
  </si>
  <si>
    <t>Injuries</t>
  </si>
  <si>
    <t>MajorIncident</t>
  </si>
  <si>
    <t>Name</t>
  </si>
  <si>
    <t>PersonnelInvolved</t>
  </si>
  <si>
    <t>Started</t>
  </si>
  <si>
    <t>StructuresDamaged</t>
  </si>
  <si>
    <t>StructuresDestroyed</t>
  </si>
  <si>
    <t>StructuresEvacuated</t>
  </si>
  <si>
    <t>StructuresThreatened</t>
  </si>
  <si>
    <t>Year</t>
  </si>
  <si>
    <t>Tuolumne</t>
  </si>
  <si>
    <t>2013-09-06T18:30:00Z</t>
  </si>
  <si>
    <t>Rim Fire</t>
  </si>
  <si>
    <t>2013-08-17T15:25:00Z</t>
  </si>
  <si>
    <t>Los Angeles</t>
  </si>
  <si>
    <t>2013-06-08T18:30:00Z</t>
  </si>
  <si>
    <t>Powerhouse Fire</t>
  </si>
  <si>
    <t>2013-05-30T15:28:00Z</t>
  </si>
  <si>
    <t>Riverside</t>
  </si>
  <si>
    <t>2013-07-30T18:00:00Z</t>
  </si>
  <si>
    <t>Mountain Fire</t>
  </si>
  <si>
    <t>2013-07-15T13:43:00Z</t>
  </si>
  <si>
    <t>Placer</t>
  </si>
  <si>
    <t>2013-08-30T08:00:00Z</t>
  </si>
  <si>
    <t>American Fire</t>
  </si>
  <si>
    <t>2013-08-10T16:30:00Z</t>
  </si>
  <si>
    <t>Ventura</t>
  </si>
  <si>
    <t>2013-05-11T06:30:00Z</t>
  </si>
  <si>
    <t>Springs Fire</t>
  </si>
  <si>
    <t>2013-05-02T07:01:00Z</t>
  </si>
  <si>
    <t>Fresno</t>
  </si>
  <si>
    <t>2013-09-24T20:15:00Z</t>
  </si>
  <si>
    <t>Aspen Fire</t>
  </si>
  <si>
    <t>2013-07-22T22:15:00Z</t>
  </si>
  <si>
    <t>2013-08-12T18:00:00Z</t>
  </si>
  <si>
    <t>Silver Fire</t>
  </si>
  <si>
    <t>2013-08-07T14:05:00Z</t>
  </si>
  <si>
    <t>Siskiyou</t>
  </si>
  <si>
    <t>2013-08-31T06:45:00Z</t>
  </si>
  <si>
    <t>Salmon River Complex</t>
  </si>
  <si>
    <t>2013-07-31T22:00:00Z</t>
  </si>
  <si>
    <t>Humboldt</t>
  </si>
  <si>
    <t>2013-08-12T12:00:00Z</t>
  </si>
  <si>
    <t>Corral Complex</t>
  </si>
  <si>
    <t>2013-08-10T11:40:00Z</t>
  </si>
  <si>
    <t>Tehama</t>
  </si>
  <si>
    <t>2013-08-29T16:45:00Z</t>
  </si>
  <si>
    <t>Deer Fire</t>
  </si>
  <si>
    <t>2013-08-23T14:15:00Z</t>
  </si>
  <si>
    <t>Shasta</t>
  </si>
  <si>
    <t>2013-09-15T07:30:00Z</t>
  </si>
  <si>
    <t>Clover Fire</t>
  </si>
  <si>
    <t>2013-09-09T12:32:00Z</t>
  </si>
  <si>
    <t>San Diego</t>
  </si>
  <si>
    <t>2013-07-15T06:15:00Z</t>
  </si>
  <si>
    <t>Chariot Fire</t>
  </si>
  <si>
    <t>2013-07-06T12:55:00Z</t>
  </si>
  <si>
    <t>2013-05-09T09:00:00Z</t>
  </si>
  <si>
    <t>Panther Fire</t>
  </si>
  <si>
    <t>2013-05-01T09:12:00Z</t>
  </si>
  <si>
    <t>Kern</t>
  </si>
  <si>
    <t>2013-05-21T19:45:00Z</t>
  </si>
  <si>
    <t>Grand Fire</t>
  </si>
  <si>
    <t>2013-05-15T12:50:00Z</t>
  </si>
  <si>
    <t>Sonoma</t>
  </si>
  <si>
    <t>2013-11-27T18:15:00Z</t>
  </si>
  <si>
    <t>McCabe Fire</t>
  </si>
  <si>
    <t>2013-11-22T02:04:00Z</t>
  </si>
  <si>
    <t>2013-05-04T18:30:00Z</t>
  </si>
  <si>
    <t>Summit Fire</t>
  </si>
  <si>
    <t>2013-05-01T12:38:00Z</t>
  </si>
  <si>
    <t>Contra Costa</t>
  </si>
  <si>
    <t>2013-09-14T17:30:00Z</t>
  </si>
  <si>
    <t>Morgan Fire</t>
  </si>
  <si>
    <t>2013-09-08T13:08:00Z</t>
  </si>
  <si>
    <t>2013-05-26T17:45:00Z</t>
  </si>
  <si>
    <t>San Felipe Fire</t>
  </si>
  <si>
    <t>2013-05-23T12:20:00Z</t>
  </si>
  <si>
    <t>Butte</t>
  </si>
  <si>
    <t>2013-08-22T18:00:00Z</t>
  </si>
  <si>
    <t>Swedes Fire</t>
  </si>
  <si>
    <t>2013-08-16T16:37:00Z</t>
  </si>
  <si>
    <t>2013-10-09T19:00:00Z</t>
  </si>
  <si>
    <t>DeLuz Fire</t>
  </si>
  <si>
    <t>2013-10-05T12:45:00Z</t>
  </si>
  <si>
    <t>Tulare</t>
  </si>
  <si>
    <t>Fish Fire</t>
  </si>
  <si>
    <t>2013-08-24T14:31:00Z</t>
  </si>
  <si>
    <t>Santa Barbara</t>
  </si>
  <si>
    <t>2013-05-30T19:30:00Z</t>
  </si>
  <si>
    <t>White Fire</t>
  </si>
  <si>
    <t>2013-05-27T14:45:00Z</t>
  </si>
  <si>
    <t>Mariposa</t>
  </si>
  <si>
    <t>2013-06-26T11:15:00Z</t>
  </si>
  <si>
    <t>Carstens Fire</t>
  </si>
  <si>
    <t>2013-06-16T14:12:00Z</t>
  </si>
  <si>
    <t>2013-08-09T18:45:00Z</t>
  </si>
  <si>
    <t>Falls Fire</t>
  </si>
  <si>
    <t>2013-08-05T10:10:00Z</t>
  </si>
  <si>
    <t>2013-05-31T06:15:00Z</t>
  </si>
  <si>
    <t>General Fire</t>
  </si>
  <si>
    <t>2013-05-26T12:04:00Z</t>
  </si>
  <si>
    <t>2013-08-14T08:30:00Z</t>
  </si>
  <si>
    <t>Power Fire</t>
  </si>
  <si>
    <t>2013-08-05T06:00:00Z</t>
  </si>
  <si>
    <t>Monterey</t>
  </si>
  <si>
    <t>2013-12-20T20:00:00Z</t>
  </si>
  <si>
    <t>Pfeiffer Fire</t>
  </si>
  <si>
    <t>2013-12-16T00:20:00Z</t>
  </si>
  <si>
    <t>2013-08-24T13:45:00Z</t>
  </si>
  <si>
    <t>Shirley Fire</t>
  </si>
  <si>
    <t>2013-08-18T23:12:00Z</t>
  </si>
  <si>
    <t>2013-07-22T18:45:00Z</t>
  </si>
  <si>
    <t>Rancho Fire</t>
  </si>
  <si>
    <t>2013-07-19T12:00:00Z</t>
  </si>
  <si>
    <t>2013-05-18T19:00:00Z</t>
  </si>
  <si>
    <t>Lake Fire</t>
  </si>
  <si>
    <t>2013-05-17T13:23:00Z</t>
  </si>
  <si>
    <t>2013-07-25T18:30:00Z</t>
  </si>
  <si>
    <t>Water Fire</t>
  </si>
  <si>
    <t>2013-07-23T09:15:00Z</t>
  </si>
  <si>
    <t>El Dorado</t>
  </si>
  <si>
    <t>2013-07-11T18:30:00Z</t>
  </si>
  <si>
    <t>Kyburz Fire</t>
  </si>
  <si>
    <t>2013-07-08T12:45:00Z</t>
  </si>
  <si>
    <t>San Bernardino</t>
  </si>
  <si>
    <t>2013-07-01T06:00:00Z</t>
  </si>
  <si>
    <t>Mills Fire</t>
  </si>
  <si>
    <t>2013-06-28T14:30:00Z</t>
  </si>
  <si>
    <t>Plumas</t>
  </si>
  <si>
    <t>2013-08-25T13:15:00Z</t>
  </si>
  <si>
    <t>Plumas Lightning Complex (Hough)</t>
  </si>
  <si>
    <t>2013-08-18T18:30:00Z</t>
  </si>
  <si>
    <t>2013-05-05T18:45:00Z</t>
  </si>
  <si>
    <t>Gorgonio Fire</t>
  </si>
  <si>
    <t>2013-05-04T11:43:00Z</t>
  </si>
  <si>
    <t>Modoc</t>
  </si>
  <si>
    <t>2013-07-05T18:30:00Z</t>
  </si>
  <si>
    <t>Fox Fire (formally 3-7 Fire)</t>
  </si>
  <si>
    <t>2013-07-03T22:56:00Z</t>
  </si>
  <si>
    <t>San Luis Obispo</t>
  </si>
  <si>
    <t>2013-06-03T18:30:00Z</t>
  </si>
  <si>
    <t>Branch Fire</t>
  </si>
  <si>
    <t>2013-06-01T17:27:00Z</t>
  </si>
  <si>
    <t>2013-07-01T18:40:00Z</t>
  </si>
  <si>
    <t>Kirker Fire</t>
  </si>
  <si>
    <t>2013-07-01T13:19:00Z</t>
  </si>
  <si>
    <t>Madera</t>
  </si>
  <si>
    <t>2013-06-18T19:30:00Z</t>
  </si>
  <si>
    <t>Rolling Fire</t>
  </si>
  <si>
    <t>2013-06-16T18:17:00Z</t>
  </si>
  <si>
    <t>2013-08-20T13:32:00Z</t>
  </si>
  <si>
    <t>Gobblers Fire</t>
  </si>
  <si>
    <t>Inyo</t>
  </si>
  <si>
    <t>2013-02-28T20:00:00Z</t>
  </si>
  <si>
    <t>River Fire</t>
  </si>
  <si>
    <t>2013-02-24T08:16:00Z</t>
  </si>
  <si>
    <t>Napa</t>
  </si>
  <si>
    <t>2013-10-04T16:55:00Z</t>
  </si>
  <si>
    <t>Putah Fire</t>
  </si>
  <si>
    <t>2013-10-03T20:33:00Z</t>
  </si>
  <si>
    <t>San Benito</t>
  </si>
  <si>
    <t>2013-05-03T18:45:00Z</t>
  </si>
  <si>
    <t>Tres Pinos Fire</t>
  </si>
  <si>
    <t>2013-05-03T11:42:00Z</t>
  </si>
  <si>
    <t>2013-03-02T19:00:00Z</t>
  </si>
  <si>
    <t>Jurupa Fire</t>
  </si>
  <si>
    <t>2013-02-28T16:43:00Z</t>
  </si>
  <si>
    <t>2013-10-05T22:00:00Z</t>
  </si>
  <si>
    <t>2013-10-04T17:37:00Z</t>
  </si>
  <si>
    <t>San Joaquin</t>
  </si>
  <si>
    <t>2013-05-30T13:25:00Z</t>
  </si>
  <si>
    <t>Shelton Fire</t>
  </si>
  <si>
    <t>2013-05-30T11:20:00Z</t>
  </si>
  <si>
    <t>2013-06-03T20:00:00Z</t>
  </si>
  <si>
    <t>Lone Fire</t>
  </si>
  <si>
    <t>2013-06-03T13:49:00Z</t>
  </si>
  <si>
    <t>Lake</t>
  </si>
  <si>
    <t>2013-01-23T10:15:00Z</t>
  </si>
  <si>
    <t>Becks Fire</t>
  </si>
  <si>
    <t>2013-01-22T11:08:00Z</t>
  </si>
  <si>
    <t>2013-07-01T18:30:00Z</t>
  </si>
  <si>
    <t>Concord Fire</t>
  </si>
  <si>
    <t>2013-07-01T15:41:00Z</t>
  </si>
  <si>
    <t>2013-05-01T07:00:00Z</t>
  </si>
  <si>
    <t>Gold Fire</t>
  </si>
  <si>
    <t>2013-04-30T12:59:00Z</t>
  </si>
  <si>
    <t>2013-09-28T08:00:00Z</t>
  </si>
  <si>
    <t>Madre Fire</t>
  </si>
  <si>
    <t>2013-09-23T18:00:00Z</t>
  </si>
  <si>
    <t>2013-09-12T18:15:00Z</t>
  </si>
  <si>
    <t>Lyon Fire</t>
  </si>
  <si>
    <t>2013-09-09T13:09:00Z</t>
  </si>
  <si>
    <t>2013-08-13T23:45:00Z</t>
  </si>
  <si>
    <t>Sharp Fire</t>
  </si>
  <si>
    <t>2013-08-08T12:15:00Z</t>
  </si>
  <si>
    <t>Alameda</t>
  </si>
  <si>
    <t>2013-06-08T13:25:00Z</t>
  </si>
  <si>
    <t>Vasco Fire</t>
  </si>
  <si>
    <t>2013-06-08T10:16:00Z</t>
  </si>
  <si>
    <t>2013-06-13T14:15:00Z</t>
  </si>
  <si>
    <t>PFE Fire</t>
  </si>
  <si>
    <t>2013-06-13T11:28:00Z</t>
  </si>
  <si>
    <t>Glenn</t>
  </si>
  <si>
    <t>2013-06-17T09:00:00Z</t>
  </si>
  <si>
    <t>Daves Fire</t>
  </si>
  <si>
    <t>2013-06-12T15:17:00Z</t>
  </si>
  <si>
    <t>2013-05-05T18:00:00Z</t>
  </si>
  <si>
    <t>306 Fire</t>
  </si>
  <si>
    <t>2013-05-01T19:00:00Z</t>
  </si>
  <si>
    <t>2013-07-17T19:30:00Z</t>
  </si>
  <si>
    <t>Tassajara Fire</t>
  </si>
  <si>
    <t>2013-07-17T13:23:00Z</t>
  </si>
  <si>
    <t>2013-09-30T08:30:00Z</t>
  </si>
  <si>
    <t>Sierra Fire</t>
  </si>
  <si>
    <t>2013-09-24T15:51:00Z</t>
  </si>
  <si>
    <t>2013-07-04T10:30:00Z</t>
  </si>
  <si>
    <t>Vina Fire</t>
  </si>
  <si>
    <t>2013-07-04T07:30:00Z</t>
  </si>
  <si>
    <t>2013-08-23T19:15:00Z</t>
  </si>
  <si>
    <t>Burney Lightning Series (Warner Fire)</t>
  </si>
  <si>
    <t>2013-08-19T17:48:00Z</t>
  </si>
  <si>
    <t>2013-07-19T15:00:00Z</t>
  </si>
  <si>
    <t>Paskenta Fire</t>
  </si>
  <si>
    <t>2013-07-19T13:32:00Z</t>
  </si>
  <si>
    <t>2013-11-23T18:30:00Z</t>
  </si>
  <si>
    <t>Silverado Fire</t>
  </si>
  <si>
    <t>2013-11-21T21:39:00Z</t>
  </si>
  <si>
    <t>2013-05-29T10:30:00Z</t>
  </si>
  <si>
    <t>Olive Fire</t>
  </si>
  <si>
    <t>2013-05-28T15:24:00Z</t>
  </si>
  <si>
    <t>Yolo</t>
  </si>
  <si>
    <t>2013-11-04T15:35:00Z</t>
  </si>
  <si>
    <t>Capay Fire</t>
  </si>
  <si>
    <t>2013-11-04T11:41:00Z</t>
  </si>
  <si>
    <t>2013-07-19T17:15:00Z</t>
  </si>
  <si>
    <t>50 Fire</t>
  </si>
  <si>
    <t>2013-07-19T14:12:00Z</t>
  </si>
  <si>
    <t>Sacramento</t>
  </si>
  <si>
    <t>2013-10-05T07:45:00Z</t>
  </si>
  <si>
    <t>Crane Fire</t>
  </si>
  <si>
    <t>2013-10-04T12:25:00Z</t>
  </si>
  <si>
    <t>2013-07-26T17:45:00Z</t>
  </si>
  <si>
    <t>Lakeville Fire</t>
  </si>
  <si>
    <t>2013-07-26T13:45:00Z</t>
  </si>
  <si>
    <t>2013-10-04T10:30:00Z</t>
  </si>
  <si>
    <t>Highland Fire</t>
  </si>
  <si>
    <t>2013-10-04T07:35:00Z</t>
  </si>
  <si>
    <t>2013-07-17T07:45:00Z</t>
  </si>
  <si>
    <t>Redlands Fire</t>
  </si>
  <si>
    <t>2013-07-16T17:48:00Z</t>
  </si>
  <si>
    <t>Stanislaus</t>
  </si>
  <si>
    <t>2013-07-13T21:45:00Z</t>
  </si>
  <si>
    <t>Diablo Fire</t>
  </si>
  <si>
    <t>2013-07-12T15:35:00Z</t>
  </si>
  <si>
    <t>2013-06-25T17:15:00Z</t>
  </si>
  <si>
    <t>George Fire</t>
  </si>
  <si>
    <t>2013-06-25T13:36:00Z</t>
  </si>
  <si>
    <t>2013-05-22T09:30:00Z</t>
  </si>
  <si>
    <t>Neal Fire</t>
  </si>
  <si>
    <t>2013-05-22T00:56:00Z</t>
  </si>
  <si>
    <t>2013-05-29T15:30:00Z</t>
  </si>
  <si>
    <t>Magic Fire</t>
  </si>
  <si>
    <t>2013-05-28T11:30:00Z</t>
  </si>
  <si>
    <t>Angora Fire</t>
  </si>
  <si>
    <t>2013-09-08T11:53:00Z</t>
  </si>
  <si>
    <t>2013-05-03T06:15:00Z</t>
  </si>
  <si>
    <t>Yellow Fire</t>
  </si>
  <si>
    <t>2013-05-01T02:01:00Z</t>
  </si>
  <si>
    <t>Solano</t>
  </si>
  <si>
    <t>2013-06-18T22:30:00Z</t>
  </si>
  <si>
    <t>California Fire</t>
  </si>
  <si>
    <t>2013-06-18T15:18:00Z</t>
  </si>
  <si>
    <t>Merced</t>
  </si>
  <si>
    <t>2013-06-05T08:30:00Z</t>
  </si>
  <si>
    <t>152 Fire</t>
  </si>
  <si>
    <t>2013-06-04T15:42:00Z</t>
  </si>
  <si>
    <t>2013-05-25T23:00:00Z</t>
  </si>
  <si>
    <t>Smiley Fire</t>
  </si>
  <si>
    <t>2013-05-25T14:59:00Z</t>
  </si>
  <si>
    <t>2013-11-10T18:30:00Z</t>
  </si>
  <si>
    <t>Cantwell Fire</t>
  </si>
  <si>
    <t>2013-11-08T13:42:00Z</t>
  </si>
  <si>
    <t>2013-08-16T17:55:00Z</t>
  </si>
  <si>
    <t>Union Fire</t>
  </si>
  <si>
    <t>2013-08-16T13:55:00Z</t>
  </si>
  <si>
    <t>2013-08-18T20:55:00Z</t>
  </si>
  <si>
    <t>Cleghorn Fire</t>
  </si>
  <si>
    <t>2013-08-17T17:25:00Z</t>
  </si>
  <si>
    <t>2013-06-13T21:30:00Z</t>
  </si>
  <si>
    <t>Clinton Fire</t>
  </si>
  <si>
    <t>2013-06-13T11:54:00Z</t>
  </si>
  <si>
    <t>2013-06-29T18:30:00Z</t>
  </si>
  <si>
    <t>Freeman Fire</t>
  </si>
  <si>
    <t>2013-06-29T14:09:00Z</t>
  </si>
  <si>
    <t>2013-08-11T19:15:00Z</t>
  </si>
  <si>
    <t>Bee Fire</t>
  </si>
  <si>
    <t>2013-08-09T17:15:00Z</t>
  </si>
  <si>
    <t>2013-06-02T16:55:00Z</t>
  </si>
  <si>
    <t>Murphy Fire</t>
  </si>
  <si>
    <t>2013-06-02T13:30:00Z</t>
  </si>
  <si>
    <t>2013-05-23T08:30:00Z</t>
  </si>
  <si>
    <t>Border Fire</t>
  </si>
  <si>
    <t>2013-05-22T16:14:00Z</t>
  </si>
  <si>
    <t>Mendocino</t>
  </si>
  <si>
    <t>2013-09-29T18:15:00Z</t>
  </si>
  <si>
    <t>2013-09-28T13:57:00Z</t>
  </si>
  <si>
    <t>Davis Creek Complex</t>
  </si>
  <si>
    <t>2013-09-05T15:57:00Z</t>
  </si>
  <si>
    <t>Little Fire</t>
  </si>
  <si>
    <t>2013-08-24T15:09:00Z</t>
  </si>
  <si>
    <t>Lassen</t>
  </si>
  <si>
    <t>2013-08-12T09:30:00Z</t>
  </si>
  <si>
    <t>Coyote Fire</t>
  </si>
  <si>
    <t>2013-08-09T15:51:00Z</t>
  </si>
  <si>
    <t>Amador</t>
  </si>
  <si>
    <t>2013-06-13T09:45:00Z</t>
  </si>
  <si>
    <t>Roadrunner Fire</t>
  </si>
  <si>
    <t>2013-06-12T16:43:00Z</t>
  </si>
  <si>
    <t>2013-09-24T17:30:00Z</t>
  </si>
  <si>
    <t>Creek Fire</t>
  </si>
  <si>
    <t>2013-09-24T03:20:00Z</t>
  </si>
  <si>
    <t>2013-08-04T14:45:00Z</t>
  </si>
  <si>
    <t>2013-08-01T16:01:00Z</t>
  </si>
  <si>
    <t>2013-05-20T19:10:00Z</t>
  </si>
  <si>
    <t>Lilly 2 Fire</t>
  </si>
  <si>
    <t>2013-05-19T15:07:00Z</t>
  </si>
  <si>
    <t>2013-05-21T19:30:00Z</t>
  </si>
  <si>
    <t>2013-05-21T14:16:00Z</t>
  </si>
  <si>
    <t>2013-07-07T22:00:00Z</t>
  </si>
  <si>
    <t>Adelaida Fire</t>
  </si>
  <si>
    <t>2013-07-07T13:16:00Z</t>
  </si>
  <si>
    <t>2013-11-22T17:30:00Z</t>
  </si>
  <si>
    <t>Retek Fire</t>
  </si>
  <si>
    <t>2013-11-22T10:06:00Z</t>
  </si>
  <si>
    <t>2013-09-01T18:00:00Z</t>
  </si>
  <si>
    <t>Centerville Fire</t>
  </si>
  <si>
    <t>2013-08-31T17:23:00Z</t>
  </si>
  <si>
    <t>2013-04-09T15:30:00Z</t>
  </si>
  <si>
    <t>Butte Fire</t>
  </si>
  <si>
    <t>2013-04-09T12:35:00Z</t>
  </si>
  <si>
    <t>2013-09-15T19:00:00Z</t>
  </si>
  <si>
    <t>Tehama Fire</t>
  </si>
  <si>
    <t>2013-09-15T17:39:00Z</t>
  </si>
  <si>
    <t>2013-07-26T18:15:00Z</t>
  </si>
  <si>
    <t>Silverwood Fire</t>
  </si>
  <si>
    <t>2013-07-25T15:09:00Z</t>
  </si>
  <si>
    <t>2013-06-14T16:30:00Z</t>
  </si>
  <si>
    <t>Revis Fire</t>
  </si>
  <si>
    <t>2013-06-12T16:40:00Z</t>
  </si>
  <si>
    <t>2013-05-15T08:15:00Z</t>
  </si>
  <si>
    <t>Lytle Fire</t>
  </si>
  <si>
    <t>2013-05-13T13:30:00Z</t>
  </si>
  <si>
    <t>2013-05-01T17:15:00Z</t>
  </si>
  <si>
    <t>2013-04-30T23:44:00Z</t>
  </si>
  <si>
    <t>2013-09-12T08:45:00Z</t>
  </si>
  <si>
    <t>Liveoak Fire</t>
  </si>
  <si>
    <t>2013-09-11T16:57:00Z</t>
  </si>
  <si>
    <t>Yuba</t>
  </si>
  <si>
    <t>2013-07-08T17:30:00Z</t>
  </si>
  <si>
    <t>McGanney Fire</t>
  </si>
  <si>
    <t>2013-07-08T09:59:00Z</t>
  </si>
  <si>
    <t>2013-05-04T19:00:00Z</t>
  </si>
  <si>
    <t>Cedar Fire</t>
  </si>
  <si>
    <t>2013-05-01T04:16:00Z</t>
  </si>
  <si>
    <t>Double Fire</t>
  </si>
  <si>
    <t>2013-08-16T17:57:00Z</t>
  </si>
  <si>
    <t>2013-09-05T21:00:00Z</t>
  </si>
  <si>
    <t>Rail Fire</t>
  </si>
  <si>
    <t>2013-09-07T17:30:00Z</t>
  </si>
  <si>
    <t>2013-11-15T16:00:00Z</t>
  </si>
  <si>
    <t>Wheeler Fire</t>
  </si>
  <si>
    <t>2013-11-14T11:05:00Z</t>
  </si>
  <si>
    <t>2013-08-08T09:00:00Z</t>
  </si>
  <si>
    <t>Tram Fire</t>
  </si>
  <si>
    <t>2013-08-06T13:39:00Z</t>
  </si>
  <si>
    <t>2013-08-04T18:00:00Z</t>
  </si>
  <si>
    <t>Relay Fire</t>
  </si>
  <si>
    <t>2013-08-04T16:29:00Z</t>
  </si>
  <si>
    <t>Nevada</t>
  </si>
  <si>
    <t>2013-08-31T21:30:00Z</t>
  </si>
  <si>
    <t>Tyler Fire</t>
  </si>
  <si>
    <t>2013-08-31T14:42:00Z</t>
  </si>
  <si>
    <t>2013-11-09T17:00:00Z</t>
  </si>
  <si>
    <t>Toro Fire</t>
  </si>
  <si>
    <t>2013-11-08T10:30:00Z</t>
  </si>
  <si>
    <t>2013-11-24T08:45:00Z</t>
  </si>
  <si>
    <t>Bruner Fire</t>
  </si>
  <si>
    <t>2013-11-23T12:04:00Z</t>
  </si>
  <si>
    <t>2013-08-15T17:00:00Z</t>
  </si>
  <si>
    <t>Cottonwood Fire</t>
  </si>
  <si>
    <t>2013-08-15T14:40:00Z</t>
  </si>
  <si>
    <t>Santa Clara</t>
  </si>
  <si>
    <t>2013-07-12T17:45:00Z</t>
  </si>
  <si>
    <t>Uvas Fire</t>
  </si>
  <si>
    <t>2013-07-12T13:09:00Z</t>
  </si>
  <si>
    <t>2013-07-04T11:30:00Z</t>
  </si>
  <si>
    <t>Grant Fire</t>
  </si>
  <si>
    <t>2013-07-04T10:00:00Z</t>
  </si>
  <si>
    <t>2013-05-25T18:45:00Z</t>
  </si>
  <si>
    <t>Homestead Fire</t>
  </si>
  <si>
    <t>2013-05-25T17:35:00Z</t>
  </si>
  <si>
    <t>Calaveras</t>
  </si>
  <si>
    <t>2013-08-19T07:10:00Z</t>
  </si>
  <si>
    <t>Bridges Fire</t>
  </si>
  <si>
    <t>2013-08-17T10:11:00Z</t>
  </si>
  <si>
    <t>2013-06-19T08:45:00Z</t>
  </si>
  <si>
    <t>2013-06-17T14:41:00Z</t>
  </si>
  <si>
    <t>2013-07-23T16:00:00Z</t>
  </si>
  <si>
    <t>Pratt Fire</t>
  </si>
  <si>
    <t>2013-07-23T13:29:00Z</t>
  </si>
  <si>
    <t>2013-12-11T17:30:00Z</t>
  </si>
  <si>
    <t>Happy Camp Fire</t>
  </si>
  <si>
    <t>2013-12-10T02:26:00Z</t>
  </si>
  <si>
    <t>2013-07-09T15:00:00Z</t>
  </si>
  <si>
    <t>Fiddler Fire</t>
  </si>
  <si>
    <t>2013-07-09T11:59:00Z</t>
  </si>
  <si>
    <t>2013-06-08T19:00:00Z</t>
  </si>
  <si>
    <t>Viper Fire</t>
  </si>
  <si>
    <t>2013-06-08T15:37:00Z</t>
  </si>
  <si>
    <t>San Mateo</t>
  </si>
  <si>
    <t>2013-09-07T20:00:00Z</t>
  </si>
  <si>
    <t>Chestnut Fire</t>
  </si>
  <si>
    <t>2013-09-07T13:55:00Z</t>
  </si>
  <si>
    <t>2013-12-31T16:00:00Z</t>
  </si>
  <si>
    <t>2013-12-31T05:30:00Z</t>
  </si>
  <si>
    <t>Orange</t>
  </si>
  <si>
    <t>2013-10-09T08:00:00Z</t>
  </si>
  <si>
    <t>Baker Fire</t>
  </si>
  <si>
    <t>2013-10-06T10:52:00Z</t>
  </si>
  <si>
    <t>2013-09-28T09:15:00Z</t>
  </si>
  <si>
    <t>Valley Fire</t>
  </si>
  <si>
    <t>2013-09-26T17:29:00Z</t>
  </si>
  <si>
    <t>2013-08-16T21:00:00Z</t>
  </si>
  <si>
    <t>Pierce Fire</t>
  </si>
  <si>
    <t>2013-08-16T13:31:00Z</t>
  </si>
  <si>
    <t>2013-07-31T19:25:00Z</t>
  </si>
  <si>
    <t>Trout Fire</t>
  </si>
  <si>
    <t>2013-07-31T15:25:00Z</t>
  </si>
  <si>
    <t>2013-07-20T19:30:00Z</t>
  </si>
  <si>
    <t>Heacock Fire</t>
  </si>
  <si>
    <t>2013-07-19T16:21:00Z</t>
  </si>
  <si>
    <t>2013-06-15T08:00:00Z</t>
  </si>
  <si>
    <t>Palmyrita Fire</t>
  </si>
  <si>
    <t>2013-06-14T13:47:00Z</t>
  </si>
  <si>
    <t>2013-05-17T08:30:00Z</t>
  </si>
  <si>
    <t>54 Fire</t>
  </si>
  <si>
    <t>2013-05-16T13:48:00Z</t>
  </si>
  <si>
    <t>2013-08-24T11:45:00Z</t>
  </si>
  <si>
    <t>Empire Fire</t>
  </si>
  <si>
    <t>2013-08-24T14:54:00Z</t>
  </si>
  <si>
    <t>2013-08-07T18:30:00Z</t>
  </si>
  <si>
    <t>Indian Fire</t>
  </si>
  <si>
    <t>2013-08-07T12:35:00Z</t>
  </si>
  <si>
    <t>2013-07-06T14:30:00Z</t>
  </si>
  <si>
    <t>Fallon Fire</t>
  </si>
  <si>
    <t>2013-07-06T13:09:00Z</t>
  </si>
  <si>
    <t>Michelle Fire</t>
  </si>
  <si>
    <t>2013-06-13T15:54:00Z</t>
  </si>
  <si>
    <t>Cottontail Fire</t>
  </si>
  <si>
    <t>2013-05-20T15:45:00Z</t>
  </si>
  <si>
    <t>2013-08-05T08:17:00Z</t>
  </si>
  <si>
    <t>Honey Fire</t>
  </si>
  <si>
    <t>2013-11-07T19:45:00Z</t>
  </si>
  <si>
    <t>Dersch Fire</t>
  </si>
  <si>
    <t>2013-11-07T16:10:00Z</t>
  </si>
  <si>
    <t>2013-07-23T15:10:00Z</t>
  </si>
  <si>
    <t>Chuckwagon Fire</t>
  </si>
  <si>
    <t>2013-07-22T12:34:00Z</t>
  </si>
  <si>
    <t>2013-09-15T17:14:00Z</t>
  </si>
  <si>
    <t>Lakeshore Fire</t>
  </si>
  <si>
    <t>2013-09-15T19:45:00Z</t>
  </si>
  <si>
    <t>2013-06-06T07:00:00Z</t>
  </si>
  <si>
    <t>2013-06-05T16:05:00Z</t>
  </si>
  <si>
    <t>2013-04-22T09:00:00Z</t>
  </si>
  <si>
    <t>Fawnskin Fire</t>
  </si>
  <si>
    <t>2013-04-20T17:30:00Z</t>
  </si>
  <si>
    <t>2013-06-14T15:45:00Z</t>
  </si>
  <si>
    <t>Sonoma-Lake-Napa Unit Lightning Fires</t>
  </si>
  <si>
    <t>2013-06-10T00:46:00Z</t>
  </si>
  <si>
    <t>Colusa</t>
  </si>
  <si>
    <t>2013-08-14T20:35:00Z</t>
  </si>
  <si>
    <t>Cloverdale Fire</t>
  </si>
  <si>
    <t>2013-08-14T15:37:00Z</t>
  </si>
  <si>
    <t>2013-07-28T17:50:00Z</t>
  </si>
  <si>
    <t>Flume Fire</t>
  </si>
  <si>
    <t>2013-07-28T09:43:00Z</t>
  </si>
  <si>
    <t>2013-06-20T13:15:00Z</t>
  </si>
  <si>
    <t>Mount Fire</t>
  </si>
  <si>
    <t>2013-06-20T14:29:00Z</t>
  </si>
  <si>
    <t>2013-05-20T18:50:00Z</t>
  </si>
  <si>
    <t>Cherry Fire</t>
  </si>
  <si>
    <t>2013-05-20T13:47:00Z</t>
  </si>
  <si>
    <t>2013-11-24T18:45:00Z</t>
  </si>
  <si>
    <t>Dam Fire</t>
  </si>
  <si>
    <t>2013-11-23T14:17:00Z</t>
  </si>
  <si>
    <t>2013-12-30T20:30:00Z</t>
  </si>
  <si>
    <t>Refuse Fire</t>
  </si>
  <si>
    <t>2013-12-30T11:00:00Z</t>
  </si>
  <si>
    <t>2013-07-19T19:30:00Z</t>
  </si>
  <si>
    <t>Gilman Fire</t>
  </si>
  <si>
    <t>2013-07-19T17:31:00Z</t>
  </si>
  <si>
    <t>2013-05-13T09:00:00Z</t>
  </si>
  <si>
    <t>Ranger Fire</t>
  </si>
  <si>
    <t>2013-05-12T13:02:00Z</t>
  </si>
  <si>
    <t>2013-08-03T15:00:00Z</t>
  </si>
  <si>
    <t>Orleans Complex</t>
  </si>
  <si>
    <t>2013-08-03T08:00:00Z</t>
  </si>
  <si>
    <t>2013-06-09T16:45:00Z</t>
  </si>
  <si>
    <t>Hathaway Fire</t>
  </si>
  <si>
    <t>2013-06-09T12:30:00Z</t>
  </si>
  <si>
    <t>2014-10-09T17:20:00Z</t>
  </si>
  <si>
    <t>King Fire</t>
  </si>
  <si>
    <t>2014-09-13T16:32:00Z</t>
  </si>
  <si>
    <t>2014-08-06T10:00:00Z</t>
  </si>
  <si>
    <t>July Complex</t>
  </si>
  <si>
    <t>2014-08-02T09:00:00Z</t>
  </si>
  <si>
    <t>2014-08-15T14:00:00Z</t>
  </si>
  <si>
    <t>Bald Fire</t>
  </si>
  <si>
    <t>2014-07-30T20:15:00Z</t>
  </si>
  <si>
    <t>2014-08-18T09:45:00Z</t>
  </si>
  <si>
    <t>Oregon Gulch Fire (part of the Beaver Complex)</t>
  </si>
  <si>
    <t>2014-07-30T23:00:00Z</t>
  </si>
  <si>
    <t>2014-09-02T13:00:00Z</t>
  </si>
  <si>
    <t>Beaver Fire</t>
  </si>
  <si>
    <t>2014-07-30T00:00:00Z</t>
  </si>
  <si>
    <t>2014-08-25T10:00:00Z</t>
  </si>
  <si>
    <t>Eiler Fire</t>
  </si>
  <si>
    <t>2014-07-31T18:04:00Z</t>
  </si>
  <si>
    <t>2014-05-21T17:00:00Z</t>
  </si>
  <si>
    <t>Pulgas Fire</t>
  </si>
  <si>
    <t>2014-05-15T14:45:00Z</t>
  </si>
  <si>
    <t>2014-07-28T14:30:00Z</t>
  </si>
  <si>
    <t>French Fire</t>
  </si>
  <si>
    <t>2014-07-28T05:45:00Z</t>
  </si>
  <si>
    <t>2014-08-13T07:00:00Z</t>
  </si>
  <si>
    <t>Day Fire</t>
  </si>
  <si>
    <t>2014-07-30T19:01:00Z</t>
  </si>
  <si>
    <t>2014-07-26T20:00:00Z</t>
  </si>
  <si>
    <t>Bully Fire</t>
  </si>
  <si>
    <t>2014-07-11T15:37:00Z</t>
  </si>
  <si>
    <t>2014-09-09T19:30:00Z</t>
  </si>
  <si>
    <t>Lodge Lightning Complex</t>
  </si>
  <si>
    <t>2014-07-30T06:27:00Z</t>
  </si>
  <si>
    <t>2014-07-12T18:00:00Z</t>
  </si>
  <si>
    <t>Monticello Fire</t>
  </si>
  <si>
    <t>2014-07-04T21:32:00Z</t>
  </si>
  <si>
    <t>2014-11-14T13:00:00Z</t>
  </si>
  <si>
    <t>Coffee Fire</t>
  </si>
  <si>
    <t>2014-07-30T20:30:00Z</t>
  </si>
  <si>
    <t>2014-08-18T10:00:00Z</t>
  </si>
  <si>
    <t>Little Deer Fire</t>
  </si>
  <si>
    <t>2014-07-31T17:45:00Z</t>
  </si>
  <si>
    <t>2014-05-19T09:20:00Z</t>
  </si>
  <si>
    <t>Tomahawk Fire</t>
  </si>
  <si>
    <t>2014-05-14T09:45:00Z</t>
  </si>
  <si>
    <t>2014-06-21T19:00:00Z</t>
  </si>
  <si>
    <t>Stoney Fire</t>
  </si>
  <si>
    <t>2014-06-19T15:14:00Z</t>
  </si>
  <si>
    <t>2014-12-12T13:45:00Z</t>
  </si>
  <si>
    <t>Meadow Fire</t>
  </si>
  <si>
    <t>2014-08-16T00:00:00Z</t>
  </si>
  <si>
    <t>2014-08-10T08:15:00Z</t>
  </si>
  <si>
    <t>El Portal Fire</t>
  </si>
  <si>
    <t>2014-07-26T17:00:00Z</t>
  </si>
  <si>
    <t>2014-07-09T18:00:00Z</t>
  </si>
  <si>
    <t>Butts Fire</t>
  </si>
  <si>
    <t>2014-07-01T12:08:00Z</t>
  </si>
  <si>
    <t>2014-08-02T19:15:00Z</t>
  </si>
  <si>
    <t>Sand Fire</t>
  </si>
  <si>
    <t>2014-07-25T16:34:00Z</t>
  </si>
  <si>
    <t>2014-08-27T18:00:00Z</t>
  </si>
  <si>
    <t>Way Fire</t>
  </si>
  <si>
    <t>2014-08-18T14:30:00Z</t>
  </si>
  <si>
    <t>2014-06-20T08:30:00Z</t>
  </si>
  <si>
    <t>2014-06-13T17:00:00Z</t>
  </si>
  <si>
    <t>2014-05-05T17:30:00Z</t>
  </si>
  <si>
    <t>Etiwanda Fire</t>
  </si>
  <si>
    <t>2014-04-30T08:00:00Z</t>
  </si>
  <si>
    <t>2014-05-22T18:15:00Z</t>
  </si>
  <si>
    <t>Cocos Fire</t>
  </si>
  <si>
    <t>2014-05-14T16:00:00Z</t>
  </si>
  <si>
    <t>2014-01-27T10:00:00Z</t>
  </si>
  <si>
    <t>Colby Fire</t>
  </si>
  <si>
    <t>2014-01-16T05:50:00Z</t>
  </si>
  <si>
    <t>2014-07-21T14:45:00Z</t>
  </si>
  <si>
    <t>Nicolls Fire</t>
  </si>
  <si>
    <t>2014-07-11T13:46:00Z</t>
  </si>
  <si>
    <t>2014-07-03T10:30:00Z</t>
  </si>
  <si>
    <t>Modoc Lightning Complex</t>
  </si>
  <si>
    <t>2014-07-01T19:00:00Z</t>
  </si>
  <si>
    <t>2014-05-17T20:14:00Z</t>
  </si>
  <si>
    <t>Bernardo Fire</t>
  </si>
  <si>
    <t>2014-05-13T11:00:00Z</t>
  </si>
  <si>
    <t>2014-07-07T07:00:00Z</t>
  </si>
  <si>
    <t>Gulch Fire</t>
  </si>
  <si>
    <t>2014-07-03T15:46:00Z</t>
  </si>
  <si>
    <t>2014-05-20T23:30:00Z</t>
  </si>
  <si>
    <t>San Mateo Fire</t>
  </si>
  <si>
    <t>2014-05-16T11:24:00Z</t>
  </si>
  <si>
    <t>2014-09-16T09:30:00Z</t>
  </si>
  <si>
    <t>2014-09-10T00:30:00Z</t>
  </si>
  <si>
    <t>2014-08-20T19:00:00Z</t>
  </si>
  <si>
    <t>Dark Hole Fire</t>
  </si>
  <si>
    <t>2014-07-17T01:00:00Z</t>
  </si>
  <si>
    <t>2014-09-22T15:00:00Z</t>
  </si>
  <si>
    <t>2014-09-12T10:30:00Z</t>
  </si>
  <si>
    <t>2014-01-10T18:30:00Z</t>
  </si>
  <si>
    <t>Campbell Fire</t>
  </si>
  <si>
    <t>2014-01-02T20:00:00Z</t>
  </si>
  <si>
    <t>2014-06-02T18:30:00Z</t>
  </si>
  <si>
    <t>Hunters Fire</t>
  </si>
  <si>
    <t>2014-05-26T15:33:00Z</t>
  </si>
  <si>
    <t>Miguelito Fire</t>
  </si>
  <si>
    <t>2014-05-13T14:00:00Z</t>
  </si>
  <si>
    <t>2014-08-25T08:25:00Z</t>
  </si>
  <si>
    <t>Junction Fire</t>
  </si>
  <si>
    <t>2014-08-18T13:50:00Z</t>
  </si>
  <si>
    <t>2014-05-17T00:00:00Z</t>
  </si>
  <si>
    <t>Poinsettia Fire</t>
  </si>
  <si>
    <t>2014-05-14T10:30:00Z</t>
  </si>
  <si>
    <t>Trinity</t>
  </si>
  <si>
    <t>2014-08-28T19:00:00Z</t>
  </si>
  <si>
    <t>Oregon Fire</t>
  </si>
  <si>
    <t>2014-08-24T16:36:00Z</t>
  </si>
  <si>
    <t>2014-10-11T18:50:00Z</t>
  </si>
  <si>
    <t>Boles Fire</t>
  </si>
  <si>
    <t>2014-09-15T13:38:00Z</t>
  </si>
  <si>
    <t>2014-06-05T20:00:00Z</t>
  </si>
  <si>
    <t>59 Fire</t>
  </si>
  <si>
    <t>2014-06-04T11:45:00Z</t>
  </si>
  <si>
    <t>2014-10-15T07:50:00Z</t>
  </si>
  <si>
    <t>Applegate Fire</t>
  </si>
  <si>
    <t>2014-10-08T13:33:00Z</t>
  </si>
  <si>
    <t>2014-09-17T16:10:00Z</t>
  </si>
  <si>
    <t>Black Fire</t>
  </si>
  <si>
    <t>2014-09-13T15:48:00Z</t>
  </si>
  <si>
    <t>2014-03-21T18:00:00Z</t>
  </si>
  <si>
    <t>Encinal Fire</t>
  </si>
  <si>
    <t>2014-03-19T16:45:00Z</t>
  </si>
  <si>
    <t>2014-08-01T17:30:00Z</t>
  </si>
  <si>
    <t>Web Fire</t>
  </si>
  <si>
    <t>2014-07-28T13:11:00Z</t>
  </si>
  <si>
    <t>2014-05-15T18:30:00Z</t>
  </si>
  <si>
    <t>Highway Fire</t>
  </si>
  <si>
    <t>2014-05-14T13:00:00Z</t>
  </si>
  <si>
    <t>2014-03-16T08:30:00Z</t>
  </si>
  <si>
    <t>2014-03-15T16:37:00Z</t>
  </si>
  <si>
    <t>2014-01-08T19:15:00Z</t>
  </si>
  <si>
    <t>Red Fire</t>
  </si>
  <si>
    <t>2014-01-04T12:00:00Z</t>
  </si>
  <si>
    <t>2014-09-22T07:15:00Z</t>
  </si>
  <si>
    <t>Courtney Fire</t>
  </si>
  <si>
    <t>2014-09-14T13:36:00Z</t>
  </si>
  <si>
    <t>2014-10-12T18:00:00Z</t>
  </si>
  <si>
    <t>Dog Rock Fire</t>
  </si>
  <si>
    <t>2014-10-07T15:05:00Z</t>
  </si>
  <si>
    <t>2014-09-12T09:00:00Z</t>
  </si>
  <si>
    <t>Bridge Fire</t>
  </si>
  <si>
    <t>2014-09-05T12:39:00Z</t>
  </si>
  <si>
    <t>2014-07-25T09:15:00Z</t>
  </si>
  <si>
    <t>Gun Club Fire</t>
  </si>
  <si>
    <t>2014-07-24T12:06:00Z</t>
  </si>
  <si>
    <t>2014-12-12T13:30:00Z</t>
  </si>
  <si>
    <t>Tecolote Fire</t>
  </si>
  <si>
    <t>2014-08-17T14:30:00Z</t>
  </si>
  <si>
    <t>2014-06-06T09:30:00Z</t>
  </si>
  <si>
    <t>Hetch Hetchy Fire</t>
  </si>
  <si>
    <t>2014-06-05T13:04:00Z</t>
  </si>
  <si>
    <t>2014-09-18T18:45:00Z</t>
  </si>
  <si>
    <t>Dog Bar Fire</t>
  </si>
  <si>
    <t>2014-09-13T14:07:00Z</t>
  </si>
  <si>
    <t>2014-06-13T13:50:00Z</t>
  </si>
  <si>
    <t>2014-06-13T12:23:00Z</t>
  </si>
  <si>
    <t>2014-07-06T09:15:00Z</t>
  </si>
  <si>
    <t>Banner Fire</t>
  </si>
  <si>
    <t>2014-07-03T10:43:00Z</t>
  </si>
  <si>
    <t>2014-09-15T11:00:00Z</t>
  </si>
  <si>
    <t>Bald Hill 3 Fire</t>
  </si>
  <si>
    <t>2014-09-12T15:00:00Z</t>
  </si>
  <si>
    <t>2014-12-12T14:00:00Z</t>
  </si>
  <si>
    <t>Shoemaker Fire</t>
  </si>
  <si>
    <t>2014-08-14T12:48:00Z</t>
  </si>
  <si>
    <t>2014-05-26T08:45:00Z</t>
  </si>
  <si>
    <t>2014-05-25T12:20:00Z</t>
  </si>
  <si>
    <t>2014-07-10T07:30:00Z</t>
  </si>
  <si>
    <t>Dry Fire</t>
  </si>
  <si>
    <t>2014-07-09T13:45:00Z</t>
  </si>
  <si>
    <t>2014-06-13T18:30:00Z</t>
  </si>
  <si>
    <t>Haigh Fire</t>
  </si>
  <si>
    <t>2014-06-10T15:11:00Z</t>
  </si>
  <si>
    <t>2014-07-01T08:30:00Z</t>
  </si>
  <si>
    <t>Curie Fire</t>
  </si>
  <si>
    <t>2014-06-30T14:10:00Z</t>
  </si>
  <si>
    <t>2014-03-11T11:00:00Z</t>
  </si>
  <si>
    <t>Gun Fire</t>
  </si>
  <si>
    <t>2014-03-08T12:30:00Z</t>
  </si>
  <si>
    <t>Reed Fire</t>
  </si>
  <si>
    <t>2014-06-20T15:27:00Z</t>
  </si>
  <si>
    <t>2014-01-22T16:35:00Z</t>
  </si>
  <si>
    <t>Brewer Fire</t>
  </si>
  <si>
    <t>2014-01-22T13:10:00Z</t>
  </si>
  <si>
    <t>2014-04-21T19:15:00Z</t>
  </si>
  <si>
    <t>2014-04-19T15:54:00Z</t>
  </si>
  <si>
    <t>2014-01-26T18:00:00Z</t>
  </si>
  <si>
    <t>2014-01-25T06:37:00Z</t>
  </si>
  <si>
    <t>2014-05-14T12:12:00Z</t>
  </si>
  <si>
    <t>2014-08-13T06:15:00Z</t>
  </si>
  <si>
    <t>2014-08-12T15:00:00Z</t>
  </si>
  <si>
    <t>2014-09-05T18:30:00Z</t>
  </si>
  <si>
    <t>Saratoga Fire</t>
  </si>
  <si>
    <t>2014-09-03T16:03:00Z</t>
  </si>
  <si>
    <t>2014-09-01T22:00:00Z</t>
  </si>
  <si>
    <t>Interstate Fire</t>
  </si>
  <si>
    <t>2014-09-01T14:03:00Z</t>
  </si>
  <si>
    <t>2014-09-17T18:45:00Z</t>
  </si>
  <si>
    <t>Irene Fire</t>
  </si>
  <si>
    <t>2014-09-14T09:15:00Z</t>
  </si>
  <si>
    <t>2014-06-08T19:45:00Z</t>
  </si>
  <si>
    <t>2014-06-06T17:29:00Z</t>
  </si>
  <si>
    <t>2014-06-24T19:00:00Z</t>
  </si>
  <si>
    <t>Oak Fire</t>
  </si>
  <si>
    <t>2014-06-22T12:37:00Z</t>
  </si>
  <si>
    <t>2014-08-19T16:45:00Z</t>
  </si>
  <si>
    <t>Boca Fire</t>
  </si>
  <si>
    <t>2014-08-31T08:15:00Z</t>
  </si>
  <si>
    <t>Casa Fire</t>
  </si>
  <si>
    <t>2014-08-28T15:10:00Z</t>
  </si>
  <si>
    <t>Marsh Fire</t>
  </si>
  <si>
    <t>2014-07-11T21:57:00Z</t>
  </si>
  <si>
    <t>2014-09-09T19:45:00Z</t>
  </si>
  <si>
    <t>Montgomery Fire</t>
  </si>
  <si>
    <t>2014-09-07T16:46:00Z</t>
  </si>
  <si>
    <t>2014-07-24T09:00:00Z</t>
  </si>
  <si>
    <t>Sabina Fire</t>
  </si>
  <si>
    <t>2014-07-23T10:47:00Z</t>
  </si>
  <si>
    <t>2014-07-08T18:30:00Z</t>
  </si>
  <si>
    <t>Cassel Fire</t>
  </si>
  <si>
    <t>2014-07-05T18:44:00Z</t>
  </si>
  <si>
    <t>2014-05-01T19:00:00Z</t>
  </si>
  <si>
    <t>San Lucas Fire</t>
  </si>
  <si>
    <t>2014-04-30T14:25:00Z</t>
  </si>
  <si>
    <t>2014-07-16T08:00:00Z</t>
  </si>
  <si>
    <t>Wildlife Fire</t>
  </si>
  <si>
    <t>2014-07-14T18:00:00Z</t>
  </si>
  <si>
    <t>2014-09-05T09:15:00Z</t>
  </si>
  <si>
    <t>Jackson Fire</t>
  </si>
  <si>
    <t>2014-09-04T11:51:00Z</t>
  </si>
  <si>
    <t>2014-07-06T08:30:00Z</t>
  </si>
  <si>
    <t>Ranch Fire</t>
  </si>
  <si>
    <t>2014-07-01T18:15:00Z</t>
  </si>
  <si>
    <t>2014-06-13T08:00:00Z</t>
  </si>
  <si>
    <t>Norman Fire</t>
  </si>
  <si>
    <t>2014-06-12T14:29:00Z</t>
  </si>
  <si>
    <t>2014-09-21T09:00:00Z</t>
  </si>
  <si>
    <t>June Fire</t>
  </si>
  <si>
    <t>2014-09-16T19:07:00Z</t>
  </si>
  <si>
    <t>2014-09-22T16:30:00Z</t>
  </si>
  <si>
    <t>Nelson Fire</t>
  </si>
  <si>
    <t>2014-09-21T16:13:00Z</t>
  </si>
  <si>
    <t>2014-01-02T07:30:00Z</t>
  </si>
  <si>
    <t>Honcut Fire</t>
  </si>
  <si>
    <t>2014-01-01T10:46:00Z</t>
  </si>
  <si>
    <t>2014-03-29T17:15:00Z</t>
  </si>
  <si>
    <t>Van Buren Fire</t>
  </si>
  <si>
    <t>2014-03-28T14:31:00Z</t>
  </si>
  <si>
    <t>2014-05-20T11:30:00Z</t>
  </si>
  <si>
    <t>Freeway Fire</t>
  </si>
  <si>
    <t>2014-05-14T17:43:00Z</t>
  </si>
  <si>
    <t>2014-05-15T11:30:00Z</t>
  </si>
  <si>
    <t>2014-05-14T14:00:00Z</t>
  </si>
  <si>
    <t>2014-10-17T18:15:00Z</t>
  </si>
  <si>
    <t>Bane Fire</t>
  </si>
  <si>
    <t>2014-10-16T14:34:00Z</t>
  </si>
  <si>
    <t>Interlake Fire</t>
  </si>
  <si>
    <t>2014-07-07T16:12:00Z</t>
  </si>
  <si>
    <t>2014-06-11T07:30:00Z</t>
  </si>
  <si>
    <t>2014-06-09T15:15:00Z</t>
  </si>
  <si>
    <t>2014-07-08T06:56:00Z</t>
  </si>
  <si>
    <t>Hutto Fire</t>
  </si>
  <si>
    <t>2014-07-07T16:35:00Z</t>
  </si>
  <si>
    <t>2014-08-02T08:00:00Z</t>
  </si>
  <si>
    <t>McClellan Fire</t>
  </si>
  <si>
    <t>2014-08-01T15:47:00Z</t>
  </si>
  <si>
    <t>2014-05-29T08:45:00Z</t>
  </si>
  <si>
    <t>2014-05-27T11:23:00Z</t>
  </si>
  <si>
    <t>2014-06-07T19:00:00Z</t>
  </si>
  <si>
    <t>Bogart Fire</t>
  </si>
  <si>
    <t>2014-06-06T17:32:00Z</t>
  </si>
  <si>
    <t>2014-08-02T11:00:00Z</t>
  </si>
  <si>
    <t>Siskiyou County Lightning Fires</t>
  </si>
  <si>
    <t>2014-07-29T13:00:00Z</t>
  </si>
  <si>
    <t>2014-07-09T16:45:00Z</t>
  </si>
  <si>
    <t>Bible Fire</t>
  </si>
  <si>
    <t>2014-07-09T14:34:00Z</t>
  </si>
  <si>
    <t>2014-05-06T10:20:00Z</t>
  </si>
  <si>
    <t>Jacumba Fire</t>
  </si>
  <si>
    <t>2014-05-05T16:36:00Z</t>
  </si>
  <si>
    <t>2014-09-15T14:20:00Z</t>
  </si>
  <si>
    <t>Stage Coach Fire</t>
  </si>
  <si>
    <t>2014-09-11T15:14:00Z</t>
  </si>
  <si>
    <t>2014-09-30T15:00:00Z</t>
  </si>
  <si>
    <t>Foothill Fire</t>
  </si>
  <si>
    <t>2014-09-29T19:35:00Z</t>
  </si>
  <si>
    <t>2014-08-29T13:15:00Z</t>
  </si>
  <si>
    <t>Leopard Fire</t>
  </si>
  <si>
    <t>2014-08-29T12:21:00Z</t>
  </si>
  <si>
    <t>2014-06-09T19:15:00Z</t>
  </si>
  <si>
    <t>Hall Fire</t>
  </si>
  <si>
    <t>2014-09-25T07:27:00Z</t>
  </si>
  <si>
    <t>Cascade Fire</t>
  </si>
  <si>
    <t>2014-09-25T18:00:00Z</t>
  </si>
  <si>
    <t>2014-08-17T07:45:00Z</t>
  </si>
  <si>
    <t>2014-08-16T16:22:00Z</t>
  </si>
  <si>
    <t>2014-01-04T18:30:00Z</t>
  </si>
  <si>
    <t>2014-01-03T10:30:00Z</t>
  </si>
  <si>
    <t>2014-07-03T10:45:00Z</t>
  </si>
  <si>
    <t>West Fire</t>
  </si>
  <si>
    <t>2014-07-01T03:45:00Z</t>
  </si>
  <si>
    <t>2014-07-22T18:00:00Z</t>
  </si>
  <si>
    <t>Iowa Fire</t>
  </si>
  <si>
    <t>2014-07-21T14:49:00Z</t>
  </si>
  <si>
    <t>2014-06-04T16:30:00Z</t>
  </si>
  <si>
    <t>Santa Fire</t>
  </si>
  <si>
    <t>2014-06-04T15:18:00Z</t>
  </si>
  <si>
    <t>Pines Fire</t>
  </si>
  <si>
    <t>2014-08-26T16:23:00Z</t>
  </si>
  <si>
    <t>2014-08-31T18:00:00Z</t>
  </si>
  <si>
    <t>South Napa Earthquake</t>
  </si>
  <si>
    <t>2014-08-24T03:20:00Z</t>
  </si>
  <si>
    <t>2014-08-14T09:30:00Z</t>
  </si>
  <si>
    <t>Happy Camp Complex</t>
  </si>
  <si>
    <t>2014-08-11T22:00:00Z</t>
  </si>
  <si>
    <t>2015-11-09T12:00:00Z</t>
  </si>
  <si>
    <t>Rough Fire</t>
  </si>
  <si>
    <t>2015-07-31T19:00:00Z</t>
  </si>
  <si>
    <t>2015-07-31T20:25:00Z</t>
  </si>
  <si>
    <t>River Complex</t>
  </si>
  <si>
    <t>2015-07-30T22:30:00Z</t>
  </si>
  <si>
    <t>2015-08-14T18:15:00Z</t>
  </si>
  <si>
    <t>Rocky Fire</t>
  </si>
  <si>
    <t>2015-07-29T15:29:00Z</t>
  </si>
  <si>
    <t>2015-08-24T10:00:00Z</t>
  </si>
  <si>
    <t>Fork Complex</t>
  </si>
  <si>
    <t>2015-07-30T21:30:00Z</t>
  </si>
  <si>
    <t>2015-08-01T22:15:00Z</t>
  </si>
  <si>
    <t>2015-06-17T15:52:00Z</t>
  </si>
  <si>
    <t>Del Norte</t>
  </si>
  <si>
    <t>2015-08-04T09:00:00Z</t>
  </si>
  <si>
    <t>Gasquet Complex</t>
  </si>
  <si>
    <t>2015-07-31T21:00:00Z</t>
  </si>
  <si>
    <t>2015-08-03T14:00:00Z</t>
  </si>
  <si>
    <t>South Complex</t>
  </si>
  <si>
    <t>2015-07-30T16:00:00Z</t>
  </si>
  <si>
    <t>2015-08-25T06:45:00Z</t>
  </si>
  <si>
    <t>Jerusalem Fire</t>
  </si>
  <si>
    <t>2015-08-09T15:34:00Z</t>
  </si>
  <si>
    <t>2015-08-04T10:37:00Z</t>
  </si>
  <si>
    <t>Dodge Fire</t>
  </si>
  <si>
    <t>2015-08-03T14:15:00Z</t>
  </si>
  <si>
    <t>Nickowitz Fire</t>
  </si>
  <si>
    <t>2015-08-01T23:23:00Z</t>
  </si>
  <si>
    <t>2015-02-12T07:35:00Z</t>
  </si>
  <si>
    <t>Round Fire</t>
  </si>
  <si>
    <t>2015-02-06T14:07:00Z</t>
  </si>
  <si>
    <t>Mono</t>
  </si>
  <si>
    <t>2015-09-05T18:00:00Z</t>
  </si>
  <si>
    <t>Cabin Fire</t>
  </si>
  <si>
    <t>2015-07-19T08:00:00Z</t>
  </si>
  <si>
    <t>2015-08-13T10:30:00Z</t>
  </si>
  <si>
    <t>Willow Fire</t>
  </si>
  <si>
    <t>2015-07-25T14:30:00Z</t>
  </si>
  <si>
    <t>2015-08-19T19:15:00Z</t>
  </si>
  <si>
    <t>Humboldt Lightning Fires</t>
  </si>
  <si>
    <t>2015-07-30T16:02:00Z</t>
  </si>
  <si>
    <t>2015-07-31T20:00:00Z</t>
  </si>
  <si>
    <t>Frog Fire</t>
  </si>
  <si>
    <t>2015-07-30T17:45:00Z</t>
  </si>
  <si>
    <t>2015-07-21T07:00:00Z</t>
  </si>
  <si>
    <t>North Fire</t>
  </si>
  <si>
    <t>2015-07-17T14:33:00Z</t>
  </si>
  <si>
    <t>2015-08-23T17:45:00Z</t>
  </si>
  <si>
    <t>Walker Fire</t>
  </si>
  <si>
    <t>2015-08-14T21:31:00Z</t>
  </si>
  <si>
    <t>2015-08-22T18:30:00Z</t>
  </si>
  <si>
    <t>Tesla Fire</t>
  </si>
  <si>
    <t>2015-08-19T14:45:00Z</t>
  </si>
  <si>
    <t>2015-08-28T18:15:00Z</t>
  </si>
  <si>
    <t>Cuesta Fire</t>
  </si>
  <si>
    <t>2015-08-16T18:13:00Z</t>
  </si>
  <si>
    <t>2015-08-12T19:15:00Z</t>
  </si>
  <si>
    <t>Lowell Fire</t>
  </si>
  <si>
    <t>2015-07-25T14:37:00Z</t>
  </si>
  <si>
    <t>2015-08-18T19:00:00Z</t>
  </si>
  <si>
    <t>Horno Fire</t>
  </si>
  <si>
    <t>2015-08-13T13:03:00Z</t>
  </si>
  <si>
    <t>2015-06-24T18:30:00Z</t>
  </si>
  <si>
    <t>Park Hill Fire</t>
  </si>
  <si>
    <t>2015-06-20T14:41:00Z</t>
  </si>
  <si>
    <t>2015-06-29T09:00:00Z</t>
  </si>
  <si>
    <t>Saddle Fire</t>
  </si>
  <si>
    <t>2015-06-10T15:00:00Z</t>
  </si>
  <si>
    <t>2015-08-01T19:00:00Z</t>
  </si>
  <si>
    <t>2015-07-31T21:37:00Z</t>
  </si>
  <si>
    <t>2015-07-21T07:15:00Z</t>
  </si>
  <si>
    <t>2015-07-18T22:27:00Z</t>
  </si>
  <si>
    <t>2015-09-27T18:15:00Z</t>
  </si>
  <si>
    <t>2015-09-19T15:00:00Z</t>
  </si>
  <si>
    <t>2015-04-24T07:30:00Z</t>
  </si>
  <si>
    <t>2015-04-18T18:12:00Z</t>
  </si>
  <si>
    <t>2015-09-17T19:30:00Z</t>
  </si>
  <si>
    <t>Lumpkin Fire</t>
  </si>
  <si>
    <t>2015-09-11T14:15:00Z</t>
  </si>
  <si>
    <t>2015-06-25T18:45:00Z</t>
  </si>
  <si>
    <t>Corrine Fire</t>
  </si>
  <si>
    <t>2015-06-18T21:00:00Z</t>
  </si>
  <si>
    <t>2015-10-04T18:40:00Z</t>
  </si>
  <si>
    <t>Meridian Fire</t>
  </si>
  <si>
    <t>2015-10-03T21:15:00Z</t>
  </si>
  <si>
    <t>2015-09-08T19:28:00Z</t>
  </si>
  <si>
    <t>Elk Fire</t>
  </si>
  <si>
    <t>2015-09-02T14:57:00Z</t>
  </si>
  <si>
    <t>2015-10-16T18:00:00Z</t>
  </si>
  <si>
    <t>Cienega Fire</t>
  </si>
  <si>
    <t>2015-10-12T16:00:00Z</t>
  </si>
  <si>
    <t>2015-08-15T17:30:00Z</t>
  </si>
  <si>
    <t>Anza Fire</t>
  </si>
  <si>
    <t>2015-08-10T11:44:00Z</t>
  </si>
  <si>
    <t>2015-02-20T19:00:00Z</t>
  </si>
  <si>
    <t>Van Dyke Fire</t>
  </si>
  <si>
    <t>2015-02-06T16:52:00Z</t>
  </si>
  <si>
    <t>2015-06-19T08:15:00Z</t>
  </si>
  <si>
    <t>Sky Fire</t>
  </si>
  <si>
    <t>2015-06-18T14:31:00Z</t>
  </si>
  <si>
    <t>2015-07-26T10:30:00Z</t>
  </si>
  <si>
    <t>Triple Fire</t>
  </si>
  <si>
    <t>2015-07-21T12:35:00Z</t>
  </si>
  <si>
    <t>2015-09-11T11:00:00Z</t>
  </si>
  <si>
    <t>Tenaya Fire</t>
  </si>
  <si>
    <t>2015-09-07T21:23:00Z</t>
  </si>
  <si>
    <t>2015-06-26T17:00:00Z</t>
  </si>
  <si>
    <t>Calgrove Fire</t>
  </si>
  <si>
    <t>2015-06-24T13:22:00Z</t>
  </si>
  <si>
    <t>2015-08-03T17:00:00Z</t>
  </si>
  <si>
    <t>2015-07-29T11:25:00Z</t>
  </si>
  <si>
    <t>2015-08-20T08:10:00Z</t>
  </si>
  <si>
    <t>Lincoln Fire</t>
  </si>
  <si>
    <t>2015-08-16T13:30:00Z</t>
  </si>
  <si>
    <t>2015-07-02T06:36:00Z</t>
  </si>
  <si>
    <t>Ione Fire</t>
  </si>
  <si>
    <t>2015-07-02T01:58:00Z</t>
  </si>
  <si>
    <t>2015-08-16T20:00:00Z</t>
  </si>
  <si>
    <t>Warm Fire</t>
  </si>
  <si>
    <t>2015-08-16T15:30:00Z</t>
  </si>
  <si>
    <t>2015-06-06T07:15:00Z</t>
  </si>
  <si>
    <t>Site Fire</t>
  </si>
  <si>
    <t>2015-06-05T20:22:00Z</t>
  </si>
  <si>
    <t>2015-08-12T08:00:00Z</t>
  </si>
  <si>
    <t>Chorro Fire</t>
  </si>
  <si>
    <t>2015-08-02T13:15:00Z</t>
  </si>
  <si>
    <t>2015-05-11T12:15:00Z</t>
  </si>
  <si>
    <t>Forebay Fire</t>
  </si>
  <si>
    <t>2015-05-11T10:26:00Z</t>
  </si>
  <si>
    <t>2015-05-28T10:30:00Z</t>
  </si>
  <si>
    <t>Christensen Fire</t>
  </si>
  <si>
    <t>2015-05-28T17:00:00Z</t>
  </si>
  <si>
    <t>2015-08-07T21:00:00Z</t>
  </si>
  <si>
    <t>Mendocino National Forest Lightning Complex</t>
  </si>
  <si>
    <t>2015-07-30T14:00:00Z</t>
  </si>
  <si>
    <t>2015-09-10T18:50:00Z</t>
  </si>
  <si>
    <t>Pacheco Fire</t>
  </si>
  <si>
    <t>2015-09-09T15:58:00Z</t>
  </si>
  <si>
    <t>2015-08-27T15:15:00Z</t>
  </si>
  <si>
    <t>Peterson Fire</t>
  </si>
  <si>
    <t>2015-08-22T17:30:00Z</t>
  </si>
  <si>
    <t>2015-07-15T18:45:00Z</t>
  </si>
  <si>
    <t>241 Fire</t>
  </si>
  <si>
    <t>2015-07-13T10:47:00Z</t>
  </si>
  <si>
    <t>China Fire</t>
  </si>
  <si>
    <t>2015-07-29T17:55:00Z</t>
  </si>
  <si>
    <t>2015-06-29T17:05:00Z</t>
  </si>
  <si>
    <t>Mesa Fire</t>
  </si>
  <si>
    <t>2015-06-29T13:11:00Z</t>
  </si>
  <si>
    <t>2015-08-04T18:00:00Z</t>
  </si>
  <si>
    <t>Big Creek Fire</t>
  </si>
  <si>
    <t>2015-07-29T16:30:00Z</t>
  </si>
  <si>
    <t>2015-08-04T08:15:00Z</t>
  </si>
  <si>
    <t>2015-07-17T21:30:00Z</t>
  </si>
  <si>
    <t>2015-03-02T09:00:00Z</t>
  </si>
  <si>
    <t>Stephens Fire</t>
  </si>
  <si>
    <t>2015-02-24T12:15:00Z</t>
  </si>
  <si>
    <t>2015-07-30T11:18:00Z</t>
  </si>
  <si>
    <t>2015-08-16T12:00:00Z</t>
  </si>
  <si>
    <t>Rustic Fire</t>
  </si>
  <si>
    <t>2015-08-14T15:22:00Z</t>
  </si>
  <si>
    <t>2015-07-14T08:30:00Z</t>
  </si>
  <si>
    <t>Cooley Fire</t>
  </si>
  <si>
    <t>2015-07-13T17:56:00Z</t>
  </si>
  <si>
    <t>2015-06-19T17:45:00Z</t>
  </si>
  <si>
    <t>Wildcat Fire</t>
  </si>
  <si>
    <t>2015-06-17T17:03:00Z</t>
  </si>
  <si>
    <t>2015-09-11T19:17:00Z</t>
  </si>
  <si>
    <t>2015-09-09T14:30:00Z</t>
  </si>
  <si>
    <t>2015-07-04T20:15:00Z</t>
  </si>
  <si>
    <t>2015-07-04T16:33:00Z</t>
  </si>
  <si>
    <t>2015-08-21T18:45:00Z</t>
  </si>
  <si>
    <t>Flat Fire</t>
  </si>
  <si>
    <t>2015-08-20T15:57:00Z</t>
  </si>
  <si>
    <t>2015-07-26T06:45:00Z</t>
  </si>
  <si>
    <t>Cutca Fire</t>
  </si>
  <si>
    <t>2015-07-24T16:18:00Z</t>
  </si>
  <si>
    <t>2015-06-25T07:00:00Z</t>
  </si>
  <si>
    <t>2015-06-22T07:00:00Z</t>
  </si>
  <si>
    <t>2015-08-01T21:45:00Z</t>
  </si>
  <si>
    <t>Queen Fire</t>
  </si>
  <si>
    <t>2015-07-24T23:00:00Z</t>
  </si>
  <si>
    <t>2015-06-22T11:45:00Z</t>
  </si>
  <si>
    <t>Cook Fire</t>
  </si>
  <si>
    <t>2015-06-18T13:07:00Z</t>
  </si>
  <si>
    <t>2015-07-08T20:45:00Z</t>
  </si>
  <si>
    <t>2015-07-06T10:47:00Z</t>
  </si>
  <si>
    <t>2015-07-04T13:00:00Z</t>
  </si>
  <si>
    <t>Merwin Fire</t>
  </si>
  <si>
    <t>2015-07-01T20:38:00Z</t>
  </si>
  <si>
    <t>2015-08-29T07:00:00Z</t>
  </si>
  <si>
    <t>Horse Fire</t>
  </si>
  <si>
    <t>2015-08-18T18:30:00Z</t>
  </si>
  <si>
    <t>2015-04-18T23:50:00Z</t>
  </si>
  <si>
    <t>Ward Fire</t>
  </si>
  <si>
    <t>2015-04-13T05:30:00Z</t>
  </si>
  <si>
    <t>2015-06-23T18:25:00Z</t>
  </si>
  <si>
    <t>2015-06-21T12:08:00Z</t>
  </si>
  <si>
    <t>2015-08-29T18:45:00Z</t>
  </si>
  <si>
    <t>Democrat Fire</t>
  </si>
  <si>
    <t>2015-08-25T14:08:00Z</t>
  </si>
  <si>
    <t>2015-06-18T21:15:00Z</t>
  </si>
  <si>
    <t>Collier Fire</t>
  </si>
  <si>
    <t>2015-06-18T14:09:00Z</t>
  </si>
  <si>
    <t>2015-07-26T10:10:00Z</t>
  </si>
  <si>
    <t>3-11 Fire</t>
  </si>
  <si>
    <t>2015-07-23T16:40:00Z</t>
  </si>
  <si>
    <t>2015-08-18T07:15:00Z</t>
  </si>
  <si>
    <t>Mark Fire</t>
  </si>
  <si>
    <t>2015-08-13T16:15:00Z</t>
  </si>
  <si>
    <t>2015-08-16T19:20:00Z</t>
  </si>
  <si>
    <t>Tulloch Fire</t>
  </si>
  <si>
    <t>2015-08-15T16:11:00Z</t>
  </si>
  <si>
    <t>2015-07-03T18:00:00Z</t>
  </si>
  <si>
    <t>Shinn Fire</t>
  </si>
  <si>
    <t>2015-06-30T18:00:00Z</t>
  </si>
  <si>
    <t>2015-09-03T14:30:00Z</t>
  </si>
  <si>
    <t>Apple Fire</t>
  </si>
  <si>
    <t>2015-09-03T12:12:00Z</t>
  </si>
  <si>
    <t>2015-08-09T20:30:00Z</t>
  </si>
  <si>
    <t>36 Fire</t>
  </si>
  <si>
    <t>2015-08-08T14:55:00Z</t>
  </si>
  <si>
    <t>2015-06-08T11:45:00Z</t>
  </si>
  <si>
    <t>Riosa Fire</t>
  </si>
  <si>
    <t>2015-06-08T10:33:00Z</t>
  </si>
  <si>
    <t>2015-09-13T10:15:00Z</t>
  </si>
  <si>
    <t>2015-09-11T15:08:00Z</t>
  </si>
  <si>
    <t>2015-09-15T19:15:00Z</t>
  </si>
  <si>
    <t>2015-09-08T13:23:00Z</t>
  </si>
  <si>
    <t>2015-10-02T17:50:00Z</t>
  </si>
  <si>
    <t>Munjar Fire</t>
  </si>
  <si>
    <t>2015-10-02T14:38:00Z</t>
  </si>
  <si>
    <t>Sterling Fire</t>
  </si>
  <si>
    <t>2015-06-25T18:30:00Z</t>
  </si>
  <si>
    <t>2015-09-21T18:20:00Z</t>
  </si>
  <si>
    <t>Laureles Fire</t>
  </si>
  <si>
    <t>2015-09-19T15:25:00Z</t>
  </si>
  <si>
    <t>2015-07-15T07:00:00Z</t>
  </si>
  <si>
    <t>2015-07-10T12:41:00Z</t>
  </si>
  <si>
    <t>2015-07-31T18:30:00Z</t>
  </si>
  <si>
    <t>Sprig Fire</t>
  </si>
  <si>
    <t>2015-07-30T12:57:00Z</t>
  </si>
  <si>
    <t>2015-08-05T17:45:00Z</t>
  </si>
  <si>
    <t>Advance Fire</t>
  </si>
  <si>
    <t>2015-07-30T12:40:00Z</t>
  </si>
  <si>
    <t>2015-06-26T22:15:00Z</t>
  </si>
  <si>
    <t>Otay Fire</t>
  </si>
  <si>
    <t>2015-06-26T16:06:00Z</t>
  </si>
  <si>
    <t>2015-06-05T16:32:00Z</t>
  </si>
  <si>
    <t>Harrison Fire</t>
  </si>
  <si>
    <t>2015-06-01T10:16:00Z</t>
  </si>
  <si>
    <t>2015-07-25T22:00:00Z</t>
  </si>
  <si>
    <t>3-12 Fire</t>
  </si>
  <si>
    <t>2015-07-23T17:30:00Z</t>
  </si>
  <si>
    <t>Fern Fire</t>
  </si>
  <si>
    <t>2015-08-02T03:00:00Z</t>
  </si>
  <si>
    <t>2015-07-31T18:40:00Z</t>
  </si>
  <si>
    <t>Mallard Fire</t>
  </si>
  <si>
    <t>2015-07-29T14:15:00Z</t>
  </si>
  <si>
    <t>2015-07-23T14:00:00Z</t>
  </si>
  <si>
    <t>2015-07-01T20:20:00Z</t>
  </si>
  <si>
    <t>Webb Fire</t>
  </si>
  <si>
    <t>2015-07-01T13:05:00Z</t>
  </si>
  <si>
    <t>2015-09-03T19:35:00Z</t>
  </si>
  <si>
    <t>2015-09-02T13:18:00Z</t>
  </si>
  <si>
    <t>2015-08-22T18:00:00Z</t>
  </si>
  <si>
    <t>Prairie Fire</t>
  </si>
  <si>
    <t>2015-08-20T16:00:00Z</t>
  </si>
  <si>
    <t>2015-06-15T18:45:00Z</t>
  </si>
  <si>
    <t>Pass Fire</t>
  </si>
  <si>
    <t>2015-06-15T15:46:00Z</t>
  </si>
  <si>
    <t>2015-08-05T09:00:00Z</t>
  </si>
  <si>
    <t>Scales Fire</t>
  </si>
  <si>
    <t>2015-08-01T13:04:00Z</t>
  </si>
  <si>
    <t>2015-07-22T10:00:00Z</t>
  </si>
  <si>
    <t>Kerkhoff Fire</t>
  </si>
  <si>
    <t>2015-07-18T16:31:00Z</t>
  </si>
  <si>
    <t>2015-06-20T19:35:00Z</t>
  </si>
  <si>
    <t>Dixie Fire</t>
  </si>
  <si>
    <t>2015-06-19T16:15:00Z</t>
  </si>
  <si>
    <t>2015-06-21T07:25:00Z</t>
  </si>
  <si>
    <t>Grapefruit Fire</t>
  </si>
  <si>
    <t>2015-06-18T14:16:00Z</t>
  </si>
  <si>
    <t>2015-06-19T20:05:00Z</t>
  </si>
  <si>
    <t>Triangle Fire</t>
  </si>
  <si>
    <t>2015-06-18T12:03:00Z</t>
  </si>
  <si>
    <t>2015-06-17T06:45:00Z</t>
  </si>
  <si>
    <t>2015-06-16T16:42:00Z</t>
  </si>
  <si>
    <t>Point Fire</t>
  </si>
  <si>
    <t>2015-08-03T14:28:00Z</t>
  </si>
  <si>
    <t>2015-10-10T18:45:00Z</t>
  </si>
  <si>
    <t>Military Fire</t>
  </si>
  <si>
    <t>2015-10-10T12:00:00Z</t>
  </si>
  <si>
    <t>2015-09-11T15:00:00Z</t>
  </si>
  <si>
    <t>2015-08-23T12:25:00Z</t>
  </si>
  <si>
    <t>2015-08-10T15:05:00Z</t>
  </si>
  <si>
    <t>De Luz Fire</t>
  </si>
  <si>
    <t>2015-08-09T08:22:00Z</t>
  </si>
  <si>
    <t>2015-06-17T18:30:00Z</t>
  </si>
  <si>
    <t>Fork Fire</t>
  </si>
  <si>
    <t>2015-06-17T12:50:00Z</t>
  </si>
  <si>
    <t>2015-07-21T07:20:00Z</t>
  </si>
  <si>
    <t>Mill 2 Fire</t>
  </si>
  <si>
    <t>2015-07-12T14:46:00Z</t>
  </si>
  <si>
    <t>2015-06-25T16:10:00Z</t>
  </si>
  <si>
    <t>1969-12-31T16:00:00Z</t>
  </si>
  <si>
    <t>2015-08-01T14:32:00Z</t>
  </si>
  <si>
    <t>2015-11-07T16:45:00Z</t>
  </si>
  <si>
    <t>Potrero Fire</t>
  </si>
  <si>
    <t>2015-11-07T01:45:00Z</t>
  </si>
  <si>
    <t>2015-08-03T08:55:00Z</t>
  </si>
  <si>
    <t>Mendocino Lightning Fires</t>
  </si>
  <si>
    <t>2015-07-30T13:36:00Z</t>
  </si>
  <si>
    <t>2015-09-15T19:10:00Z</t>
  </si>
  <si>
    <t>Antelope Fire</t>
  </si>
  <si>
    <t>2015-09-09T11:45:00Z</t>
  </si>
  <si>
    <t>2015-07-03T20:00:00Z</t>
  </si>
  <si>
    <t>Geary Fire</t>
  </si>
  <si>
    <t>2015-07-02T04:40:00Z</t>
  </si>
  <si>
    <t>2015-06-06T20:00:00Z</t>
  </si>
  <si>
    <t>FKU Lightning Fires</t>
  </si>
  <si>
    <t>2015-06-05T17:00:00Z</t>
  </si>
  <si>
    <t>2015-07-13T11:00:00Z</t>
  </si>
  <si>
    <t>Mason Fire</t>
  </si>
  <si>
    <t>2015-07-09T15:00:00Z</t>
  </si>
  <si>
    <t>2015-07-03T17:55:00Z</t>
  </si>
  <si>
    <t>2015-06-30T15:23:00Z</t>
  </si>
  <si>
    <t>2015-09-10T07:49:00Z</t>
  </si>
  <si>
    <t>Center Fire</t>
  </si>
  <si>
    <t>2015-09-09T14:12:00Z</t>
  </si>
  <si>
    <t>2015-07-28T15:00:00Z</t>
  </si>
  <si>
    <t>Sullivan Fire</t>
  </si>
  <si>
    <t>2015-07-28T12:10:00Z</t>
  </si>
  <si>
    <t>2015-07-10T17:00:00Z</t>
  </si>
  <si>
    <t>Ascot Fire</t>
  </si>
  <si>
    <t>2015-07-10T13:36:00Z</t>
  </si>
  <si>
    <t>2015-06-17T13:10:00Z</t>
  </si>
  <si>
    <t>Chiles Fire</t>
  </si>
  <si>
    <t>2015-06-16T14:27:00Z</t>
  </si>
  <si>
    <t>2015-06-10T09:45:00Z</t>
  </si>
  <si>
    <t>Garage Fire</t>
  </si>
  <si>
    <t>2015-06-09T15:23:00Z</t>
  </si>
  <si>
    <t>2015-09-10T17:05:00Z</t>
  </si>
  <si>
    <t>Browns Fire</t>
  </si>
  <si>
    <t>2015-09-08T15:56:00Z</t>
  </si>
  <si>
    <t>2015-07-05T11:30:00Z</t>
  </si>
  <si>
    <t>2015-07-03T09:28:00Z</t>
  </si>
  <si>
    <t>2015-06-29T07:15:00Z</t>
  </si>
  <si>
    <t>Covelo Fire</t>
  </si>
  <si>
    <t>2015-06-28T13:30:00Z</t>
  </si>
  <si>
    <t>2015-09-21T14:36:00Z</t>
  </si>
  <si>
    <t>McCourtney Fire</t>
  </si>
  <si>
    <t>2015-09-22T07:00:00Z</t>
  </si>
  <si>
    <t>2015-08-30T08:00:00Z</t>
  </si>
  <si>
    <t>Kramer Fire</t>
  </si>
  <si>
    <t>2015-08-29T16:06:00Z</t>
  </si>
  <si>
    <t>2015-08-05T07:30:00Z</t>
  </si>
  <si>
    <t>Francis Fire</t>
  </si>
  <si>
    <t>2015-08-03T18:07:00Z</t>
  </si>
  <si>
    <t>2015-11-12T18:00:00Z</t>
  </si>
  <si>
    <t>Banister Fire</t>
  </si>
  <si>
    <t>2015-11-11T17:40:00Z</t>
  </si>
  <si>
    <t>2015-07-22T19:50:00Z</t>
  </si>
  <si>
    <t>Baxter Fire</t>
  </si>
  <si>
    <t>2015-07-22T18:17:00Z</t>
  </si>
  <si>
    <t>2015-07-25T16:05:00Z</t>
  </si>
  <si>
    <t>Park Fire</t>
  </si>
  <si>
    <t>2015-07-24T12:43:00Z</t>
  </si>
  <si>
    <t>2015-07-20T15:30:00Z</t>
  </si>
  <si>
    <t>Betabel Fire</t>
  </si>
  <si>
    <t>2015-07-20T13:23:00Z</t>
  </si>
  <si>
    <t>2015-07-17T15:15:00Z</t>
  </si>
  <si>
    <t>2015-07-16T11:30:00Z</t>
  </si>
  <si>
    <t>Buckaroo Fire</t>
  </si>
  <si>
    <t>2015-07-02T17:10:00Z</t>
  </si>
  <si>
    <t>2015-06-09T09:00:00Z</t>
  </si>
  <si>
    <t>Fox Fire</t>
  </si>
  <si>
    <t>2015-06-07T12:06:00Z</t>
  </si>
  <si>
    <t>2015-06-06T06:45:00Z</t>
  </si>
  <si>
    <t>Oasis Fire</t>
  </si>
  <si>
    <t>2015-06-05T19:57:00Z</t>
  </si>
  <si>
    <t>2015-06-05T19:00:00Z</t>
  </si>
  <si>
    <t>Snow Fire</t>
  </si>
  <si>
    <t>2015-06-05T13:32:00Z</t>
  </si>
  <si>
    <t>2015-07-22T17:00:00Z</t>
  </si>
  <si>
    <t>Dorris Fire</t>
  </si>
  <si>
    <t>2015-07-21T17:00:00Z</t>
  </si>
  <si>
    <t>2015-07-05T09:00:00Z</t>
  </si>
  <si>
    <t>Soda Fire</t>
  </si>
  <si>
    <t>2015-07-04T15:30:00Z</t>
  </si>
  <si>
    <t>2015-08-25T18:30:00Z</t>
  </si>
  <si>
    <t>Grade Fire</t>
  </si>
  <si>
    <t>2015-08-24T12:12:00Z</t>
  </si>
  <si>
    <t>Gibraltar Fire</t>
  </si>
  <si>
    <t>2015-10-29T05:30:00Z</t>
  </si>
  <si>
    <t>2015-07-12T19:48:00Z</t>
  </si>
  <si>
    <t>Spider Fire</t>
  </si>
  <si>
    <t>2015-07-12T13:52:00Z</t>
  </si>
  <si>
    <t>2015-06-11T18:15:00Z</t>
  </si>
  <si>
    <t>2015-06-10T07:42:00Z</t>
  </si>
  <si>
    <t>2015-06-28T18:00:00Z</t>
  </si>
  <si>
    <t>Pleasure Fire</t>
  </si>
  <si>
    <t>2015-06-27T12:51:00Z</t>
  </si>
  <si>
    <t>2015-07-08T16:30:00Z</t>
  </si>
  <si>
    <t>Keswick Fire</t>
  </si>
  <si>
    <t>2015-07-07T12:34:00Z</t>
  </si>
  <si>
    <t>Buck Fire</t>
  </si>
  <si>
    <t>2015-07-28T17:19:00Z</t>
  </si>
  <si>
    <t>2015-08-01T15:25:00Z</t>
  </si>
  <si>
    <t>Mad River Complex</t>
  </si>
  <si>
    <t>Alpine</t>
  </si>
  <si>
    <t>2015-06-22T12:05:00Z</t>
  </si>
  <si>
    <t>Washington Fire</t>
  </si>
  <si>
    <t>2015-06-19T19:00:00Z</t>
  </si>
  <si>
    <t>2016-10-13T11:30:00Z</t>
  </si>
  <si>
    <t>Soberanes Fire</t>
  </si>
  <si>
    <t>2016-07-22T08:48:00Z</t>
  </si>
  <si>
    <t>2016-07-11T09:40:00Z</t>
  </si>
  <si>
    <t>Erskine Fire</t>
  </si>
  <si>
    <t>2016-06-23T15:51:00Z</t>
  </si>
  <si>
    <t>2016-09-06T07:30:00Z</t>
  </si>
  <si>
    <t>Chimney Fire</t>
  </si>
  <si>
    <t>2016-08-13T16:03:00Z</t>
  </si>
  <si>
    <t>2016-08-23T07:45:00Z</t>
  </si>
  <si>
    <t>Blue Cut Fire</t>
  </si>
  <si>
    <t>2016-08-16T10:44:00Z</t>
  </si>
  <si>
    <t>2016-08-28T18:15:00Z</t>
  </si>
  <si>
    <t>Gap Fire</t>
  </si>
  <si>
    <t>2016-08-27T18:00:00Z</t>
  </si>
  <si>
    <t>2016-09-15T15:20:00Z</t>
  </si>
  <si>
    <t>Rey Fire</t>
  </si>
  <si>
    <t>2016-08-18T17:57:00Z</t>
  </si>
  <si>
    <t>2016-10-01T06:00:00Z</t>
  </si>
  <si>
    <t>2016-08-16T16:35:00Z</t>
  </si>
  <si>
    <t>2016-09-27T14:00:00Z</t>
  </si>
  <si>
    <t>Canyon Fire</t>
  </si>
  <si>
    <t>2016-09-17T17:20:00Z</t>
  </si>
  <si>
    <t>2016-08-16T08:00:00Z</t>
  </si>
  <si>
    <t>Pilot Fire</t>
  </si>
  <si>
    <t>2016-08-07T12:18:00Z</t>
  </si>
  <si>
    <t>2016-06-30T18:30:00Z</t>
  </si>
  <si>
    <t>2016-06-19T11:03:00Z</t>
  </si>
  <si>
    <t>2016-07-12T14:30:00Z</t>
  </si>
  <si>
    <t>Sherpa Fire</t>
  </si>
  <si>
    <t>2016-06-15T15:21:00Z</t>
  </si>
  <si>
    <t>2016-08-18T19:00:00Z</t>
  </si>
  <si>
    <t>Mineral Fire</t>
  </si>
  <si>
    <t>2016-08-09T13:08:00Z</t>
  </si>
  <si>
    <t>2016-08-12T15:00:00Z</t>
  </si>
  <si>
    <t>Cold Fire</t>
  </si>
  <si>
    <t>2016-08-02T16:36:00Z</t>
  </si>
  <si>
    <t>2016-07-18T09:50:00Z</t>
  </si>
  <si>
    <t>Trailhead Fire</t>
  </si>
  <si>
    <t>2016-06-28T13:55:00Z</t>
  </si>
  <si>
    <t>2016-09-18T08:10:00Z</t>
  </si>
  <si>
    <t>Owens River Fire</t>
  </si>
  <si>
    <t>2016-09-17T13:49:00Z</t>
  </si>
  <si>
    <t>2018-04-23T15:07:00Z</t>
  </si>
  <si>
    <t>San Gabriel Complex (Formerly Fish &amp; Reservoir Fires)</t>
  </si>
  <si>
    <t>2016-06-20T13:59:00Z</t>
  </si>
  <si>
    <t>2016-11-14T14:00:00Z</t>
  </si>
  <si>
    <t>Marek Fire</t>
  </si>
  <si>
    <t>2016-11-14T05:45:00Z</t>
  </si>
  <si>
    <t>2017-09-19T10:30:00Z</t>
  </si>
  <si>
    <t>Loma Fire</t>
  </si>
  <si>
    <t>2016-09-26T14:42:00Z</t>
  </si>
  <si>
    <t>2016-12-19T13:30:00Z</t>
  </si>
  <si>
    <t>2016-10-29T11:15:00Z</t>
  </si>
  <si>
    <t>2016-08-26T18:00:00Z</t>
  </si>
  <si>
    <t>Clayton Fire</t>
  </si>
  <si>
    <t>2016-08-13T18:03:00Z</t>
  </si>
  <si>
    <t>2016-05-25T18:15:00Z</t>
  </si>
  <si>
    <t>Metz Fire</t>
  </si>
  <si>
    <t>2016-05-22T15:27:00Z</t>
  </si>
  <si>
    <t>2016-05-20T18:00:00Z</t>
  </si>
  <si>
    <t>Roberts Fire</t>
  </si>
  <si>
    <t>2016-05-18T14:27:00Z</t>
  </si>
  <si>
    <t>2016-07-05T07:05:00Z</t>
  </si>
  <si>
    <t>Curry Fire</t>
  </si>
  <si>
    <t>2016-07-01T17:16:00Z</t>
  </si>
  <si>
    <t>2016-11-08T10:15:00Z</t>
  </si>
  <si>
    <t>Pony Fire</t>
  </si>
  <si>
    <t>2016-06-07T02:45:00Z</t>
  </si>
  <si>
    <t>2016-08-07T19:14:00Z</t>
  </si>
  <si>
    <t>Clark Fire</t>
  </si>
  <si>
    <t>2016-08-04T14:09:00Z</t>
  </si>
  <si>
    <t>Soup Complex</t>
  </si>
  <si>
    <t>2016-09-17T14:37:00Z</t>
  </si>
  <si>
    <t>2016-09-22T07:00:00Z</t>
  </si>
  <si>
    <t>Willard Fire</t>
  </si>
  <si>
    <t>2016-09-11T11:33:00Z</t>
  </si>
  <si>
    <t>2016-06-20T08:30:00Z</t>
  </si>
  <si>
    <t>Coleman Fire</t>
  </si>
  <si>
    <t>2016-06-04T14:33:00Z</t>
  </si>
  <si>
    <t>2016-06-30T16:55:00Z</t>
  </si>
  <si>
    <t>Pine Fire</t>
  </si>
  <si>
    <t>2016-08-09T18:30:00Z</t>
  </si>
  <si>
    <t>Goose Fire</t>
  </si>
  <si>
    <t>2016-07-30T16:40:00Z</t>
  </si>
  <si>
    <t>2016-10-20T07:00:00Z</t>
  </si>
  <si>
    <t>Sacata Fire</t>
  </si>
  <si>
    <t>2016-10-11T12:58:00Z</t>
  </si>
  <si>
    <t>2016-07-08T19:00:00Z</t>
  </si>
  <si>
    <t>2016-07-01T14:05:00Z</t>
  </si>
  <si>
    <t>2016-09-29T17:00:00Z</t>
  </si>
  <si>
    <t>Sawmill Fire</t>
  </si>
  <si>
    <t>2016-09-25T10:43:00Z</t>
  </si>
  <si>
    <t>2016-09-02T18:10:00Z</t>
  </si>
  <si>
    <t>2016-08-30T12:25:00Z</t>
  </si>
  <si>
    <t>2016-06-26T18:50:00Z</t>
  </si>
  <si>
    <t>Dinosaur Fire</t>
  </si>
  <si>
    <t>2016-06-25T23:45:00Z</t>
  </si>
  <si>
    <t>2016-07-30T14:15:00Z</t>
  </si>
  <si>
    <t>Roblar Fire</t>
  </si>
  <si>
    <t>2016-07-21T16:06:00Z</t>
  </si>
  <si>
    <t>2016-07-16T12:00:00Z</t>
  </si>
  <si>
    <t>Sage Fire</t>
  </si>
  <si>
    <t>2016-07-09T12:04:00Z</t>
  </si>
  <si>
    <t>2016-10-04T22:00:00Z</t>
  </si>
  <si>
    <t>Marshes Fire</t>
  </si>
  <si>
    <t>2016-09-26T12:20:00Z</t>
  </si>
  <si>
    <t>2016-09-12T14:51:00Z</t>
  </si>
  <si>
    <t>2016-09-05T16:28:00Z</t>
  </si>
  <si>
    <t>2016-08-30T06:45:00Z</t>
  </si>
  <si>
    <t>2016-08-24T14:55:00Z</t>
  </si>
  <si>
    <t>2016-07-09T08:30:00Z</t>
  </si>
  <si>
    <t>Marina Fire</t>
  </si>
  <si>
    <t>2016-06-25T06:30:00Z</t>
  </si>
  <si>
    <t>2016-09-04T06:55:00Z</t>
  </si>
  <si>
    <t>Tully Fire</t>
  </si>
  <si>
    <t>2016-08-22T16:03:00Z</t>
  </si>
  <si>
    <t>2016-07-10T19:37:00Z</t>
  </si>
  <si>
    <t>Fort Fire</t>
  </si>
  <si>
    <t>2016-07-08T11:15:00Z</t>
  </si>
  <si>
    <t>2016-08-03T08:00:00Z</t>
  </si>
  <si>
    <t>99 Fire</t>
  </si>
  <si>
    <t>2016-08-02T14:35:00Z</t>
  </si>
  <si>
    <t>2016-08-29T10:30:00Z</t>
  </si>
  <si>
    <t>Range Fire</t>
  </si>
  <si>
    <t>2016-08-26T10:10:00Z</t>
  </si>
  <si>
    <t>2016-07-04T07:45:00Z</t>
  </si>
  <si>
    <t>Colyear Fire</t>
  </si>
  <si>
    <t>2016-06-30T13:32:00Z</t>
  </si>
  <si>
    <t>2016-08-31T18:50:00Z</t>
  </si>
  <si>
    <t>2016-08-28T13:07:00Z</t>
  </si>
  <si>
    <t>2016-07-12T07:00:00Z</t>
  </si>
  <si>
    <t>2016-07-08T22:45:00Z</t>
  </si>
  <si>
    <t>2016-08-18T21:30:00Z</t>
  </si>
  <si>
    <t>Beale Fire</t>
  </si>
  <si>
    <t>2016-08-18T15:35:00Z</t>
  </si>
  <si>
    <t>Tule Fire</t>
  </si>
  <si>
    <t>2016-08-22T22:00:00Z</t>
  </si>
  <si>
    <t>2016-09-14T18:00:00Z</t>
  </si>
  <si>
    <t>Howard Fire</t>
  </si>
  <si>
    <t>2016-09-11T14:15:00Z</t>
  </si>
  <si>
    <t>2016-06-29T07:30:00Z</t>
  </si>
  <si>
    <t>2016-06-28T19:02:00Z</t>
  </si>
  <si>
    <t>2016-09-13T14:30:00Z</t>
  </si>
  <si>
    <t>Hog Fire</t>
  </si>
  <si>
    <t>2016-09-13T23:10:00Z</t>
  </si>
  <si>
    <t>2016-07-16T18:30:00Z</t>
  </si>
  <si>
    <t>2016-07-12T13:14:00Z</t>
  </si>
  <si>
    <t>2016-07-08T19:32:00Z</t>
  </si>
  <si>
    <t>Appaloosa Fire</t>
  </si>
  <si>
    <t>2016-07-02T14:55:00Z</t>
  </si>
  <si>
    <t>2016-09-21T09:30:00Z</t>
  </si>
  <si>
    <t>2016-09-19T14:13:00Z</t>
  </si>
  <si>
    <t>2016-08-28T18:50:00Z</t>
  </si>
  <si>
    <t>Havilah Fire</t>
  </si>
  <si>
    <t>Sutter</t>
  </si>
  <si>
    <t>2016-09-20T18:00:00Z</t>
  </si>
  <si>
    <t>2016-09-20T09:30:00Z</t>
  </si>
  <si>
    <t>2016-05-25T08:00:00Z</t>
  </si>
  <si>
    <t>DeWolf Fire</t>
  </si>
  <si>
    <t>2016-05-25T01:03:00Z</t>
  </si>
  <si>
    <t>2016-06-27T06:15:00Z</t>
  </si>
  <si>
    <t>2016-06-26T15:45:00Z</t>
  </si>
  <si>
    <t>2016-10-06T17:15:00Z</t>
  </si>
  <si>
    <t>Tobin Fire</t>
  </si>
  <si>
    <t>2016-09-26T13:23:00Z</t>
  </si>
  <si>
    <t>2016-06-20T06:00:00Z</t>
  </si>
  <si>
    <t>2016-06-17T14:30:00Z</t>
  </si>
  <si>
    <t>2016-07-14T12:00:00Z</t>
  </si>
  <si>
    <t>Onyx Fire</t>
  </si>
  <si>
    <t>2016-07-13T17:08:00Z</t>
  </si>
  <si>
    <t>2016-09-22T14:20:00Z</t>
  </si>
  <si>
    <t>2016-06-28T20:00:00Z</t>
  </si>
  <si>
    <t>Reservoir Fire</t>
  </si>
  <si>
    <t>2016-06-26T16:00:00Z</t>
  </si>
  <si>
    <t>2016-06-26T07:00:00Z</t>
  </si>
  <si>
    <t>2016-06-25T16:11:00Z</t>
  </si>
  <si>
    <t>2016-06-21T18:30:00Z</t>
  </si>
  <si>
    <t>Camanche Fire</t>
  </si>
  <si>
    <t>2016-06-17T14:54:00Z</t>
  </si>
  <si>
    <t>2016-07-13T17:30:00Z</t>
  </si>
  <si>
    <t>Big Fire</t>
  </si>
  <si>
    <t>2016-07-11T14:30:00Z</t>
  </si>
  <si>
    <t>2016-10-17T11:45:00Z</t>
  </si>
  <si>
    <t>Emerald Fire</t>
  </si>
  <si>
    <t>2016-10-14T01:28:00Z</t>
  </si>
  <si>
    <t>2016-07-15T08:00:00Z</t>
  </si>
  <si>
    <t>Briggs Fire</t>
  </si>
  <si>
    <t>2016-07-12T15:20:00Z</t>
  </si>
  <si>
    <t>2016-05-19T18:00:00Z</t>
  </si>
  <si>
    <t>Athens Fire</t>
  </si>
  <si>
    <t>2016-05-17T15:06:00Z</t>
  </si>
  <si>
    <t>2016-09-06T18:15:00Z</t>
  </si>
  <si>
    <t>Sunny Fire</t>
  </si>
  <si>
    <t>2016-09-03T14:44:00Z</t>
  </si>
  <si>
    <t>2016-05-25T18:45:00Z</t>
  </si>
  <si>
    <t>Wheatland Fire</t>
  </si>
  <si>
    <t>2016-05-23T14:15:00Z</t>
  </si>
  <si>
    <t>2016-04-29T17:15:00Z</t>
  </si>
  <si>
    <t>Hills Fire</t>
  </si>
  <si>
    <t>2016-04-28T17:45:00Z</t>
  </si>
  <si>
    <t>2016-09-17T18:00:00Z</t>
  </si>
  <si>
    <t>Old Fire</t>
  </si>
  <si>
    <t>2016-09-13T13:55:00Z</t>
  </si>
  <si>
    <t>2016-09-05T06:55:00Z</t>
  </si>
  <si>
    <t>Holy Fire</t>
  </si>
  <si>
    <t>2016-08-31T04:10:00Z</t>
  </si>
  <si>
    <t>2016-05-10T18:45:00Z</t>
  </si>
  <si>
    <t>Shedd Fire</t>
  </si>
  <si>
    <t>2016-05-10T16:11:00Z</t>
  </si>
  <si>
    <t>2016-08-20T18:45:00Z</t>
  </si>
  <si>
    <t>Bird Fire</t>
  </si>
  <si>
    <t>2016-08-20T08:35:00Z</t>
  </si>
  <si>
    <t>2016-07-07T19:00:00Z</t>
  </si>
  <si>
    <t>Frame Fire</t>
  </si>
  <si>
    <t>2016-07-04T17:15:00Z</t>
  </si>
  <si>
    <t>2016-08-04T20:00:00Z</t>
  </si>
  <si>
    <t>Maze Fire</t>
  </si>
  <si>
    <t>2016-08-04T15:45:00Z</t>
  </si>
  <si>
    <t>2016-06-07T18:15:00Z</t>
  </si>
  <si>
    <t>Temecula Fire</t>
  </si>
  <si>
    <t>2016-06-04T11:40:00Z</t>
  </si>
  <si>
    <t>2016-07-16T07:40:00Z</t>
  </si>
  <si>
    <t>Famoso Fire</t>
  </si>
  <si>
    <t>2016-07-15T23:55:00Z</t>
  </si>
  <si>
    <t>2016-05-17T19:10:00Z</t>
  </si>
  <si>
    <t>Avocado Fire</t>
  </si>
  <si>
    <t>2016-05-15T16:38:00Z</t>
  </si>
  <si>
    <t>2016-09-23T10:30:00Z</t>
  </si>
  <si>
    <t>Bangor Fire</t>
  </si>
  <si>
    <t>2016-09-22T11:45:00Z</t>
  </si>
  <si>
    <t>2016-07-16T18:00:00Z</t>
  </si>
  <si>
    <t>Green Fire</t>
  </si>
  <si>
    <t>2016-07-15T16:45:00Z</t>
  </si>
  <si>
    <t>2016-08-07T19:33:00Z</t>
  </si>
  <si>
    <t>Rock Creek Fire</t>
  </si>
  <si>
    <t>2016-08-05T15:45:00Z</t>
  </si>
  <si>
    <t>2016-06-09T17:10:00Z</t>
  </si>
  <si>
    <t>Coe Fire</t>
  </si>
  <si>
    <t>2016-06-07T16:30:00Z</t>
  </si>
  <si>
    <t>2016-07-31T18:30:00Z</t>
  </si>
  <si>
    <t>2016-07-30T17:25:00Z</t>
  </si>
  <si>
    <t>2016-06-20T19:50:00Z</t>
  </si>
  <si>
    <t>Coal Fire</t>
  </si>
  <si>
    <t>2016-06-20T16:38:00Z</t>
  </si>
  <si>
    <t>2016-07-06T20:00:00Z</t>
  </si>
  <si>
    <t>Broken Fire</t>
  </si>
  <si>
    <t>2016-07-04T11:53:00Z</t>
  </si>
  <si>
    <t>2016-09-25T13:15:00Z</t>
  </si>
  <si>
    <t>Cow Fire</t>
  </si>
  <si>
    <t>2016-09-25T07:15:00Z</t>
  </si>
  <si>
    <t>2016-08-18T19:50:00Z</t>
  </si>
  <si>
    <t>Bailey Fire</t>
  </si>
  <si>
    <t>2016-08-17T15:19:00Z</t>
  </si>
  <si>
    <t>2016-08-07T20:15:00Z</t>
  </si>
  <si>
    <t>Hart Fire</t>
  </si>
  <si>
    <t>2016-08-04T17:10:00Z</t>
  </si>
  <si>
    <t>2016-08-04T07:45:00Z</t>
  </si>
  <si>
    <t>2016-08-03T16:08:00Z</t>
  </si>
  <si>
    <t>2016-07-23T08:45:00Z</t>
  </si>
  <si>
    <t>Bradley Fire</t>
  </si>
  <si>
    <t>2016-07-22T15:15:00Z</t>
  </si>
  <si>
    <t>2016-07-20T13:45:00Z</t>
  </si>
  <si>
    <t>Feather Fire</t>
  </si>
  <si>
    <t>2016-07-18T13:08:00Z</t>
  </si>
  <si>
    <t>2016-07-10T19:30:00Z</t>
  </si>
  <si>
    <t>Mercury Fire</t>
  </si>
  <si>
    <t>2016-07-09T12:43:00Z</t>
  </si>
  <si>
    <t>2016-05-27T17:00:00Z</t>
  </si>
  <si>
    <t>Dunstone Fire</t>
  </si>
  <si>
    <t>2016-05-27T13:43:00Z</t>
  </si>
  <si>
    <t>2016-08-30T18:40:00Z</t>
  </si>
  <si>
    <t>Santos Fire</t>
  </si>
  <si>
    <t>2016-08-26T15:30:00Z</t>
  </si>
  <si>
    <t>2016-07-01T17:45:00Z</t>
  </si>
  <si>
    <t>Flores Fire</t>
  </si>
  <si>
    <t>2016-07-01T13:54:00Z</t>
  </si>
  <si>
    <t>2016-06-21T15:45:00Z</t>
  </si>
  <si>
    <t>Moore Fire</t>
  </si>
  <si>
    <t>2016-06-21T12:24:00Z</t>
  </si>
  <si>
    <t>2016-07-11T06:35:00Z</t>
  </si>
  <si>
    <t>Scott Fire</t>
  </si>
  <si>
    <t>2016-07-10T15:30:00Z</t>
  </si>
  <si>
    <t>2016-06-29T17:00:00Z</t>
  </si>
  <si>
    <t>Frazier Fire</t>
  </si>
  <si>
    <t>2016-06-27T12:07:00Z</t>
  </si>
  <si>
    <t>2016-08-06T19:50:00Z</t>
  </si>
  <si>
    <t>Grub Fire</t>
  </si>
  <si>
    <t>2016-08-04T14:13:00Z</t>
  </si>
  <si>
    <t>2016-06-01T19:45:00Z</t>
  </si>
  <si>
    <t>2016-05-30T15:10:00Z</t>
  </si>
  <si>
    <t>2016-07-15T15:40:00Z</t>
  </si>
  <si>
    <t>Dunnigan Fire</t>
  </si>
  <si>
    <t>2016-07-15T14:00:00Z</t>
  </si>
  <si>
    <t>2016-06-16T10:00:00Z</t>
  </si>
  <si>
    <t>Cheyenne Fire</t>
  </si>
  <si>
    <t>2016-06-15T12:46:00Z</t>
  </si>
  <si>
    <t>2016-06-12T15:45:00Z</t>
  </si>
  <si>
    <t>2016-06-12T12:45:00Z</t>
  </si>
  <si>
    <t>2016-08-04T07:50:00Z</t>
  </si>
  <si>
    <t>2016-08-03T17:27:00Z</t>
  </si>
  <si>
    <t>2016-07-25T19:20:00Z</t>
  </si>
  <si>
    <t>Serpa Fire</t>
  </si>
  <si>
    <t>2016-07-21T12:53:00Z</t>
  </si>
  <si>
    <t>2016-06-11T16:15:00Z</t>
  </si>
  <si>
    <t>Hoag Fire</t>
  </si>
  <si>
    <t>2016-06-11T14:30:00Z</t>
  </si>
  <si>
    <t>Sherwood Fire</t>
  </si>
  <si>
    <t>2016-07-13T15:52:00Z</t>
  </si>
  <si>
    <t>2016-09-12T19:00:00Z</t>
  </si>
  <si>
    <t>2016-09-10T15:45:00Z</t>
  </si>
  <si>
    <t>2016-09-24T20:00:00Z</t>
  </si>
  <si>
    <t>Newmark Fire</t>
  </si>
  <si>
    <t>2016-09-23T12:40:00Z</t>
  </si>
  <si>
    <t>2016-06-20T18:15:00Z</t>
  </si>
  <si>
    <t>Arroyo Fire</t>
  </si>
  <si>
    <t>2016-06-18T16:47:00Z</t>
  </si>
  <si>
    <t>2016-06-07T06:45:00Z</t>
  </si>
  <si>
    <t>Pala Fire</t>
  </si>
  <si>
    <t>2016-05-31T13:48:00Z</t>
  </si>
  <si>
    <t>2016-07-22T18:15:00Z</t>
  </si>
  <si>
    <t>2016-07-19T17:16:00Z</t>
  </si>
  <si>
    <t>2016-10-12T18:00:00Z</t>
  </si>
  <si>
    <t>2016-10-10T16:13:00Z</t>
  </si>
  <si>
    <t>2016-06-12T12:30:00Z</t>
  </si>
  <si>
    <t>Cotton Fire</t>
  </si>
  <si>
    <t>2016-06-11T15:04:00Z</t>
  </si>
  <si>
    <t>2016-07-22T16:07:00Z</t>
  </si>
  <si>
    <t>2016-07-22T13:01:00Z</t>
  </si>
  <si>
    <t>2016-07-22T19:00:00Z</t>
  </si>
  <si>
    <t>2016-07-21T15:06:00Z</t>
  </si>
  <si>
    <t>2016-05-21T19:00:00Z</t>
  </si>
  <si>
    <t>Mill Fire</t>
  </si>
  <si>
    <t>2016-05-19T15:37:00Z</t>
  </si>
  <si>
    <t>2016-06-24T18:20:00Z</t>
  </si>
  <si>
    <t>Lowe Fire</t>
  </si>
  <si>
    <t>2016-06-23T17:57:00Z</t>
  </si>
  <si>
    <t>2016-09-15T09:10:00Z</t>
  </si>
  <si>
    <t>Ruff Fire</t>
  </si>
  <si>
    <t>2016-09-10T14:06:00Z</t>
  </si>
  <si>
    <t>2016-09-09T06:00:00Z</t>
  </si>
  <si>
    <t>Spring Fire</t>
  </si>
  <si>
    <t>2016-09-07T16:53:00Z</t>
  </si>
  <si>
    <t>2016-07-23T18:00:00Z</t>
  </si>
  <si>
    <t>Storksbill Fire</t>
  </si>
  <si>
    <t>2016-07-22T13:15:00Z</t>
  </si>
  <si>
    <t>2016-04-30T07:00:00Z</t>
  </si>
  <si>
    <t>Casitas Fire</t>
  </si>
  <si>
    <t>2016-04-28T19:00:00Z</t>
  </si>
  <si>
    <t>2016-06-21T16:30:00Z</t>
  </si>
  <si>
    <t>70 Fire</t>
  </si>
  <si>
    <t>2016-06-21T15:09:00Z</t>
  </si>
  <si>
    <t>Auburn Fire</t>
  </si>
  <si>
    <t>2016-09-17T13:40:00Z</t>
  </si>
  <si>
    <t>2016-06-29T18:30:00Z</t>
  </si>
  <si>
    <t>Laguna Fire</t>
  </si>
  <si>
    <t>2016-06-26T13:10:00Z</t>
  </si>
  <si>
    <t>2016-09-25T17:45:00Z</t>
  </si>
  <si>
    <t>Bell Fire</t>
  </si>
  <si>
    <t>2016-09-23T13:12:00Z</t>
  </si>
  <si>
    <t>2016-08-10T17:00:00Z</t>
  </si>
  <si>
    <t>Kugelman Fire</t>
  </si>
  <si>
    <t>2016-08-09T17:30:00Z</t>
  </si>
  <si>
    <t>2016-07-01T19:50:00Z</t>
  </si>
  <si>
    <t>Kuehner Fire</t>
  </si>
  <si>
    <t>2016-07-01T14:00:00Z</t>
  </si>
  <si>
    <t>2016-06-21T13:00:00Z</t>
  </si>
  <si>
    <t>2016-06-21T10:26:00Z</t>
  </si>
  <si>
    <t>2016-06-04T17:00:00Z</t>
  </si>
  <si>
    <t>2016-05-30T17:57:00Z</t>
  </si>
  <si>
    <t>2016-08-01T19:40:00Z</t>
  </si>
  <si>
    <t>Dockery Fire</t>
  </si>
  <si>
    <t>2016-07-30T16:25:00Z</t>
  </si>
  <si>
    <t>Boys Fire</t>
  </si>
  <si>
    <t>2016-09-11T11:25:00Z</t>
  </si>
  <si>
    <t>2016-08-29T15:00:00Z</t>
  </si>
  <si>
    <t>Evergreen Fire</t>
  </si>
  <si>
    <t>2016-08-28T15:23:00Z</t>
  </si>
  <si>
    <t>2016-07-24T19:00:00Z</t>
  </si>
  <si>
    <t>Franklin Fire</t>
  </si>
  <si>
    <t>2016-07-24T16:30:00Z</t>
  </si>
  <si>
    <t>Phoenix Fire</t>
  </si>
  <si>
    <t>2016-09-07T15:09:00Z</t>
  </si>
  <si>
    <t>2016-07-31T18:55:00Z</t>
  </si>
  <si>
    <t>2016-07-29T17:55:00Z</t>
  </si>
  <si>
    <t>2016-08-31T07:15:00Z</t>
  </si>
  <si>
    <t>Mina Fire</t>
  </si>
  <si>
    <t>2016-08-30T13:35:00Z</t>
  </si>
  <si>
    <t>Knoxville Fire</t>
  </si>
  <si>
    <t>2016-08-09T18:50:00Z</t>
  </si>
  <si>
    <t>2016-08-11T18:30:00Z</t>
  </si>
  <si>
    <t>Gopher Fire</t>
  </si>
  <si>
    <t>2016-08-10T09:14:00Z</t>
  </si>
  <si>
    <t>2016-08-09T12:14:00Z</t>
  </si>
  <si>
    <t>2016-07-29T15:10:00Z</t>
  </si>
  <si>
    <t>2016-07-28T14:27:00Z</t>
  </si>
  <si>
    <t>2016-07-13T19:00:00Z</t>
  </si>
  <si>
    <t>Stagecoach Fire</t>
  </si>
  <si>
    <t>2016-07-12T15:19:00Z</t>
  </si>
  <si>
    <t>2016-06-30T07:00:00Z</t>
  </si>
  <si>
    <t>Campo Fire</t>
  </si>
  <si>
    <t>2016-06-27T18:00:00Z</t>
  </si>
  <si>
    <t>2016-09-13T18:30:00Z</t>
  </si>
  <si>
    <t>Moffett Fire</t>
  </si>
  <si>
    <t>2016-09-12T16:28:00Z</t>
  </si>
  <si>
    <t>2016-08-01T08:05:00Z</t>
  </si>
  <si>
    <t>Frymire Fire</t>
  </si>
  <si>
    <t>2016-06-03T19:55:00Z</t>
  </si>
  <si>
    <t>Clay Fire</t>
  </si>
  <si>
    <t>2016-06-03T16:57:00Z</t>
  </si>
  <si>
    <t>2016-09-19T18:30:00Z</t>
  </si>
  <si>
    <t>2016-09-16T23:28:00Z</t>
  </si>
  <si>
    <t>2016-07-02T20:00:00Z</t>
  </si>
  <si>
    <t>Lone Pine Fire</t>
  </si>
  <si>
    <t>2016-07-01T12:56:00Z</t>
  </si>
  <si>
    <t>2016-06-03T17:30:00Z</t>
  </si>
  <si>
    <t>Hidden Fire</t>
  </si>
  <si>
    <t>2016-06-03T17:39:00Z</t>
  </si>
  <si>
    <t>2016-05-29T19:53:00Z</t>
  </si>
  <si>
    <t>2016-05-29T16:51:00Z</t>
  </si>
  <si>
    <t>2016-04-24T15:30:00Z</t>
  </si>
  <si>
    <t>Taglio Fire</t>
  </si>
  <si>
    <t>2016-04-24T11:10:00Z</t>
  </si>
  <si>
    <t>2016-11-14T18:00:00Z</t>
  </si>
  <si>
    <t>2016-11-13T11:14:00Z</t>
  </si>
  <si>
    <t>2016-07-24T14:30:00Z</t>
  </si>
  <si>
    <t>Rock Fire</t>
  </si>
  <si>
    <t>2016-07-22T14:47:00Z</t>
  </si>
  <si>
    <t>2016-08-06T10:06:00Z</t>
  </si>
  <si>
    <t>2016-08-05T13:49:00Z</t>
  </si>
  <si>
    <t>2016-07-20T09:00:00Z</t>
  </si>
  <si>
    <t>2016-07-19T14:09:00Z</t>
  </si>
  <si>
    <t>2016-09-02T06:55:00Z</t>
  </si>
  <si>
    <t>2016-09-01T14:36:00Z</t>
  </si>
  <si>
    <t>2016-08-14T19:50:00Z</t>
  </si>
  <si>
    <t>2016-08-12T16:00:00Z</t>
  </si>
  <si>
    <t>2016-08-07T19:18:00Z</t>
  </si>
  <si>
    <t>Alder Fire</t>
  </si>
  <si>
    <t>2016-08-06T15:00:00Z</t>
  </si>
  <si>
    <t>2016-07-31T18:50:00Z</t>
  </si>
  <si>
    <t>North Branch Extension Fire</t>
  </si>
  <si>
    <t>2016-07-29T14:55:00Z</t>
  </si>
  <si>
    <t>2016-06-04T15:30:00Z</t>
  </si>
  <si>
    <t>Aukum Fire</t>
  </si>
  <si>
    <t>2016-06-03T12:41:00Z</t>
  </si>
  <si>
    <t>2016-05-12T20:45:00Z</t>
  </si>
  <si>
    <t>Bryson Fire</t>
  </si>
  <si>
    <t>2016-05-12T14:13:00Z</t>
  </si>
  <si>
    <t>2016-06-12T15:00:00Z</t>
  </si>
  <si>
    <t>2016-06-11T16:02:00Z</t>
  </si>
  <si>
    <t>2016-08-16T08:45:00Z</t>
  </si>
  <si>
    <t>Stafford Fire</t>
  </si>
  <si>
    <t>2016-08-11T14:57:00Z</t>
  </si>
  <si>
    <t>2016-07-22T12:00:00Z</t>
  </si>
  <si>
    <t>Table Fire</t>
  </si>
  <si>
    <t>2016-07-21T20:30:00Z</t>
  </si>
  <si>
    <t>2016-08-19T08:30:00Z</t>
  </si>
  <si>
    <t>2016-08-12T17:23:00Z</t>
  </si>
  <si>
    <t>2016-09-04T18:55:00Z</t>
  </si>
  <si>
    <t>Ken Fire</t>
  </si>
  <si>
    <t>2016-09-03T21:51:00Z</t>
  </si>
  <si>
    <t>2016-08-31T07:05:00Z</t>
  </si>
  <si>
    <t>Mockingbird Fire</t>
  </si>
  <si>
    <t>2016-08-30T16:54:00Z</t>
  </si>
  <si>
    <t>2016-05-13T22:30:00Z</t>
  </si>
  <si>
    <t>Edison Fire</t>
  </si>
  <si>
    <t>2016-08-30T16:52:00Z</t>
  </si>
  <si>
    <t>2016-07-12T10:30:00Z</t>
  </si>
  <si>
    <t>Shelter Fire</t>
  </si>
  <si>
    <t>2016-07-11T12:58:00Z</t>
  </si>
  <si>
    <t>2016-07-26T19:25:00Z</t>
  </si>
  <si>
    <t>2016-07-25T16:55:00Z</t>
  </si>
  <si>
    <t>2016-05-25T20:00:00Z</t>
  </si>
  <si>
    <t>2016-05-25T16:51:00Z</t>
  </si>
  <si>
    <t>Jacobson Fire</t>
  </si>
  <si>
    <t>2016-10-20T17:00:00Z</t>
  </si>
  <si>
    <t>2016-08-30T12:05:00Z</t>
  </si>
  <si>
    <t>Mokelumne Fire</t>
  </si>
  <si>
    <t>2016-08-18T12:05:00Z</t>
  </si>
  <si>
    <t>2016-08-09T17:15:00Z</t>
  </si>
  <si>
    <t>2016-07-22T14:11:00Z</t>
  </si>
  <si>
    <t>2016-06-19T08:30:00Z</t>
  </si>
  <si>
    <t>2016-06-04T17:46:00Z</t>
  </si>
  <si>
    <t>2016-06-13T12:30:00Z</t>
  </si>
  <si>
    <t>2016-06-04T16:09:00Z</t>
  </si>
  <si>
    <t>2016-06-19T18:00:00Z</t>
  </si>
  <si>
    <t>2016-06-01T15:35:00Z</t>
  </si>
  <si>
    <t>2016-04-19T15:30:00Z</t>
  </si>
  <si>
    <t>Gorman Fire</t>
  </si>
  <si>
    <t>2016-04-19T13:09:00Z</t>
  </si>
  <si>
    <t>2019-03-14T11:24:00Z</t>
  </si>
  <si>
    <t>Thomas Fire</t>
  </si>
  <si>
    <t>2017-12-04T18:28:00Z</t>
  </si>
  <si>
    <t>2018-01-09T11:52:00Z</t>
  </si>
  <si>
    <t>Long Valley Fire</t>
  </si>
  <si>
    <t>2017-07-11T14:15:00Z</t>
  </si>
  <si>
    <t>2018-01-09T12:05:00Z</t>
  </si>
  <si>
    <t>Modoc July Complex</t>
  </si>
  <si>
    <t>2017-07-24T12:00:00Z</t>
  </si>
  <si>
    <t>2018-01-09T11:57:00Z</t>
  </si>
  <si>
    <t>Detwiler Fire</t>
  </si>
  <si>
    <t>2017-07-16T15:56:00Z</t>
  </si>
  <si>
    <t>2018-01-09T12:43:00Z</t>
  </si>
  <si>
    <t>Eclipse Complex</t>
  </si>
  <si>
    <t>2017-08-15T07:55:00Z</t>
  </si>
  <si>
    <t>2018-02-09T09:30:00Z</t>
  </si>
  <si>
    <t>Nuns / Adobe / Norrbom/ Pressley / Partrick Fires / Oakmont (Central LNU Complex)</t>
  </si>
  <si>
    <t>2017-10-08T22:00:00Z</t>
  </si>
  <si>
    <t>2018-02-09T09:37:00Z</t>
  </si>
  <si>
    <t>Atlas Fire (Southern LNU Complex)</t>
  </si>
  <si>
    <t>2017-10-08T21:52:00Z</t>
  </si>
  <si>
    <t>Kings</t>
  </si>
  <si>
    <t>2018-01-09T11:51:00Z</t>
  </si>
  <si>
    <t>Garza Fire</t>
  </si>
  <si>
    <t>2017-07-09T15:10:00Z</t>
  </si>
  <si>
    <t>2018-01-09T12:42:00Z</t>
  </si>
  <si>
    <t>Miller Complex</t>
  </si>
  <si>
    <t>2017-08-14T14:00:00Z</t>
  </si>
  <si>
    <t>2018-02-09T09:27:00Z</t>
  </si>
  <si>
    <t>Tubbs Fire (Central LNU Complex)</t>
  </si>
  <si>
    <t>2017-10-08T21:45:00Z</t>
  </si>
  <si>
    <t>2018-01-09T12:47:00Z</t>
  </si>
  <si>
    <t>Pier Fire</t>
  </si>
  <si>
    <t>2017-08-29T08:29:00Z</t>
  </si>
  <si>
    <t>2018-02-09T08:56:00Z</t>
  </si>
  <si>
    <t>Redwood Valley Fire (Mendocino Lake Complex)</t>
  </si>
  <si>
    <t>2017-10-08T23:36:00Z</t>
  </si>
  <si>
    <t>2018-01-09T11:46:00Z</t>
  </si>
  <si>
    <t>Alamo Fire</t>
  </si>
  <si>
    <t>2017-07-06T15:44:00Z</t>
  </si>
  <si>
    <t>2018-01-09T12:07:00Z</t>
  </si>
  <si>
    <t>2017-07-26T18:00:00Z</t>
  </si>
  <si>
    <t>2018-01-09T12:49:00Z</t>
  </si>
  <si>
    <t>Helena - Fork Fire</t>
  </si>
  <si>
    <t>2017-08-30T18:00:00Z</t>
  </si>
  <si>
    <t>2018-01-09T13:27:00Z</t>
  </si>
  <si>
    <t>Lion Fire</t>
  </si>
  <si>
    <t>2017-09-27T14:00:00Z</t>
  </si>
  <si>
    <t>2018-01-09T12:48:00Z</t>
  </si>
  <si>
    <t>R-4 Fire</t>
  </si>
  <si>
    <t>2017-08-30T08:30:00Z</t>
  </si>
  <si>
    <t>2018-01-09T11:49:00Z</t>
  </si>
  <si>
    <t>Whittier Fire</t>
  </si>
  <si>
    <t>2017-07-08T13:43:00Z</t>
  </si>
  <si>
    <t>2018-02-09T09:32:00Z</t>
  </si>
  <si>
    <t>Pocket Fire (Central LNU Complex)</t>
  </si>
  <si>
    <t>2017-10-09T03:30:00Z</t>
  </si>
  <si>
    <t>2018-01-09T11:01:00Z</t>
  </si>
  <si>
    <t>Schaeffer Fire</t>
  </si>
  <si>
    <t>2017-06-24T16:16:00Z</t>
  </si>
  <si>
    <t>2018-08-06T10:52:00Z</t>
  </si>
  <si>
    <t>2017-12-05T03:44:00Z</t>
  </si>
  <si>
    <t>2018-01-09T13:21:00Z</t>
  </si>
  <si>
    <t>2017-09-12T17:42:00Z</t>
  </si>
  <si>
    <t>2018-01-09T12:46:00Z</t>
  </si>
  <si>
    <t>Railroad Fire</t>
  </si>
  <si>
    <t>2017-08-29T12:19:00Z</t>
  </si>
  <si>
    <t>2018-01-09T10:04:00Z</t>
  </si>
  <si>
    <t>Elm Fire</t>
  </si>
  <si>
    <t>2017-05-18T13:11:00Z</t>
  </si>
  <si>
    <t>2018-02-09T09:39:00Z</t>
  </si>
  <si>
    <t>Cascade Fire (Wind Complex)</t>
  </si>
  <si>
    <t>2017-10-08T23:03:00Z</t>
  </si>
  <si>
    <t>2018-04-05T10:47:00Z</t>
  </si>
  <si>
    <t>Canyon 2 Fire</t>
  </si>
  <si>
    <t>2017-10-09T09:51:00Z</t>
  </si>
  <si>
    <t>Slinkard Fire</t>
  </si>
  <si>
    <t>2017-08-29T15:15:00Z</t>
  </si>
  <si>
    <t>2018-02-09T09:48:00Z</t>
  </si>
  <si>
    <t>Cherokee Fire</t>
  </si>
  <si>
    <t>2018-01-09T12:16:00Z</t>
  </si>
  <si>
    <t>2017-08-01T08:45:00Z</t>
  </si>
  <si>
    <t>2018-01-09T12:18:00Z</t>
  </si>
  <si>
    <t>Parker 2 Fire</t>
  </si>
  <si>
    <t>2017-08-03T14:00:00Z</t>
  </si>
  <si>
    <t>La Tuna Fire</t>
  </si>
  <si>
    <t>2017-09-01T13:26:00Z</t>
  </si>
  <si>
    <t>2018-01-09T12:39:00Z</t>
  </si>
  <si>
    <t>South Fork Fire</t>
  </si>
  <si>
    <t>2017-08-14T14:28:00Z</t>
  </si>
  <si>
    <t>2018-01-09T11:08:00Z</t>
  </si>
  <si>
    <t>Manzanita Fire</t>
  </si>
  <si>
    <t>2017-06-26T15:10:00Z</t>
  </si>
  <si>
    <t>2018-02-09T09:50:00Z</t>
  </si>
  <si>
    <t>LaPorte Fire (Wind Complex)</t>
  </si>
  <si>
    <t>2017-10-09T00:57:00Z</t>
  </si>
  <si>
    <t>2018-01-18T09:58:00Z</t>
  </si>
  <si>
    <t>Rye Fire</t>
  </si>
  <si>
    <t>2017-12-05T11:31:00Z</t>
  </si>
  <si>
    <t>Mud Fire</t>
  </si>
  <si>
    <t>2017-08-29T14:36:00Z</t>
  </si>
  <si>
    <t>2018-01-09T11:47:00Z</t>
  </si>
  <si>
    <t>Wall Fire</t>
  </si>
  <si>
    <t>2017-07-07T14:52:00Z</t>
  </si>
  <si>
    <t>2018-01-09T09:51:00Z</t>
  </si>
  <si>
    <t>Jayne Fire</t>
  </si>
  <si>
    <t>2017-04-20T15:40:00Z</t>
  </si>
  <si>
    <t>2018-01-09T12:15:00Z</t>
  </si>
  <si>
    <t>Summit Complex</t>
  </si>
  <si>
    <t>2017-07-31T13:44:00Z</t>
  </si>
  <si>
    <t>2018-01-09T12:27:00Z</t>
  </si>
  <si>
    <t>Ruth Complex</t>
  </si>
  <si>
    <t>2017-08-07T22:30:00Z</t>
  </si>
  <si>
    <t>2018-01-09T12:08:00Z</t>
  </si>
  <si>
    <t>Minerva Fire</t>
  </si>
  <si>
    <t>2017-07-29T18:55:00Z</t>
  </si>
  <si>
    <t>2018-01-09T13:47:00Z</t>
  </si>
  <si>
    <t>Lilac Fire</t>
  </si>
  <si>
    <t>2017-12-07T11:15:00Z</t>
  </si>
  <si>
    <t>2018-08-30T15:27:00Z</t>
  </si>
  <si>
    <t>Ponderosa Fire</t>
  </si>
  <si>
    <t>2017-08-29T13:16:00Z</t>
  </si>
  <si>
    <t>2018-01-09T12:50:00Z</t>
  </si>
  <si>
    <t>Palmer Fire</t>
  </si>
  <si>
    <t>2017-09-02T13:33:00Z</t>
  </si>
  <si>
    <t>2018-01-09T12:26:00Z</t>
  </si>
  <si>
    <t>Young Fire</t>
  </si>
  <si>
    <t>2017-08-07T17:45:00Z</t>
  </si>
  <si>
    <t>Hawk Fire</t>
  </si>
  <si>
    <t>2017-07-07T09:18:00Z</t>
  </si>
  <si>
    <t>2018-03-28T11:36:00Z</t>
  </si>
  <si>
    <t>2017-09-25T13:03:00Z</t>
  </si>
  <si>
    <t>2018-01-09T13:18:00Z</t>
  </si>
  <si>
    <t>Eureka Fire</t>
  </si>
  <si>
    <t>2017-09-05T18:38:00Z</t>
  </si>
  <si>
    <t>2018-01-09T12:44:00Z</t>
  </si>
  <si>
    <t>I-5 Fire</t>
  </si>
  <si>
    <t>2017-08-24T18:13:00Z</t>
  </si>
  <si>
    <t>2018-01-09T12:17:00Z</t>
  </si>
  <si>
    <t>2017-08-02T18:00:00Z</t>
  </si>
  <si>
    <t>2017-07-30T17:43:00Z</t>
  </si>
  <si>
    <t>2018-01-09T11:45:00Z</t>
  </si>
  <si>
    <t>Winters Fire</t>
  </si>
  <si>
    <t>2017-07-06T12:41:00Z</t>
  </si>
  <si>
    <t>2018-02-09T09:29:00Z</t>
  </si>
  <si>
    <t>Sulphur Fire (Mendocino Lake Complex)</t>
  </si>
  <si>
    <t>2017-10-08T23:59:00Z</t>
  </si>
  <si>
    <t>2018-01-09T10:06:00Z</t>
  </si>
  <si>
    <t>Gate Fire</t>
  </si>
  <si>
    <t>2017-05-20T23:19:00Z</t>
  </si>
  <si>
    <t>2018-01-09T13:33:00Z</t>
  </si>
  <si>
    <t>Adobe Fire (Central LNU Complex)</t>
  </si>
  <si>
    <t>2017-10-09T01:00:00Z</t>
  </si>
  <si>
    <t>2018-01-09T11:50:00Z</t>
  </si>
  <si>
    <t>Parkfield Fire</t>
  </si>
  <si>
    <t>2017-07-08T18:30:00Z</t>
  </si>
  <si>
    <t>2018-01-09T09:56:00Z</t>
  </si>
  <si>
    <t>Wright Fire</t>
  </si>
  <si>
    <t>2017-05-12T15:30:00Z</t>
  </si>
  <si>
    <t>2017-09-03T16:23:00Z</t>
  </si>
  <si>
    <t>2018-01-09T13:34:00Z</t>
  </si>
  <si>
    <t>37 Fire</t>
  </si>
  <si>
    <t>2017-10-09T14:00:00Z</t>
  </si>
  <si>
    <t>2018-01-09T11:58:00Z</t>
  </si>
  <si>
    <t>2017-07-17T13:15:00Z</t>
  </si>
  <si>
    <t>Quail Fire</t>
  </si>
  <si>
    <t>2017-07-06T12:29:00Z</t>
  </si>
  <si>
    <t>Hill Fire</t>
  </si>
  <si>
    <t>2017-06-26T15:27:00Z</t>
  </si>
  <si>
    <t>2018-01-09T11:41:00Z</t>
  </si>
  <si>
    <t>Derrick Fire</t>
  </si>
  <si>
    <t>2017-07-02T22:28:00Z</t>
  </si>
  <si>
    <t>2018-01-09T10:41:00Z</t>
  </si>
  <si>
    <t>2017-06-18T14:22:00Z</t>
  </si>
  <si>
    <t>2018-01-09T11:00:00Z</t>
  </si>
  <si>
    <t>Holcomb Fire</t>
  </si>
  <si>
    <t>2017-06-19T15:05:00Z</t>
  </si>
  <si>
    <t>2018-01-09T10:30:00Z</t>
  </si>
  <si>
    <t>Oakwood Fire</t>
  </si>
  <si>
    <t>2017-06-10T13:19:00Z</t>
  </si>
  <si>
    <t>2018-01-09T12:14:00Z</t>
  </si>
  <si>
    <t>Garden Fire</t>
  </si>
  <si>
    <t>2017-07-30T16:17:00Z</t>
  </si>
  <si>
    <t>2018-01-09T09:53:00Z</t>
  </si>
  <si>
    <t>Opera Fire</t>
  </si>
  <si>
    <t>2017-04-30T15:23:00Z</t>
  </si>
  <si>
    <t>Caldwell Fire</t>
  </si>
  <si>
    <t>2017-09-01T14:37:00Z</t>
  </si>
  <si>
    <t>2018-01-09T12:06:00Z</t>
  </si>
  <si>
    <t>Latrobe Fire</t>
  </si>
  <si>
    <t>2017-07-26T14:45:00Z</t>
  </si>
  <si>
    <t>2018-01-09T11:16:00Z</t>
  </si>
  <si>
    <t>Tarina Fire</t>
  </si>
  <si>
    <t>2017-06-30T13:49:00Z</t>
  </si>
  <si>
    <t>2018-01-09T13:41:00Z</t>
  </si>
  <si>
    <t>Buffalo Fire</t>
  </si>
  <si>
    <t>2017-10-17T10:19:00Z</t>
  </si>
  <si>
    <t>2018-01-09T11:59:00Z</t>
  </si>
  <si>
    <t>Hudson Fire</t>
  </si>
  <si>
    <t>2017-07-18T11:45:00Z</t>
  </si>
  <si>
    <t>2018-01-09T12:38:00Z</t>
  </si>
  <si>
    <t>Blaine Fire</t>
  </si>
  <si>
    <t>2017-08-13T16:10:00Z</t>
  </si>
  <si>
    <t>Mission Fire</t>
  </si>
  <si>
    <t>2017-09-03T13:06:00Z</t>
  </si>
  <si>
    <t>2018-01-09T12:20:00Z</t>
  </si>
  <si>
    <t>Chilcoot Fire</t>
  </si>
  <si>
    <t>2017-08-06T15:32:00Z</t>
  </si>
  <si>
    <t>2018-01-09T10:17:00Z</t>
  </si>
  <si>
    <t>2017-05-25T18:15:00Z</t>
  </si>
  <si>
    <t>Berry Fire</t>
  </si>
  <si>
    <t>2017-09-12T06:58:00Z</t>
  </si>
  <si>
    <t>2018-01-09T09:52:00Z</t>
  </si>
  <si>
    <t>El Dorado Fire</t>
  </si>
  <si>
    <t>2017-04-28T15:40:00Z</t>
  </si>
  <si>
    <t>2018-01-09T11:56:00Z</t>
  </si>
  <si>
    <t>2017-07-16T14:51:00Z</t>
  </si>
  <si>
    <t>2017-08-20T14:44:00Z</t>
  </si>
  <si>
    <t>2018-01-09T13:45:00Z</t>
  </si>
  <si>
    <t>Wildomar Fire</t>
  </si>
  <si>
    <t>2017-10-26T12:34:00Z</t>
  </si>
  <si>
    <t>2018-01-09T12:21:00Z</t>
  </si>
  <si>
    <t>Poslin Fire</t>
  </si>
  <si>
    <t>2017-08-06T19:52:00Z</t>
  </si>
  <si>
    <t>2018-02-09T09:51:00Z</t>
  </si>
  <si>
    <t>Lobo Fire (Wind Complex)</t>
  </si>
  <si>
    <t>2017-10-09T00:01:00Z</t>
  </si>
  <si>
    <t>2018-01-09T10:34:00Z</t>
  </si>
  <si>
    <t>2017-06-17T13:55:00Z</t>
  </si>
  <si>
    <t>2018-01-09T12:36:00Z</t>
  </si>
  <si>
    <t>Yankee Fire</t>
  </si>
  <si>
    <t>2017-08-11T16:06:00Z</t>
  </si>
  <si>
    <t>Placerita Fire</t>
  </si>
  <si>
    <t>2017-06-25T12:47:00Z</t>
  </si>
  <si>
    <t>Sierra</t>
  </si>
  <si>
    <t>Farad Fire</t>
  </si>
  <si>
    <t>2017-07-10T13:02:00Z</t>
  </si>
  <si>
    <t>2018-01-09T12:09:00Z</t>
  </si>
  <si>
    <t>Jacksonville Fire</t>
  </si>
  <si>
    <t>2017-07-29T13:50:00Z</t>
  </si>
  <si>
    <t>2018-01-09T12:51:00Z</t>
  </si>
  <si>
    <t>Peak Fire</t>
  </si>
  <si>
    <t>2017-09-03T13:10:00Z</t>
  </si>
  <si>
    <t>2018-01-09T11:09:00Z</t>
  </si>
  <si>
    <t>Mart Fire</t>
  </si>
  <si>
    <t>2017-06-27T15:22:00Z</t>
  </si>
  <si>
    <t>2018-01-09T11:10:00Z</t>
  </si>
  <si>
    <t>Ben Fire</t>
  </si>
  <si>
    <t>2017-06-28T15:49:00Z</t>
  </si>
  <si>
    <t>Battle Fire</t>
  </si>
  <si>
    <t>2017-06-28T13:50:00Z</t>
  </si>
  <si>
    <t>Mias Fire</t>
  </si>
  <si>
    <t>2017-08-14T15:45:00Z</t>
  </si>
  <si>
    <t>W-2 Fire</t>
  </si>
  <si>
    <t>2017-08-06T15:29:00Z</t>
  </si>
  <si>
    <t>2018-01-09T10:07:00Z</t>
  </si>
  <si>
    <t>Ming Fire</t>
  </si>
  <si>
    <t>2017-05-20T14:23:00Z</t>
  </si>
  <si>
    <t>Deluz Fire</t>
  </si>
  <si>
    <t>2017-05-19T14:45:00Z</t>
  </si>
  <si>
    <t>2018-01-09T11:44:00Z</t>
  </si>
  <si>
    <t>Fay Fire</t>
  </si>
  <si>
    <t>2017-07-05T11:05:00Z</t>
  </si>
  <si>
    <t>2017-08-02T10:15:00Z</t>
  </si>
  <si>
    <t>2018-04-12T14:52:00Z</t>
  </si>
  <si>
    <t>2017-07-14T14:23:00Z</t>
  </si>
  <si>
    <t>Monterey Fire</t>
  </si>
  <si>
    <t>2017-06-11T17:15:00Z</t>
  </si>
  <si>
    <t>2018-01-09T13:28:00Z</t>
  </si>
  <si>
    <t>Rucker Fire</t>
  </si>
  <si>
    <t>2017-09-29T14:42:00Z</t>
  </si>
  <si>
    <t>Eastman Fire</t>
  </si>
  <si>
    <t>2017-09-18T16:04:00Z</t>
  </si>
  <si>
    <t>2018-01-09T13:36:00Z</t>
  </si>
  <si>
    <t>2017-10-13T13:16:00Z</t>
  </si>
  <si>
    <t>2018-01-23T08:11:00Z</t>
  </si>
  <si>
    <t>Skirball Fire</t>
  </si>
  <si>
    <t>2017-12-06T06:31:00Z</t>
  </si>
  <si>
    <t>2018-01-09T12:02:00Z</t>
  </si>
  <si>
    <t>Elephant Fire</t>
  </si>
  <si>
    <t>2017-07-20T19:16:00Z</t>
  </si>
  <si>
    <t>2018-01-09T11:54:00Z</t>
  </si>
  <si>
    <t>Dode Fire</t>
  </si>
  <si>
    <t>2017-07-13T15:23:00Z</t>
  </si>
  <si>
    <t>Jennings Fire</t>
  </si>
  <si>
    <t>2017-07-11T13:45:00Z</t>
  </si>
  <si>
    <t>2018-01-09T09:55:00Z</t>
  </si>
  <si>
    <t>Sonoma Fire</t>
  </si>
  <si>
    <t>2017-05-10T15:27:00Z</t>
  </si>
  <si>
    <t>Pleasant Fire</t>
  </si>
  <si>
    <t>2017-08-30T15:38:00Z</t>
  </si>
  <si>
    <t>Santa Cruz</t>
  </si>
  <si>
    <t>Bear Fire</t>
  </si>
  <si>
    <t>2017-10-16T22:30:00Z</t>
  </si>
  <si>
    <t>2018-01-09T09:40:00Z</t>
  </si>
  <si>
    <t>2017-04-03T16:00:00Z</t>
  </si>
  <si>
    <t>2018-01-09T13:46:00Z</t>
  </si>
  <si>
    <t>Chris Fire</t>
  </si>
  <si>
    <t>2017-11-13T11:28:00Z</t>
  </si>
  <si>
    <t>2018-01-09T11:48:00Z</t>
  </si>
  <si>
    <t>2017-07-08T15:26:00Z</t>
  </si>
  <si>
    <t>2017-06-23T16:00:00Z</t>
  </si>
  <si>
    <t>Stone Fire</t>
  </si>
  <si>
    <t>2017-07-09T13:49:00Z</t>
  </si>
  <si>
    <t>2018-01-09T10:28:00Z</t>
  </si>
  <si>
    <t>Dinely Fire</t>
  </si>
  <si>
    <t>2017-06-07T11:55:00Z</t>
  </si>
  <si>
    <t>2018-01-09T12:31:00Z</t>
  </si>
  <si>
    <t>Rose Fire</t>
  </si>
  <si>
    <t>2017-08-10T14:32:00Z</t>
  </si>
  <si>
    <t>Bryant Fire</t>
  </si>
  <si>
    <t>2017-08-03T15:35:00Z</t>
  </si>
  <si>
    <t>2018-01-09T12:01:00Z</t>
  </si>
  <si>
    <t>Marble Fire</t>
  </si>
  <si>
    <t>2017-07-19T14:00:00Z</t>
  </si>
  <si>
    <t>Liberty Fire</t>
  </si>
  <si>
    <t>2017-12-07T13:14:00Z</t>
  </si>
  <si>
    <t>2018-01-09T09:58:00Z</t>
  </si>
  <si>
    <t>Bravo Fire</t>
  </si>
  <si>
    <t>2017-05-15T14:05:00Z</t>
  </si>
  <si>
    <t>Little Mountain Fire</t>
  </si>
  <si>
    <t>2017-12-05T13:35:00Z</t>
  </si>
  <si>
    <t>Lost Fire</t>
  </si>
  <si>
    <t>2017-07-22T15:00:00Z</t>
  </si>
  <si>
    <t>2018-01-09T13:23:00Z</t>
  </si>
  <si>
    <t>Huasna Fire</t>
  </si>
  <si>
    <t>2017-09-20T13:41:00Z</t>
  </si>
  <si>
    <t>2017-09-19T19:47:00Z</t>
  </si>
  <si>
    <t>Largo Fire</t>
  </si>
  <si>
    <t>2017-07-30T01:45:00Z</t>
  </si>
  <si>
    <t>Deer Complex</t>
  </si>
  <si>
    <t>2017-07-08T02:20:00Z</t>
  </si>
  <si>
    <t>2018-01-09T11:17:00Z</t>
  </si>
  <si>
    <t>2017-07-02T13:36:00Z</t>
  </si>
  <si>
    <t>2018-01-09T10:03:00Z</t>
  </si>
  <si>
    <t>Camp Fire</t>
  </si>
  <si>
    <t>2017-05-18T08:48:00Z</t>
  </si>
  <si>
    <t>2018-01-09T09:57:00Z</t>
  </si>
  <si>
    <t>Arrow Fire</t>
  </si>
  <si>
    <t>2017-05-15T13:58:00Z</t>
  </si>
  <si>
    <t>2018-01-09T10:29:00Z</t>
  </si>
  <si>
    <t>Bodfish Fire</t>
  </si>
  <si>
    <t>2017-06-10T12:17:00Z</t>
  </si>
  <si>
    <t>Eagle Fire</t>
  </si>
  <si>
    <t>2017-07-04T16:55:00Z</t>
  </si>
  <si>
    <t>2018-01-09T13:20:00Z</t>
  </si>
  <si>
    <t>Skeleton Fire</t>
  </si>
  <si>
    <t>2017-09-12T14:36:00Z</t>
  </si>
  <si>
    <t>2017-08-22T14:00:00Z</t>
  </si>
  <si>
    <t>Eclipse Fire</t>
  </si>
  <si>
    <t>2017-08-21T14:00:00Z</t>
  </si>
  <si>
    <t>2017-07-31T14:22:00Z</t>
  </si>
  <si>
    <t>2017-10-26T20:00:00Z</t>
  </si>
  <si>
    <t>Wasioja Fire</t>
  </si>
  <si>
    <t>2017-05-20T17:54:00Z</t>
  </si>
  <si>
    <t>Toll Fire</t>
  </si>
  <si>
    <t>2017-08-20T16:26:00Z</t>
  </si>
  <si>
    <t>Wild Fire</t>
  </si>
  <si>
    <t>2017-06-11T10:46:00Z</t>
  </si>
  <si>
    <t>2018-04-03T10:46:00Z</t>
  </si>
  <si>
    <t>2017-10-15T17:11:00Z</t>
  </si>
  <si>
    <t>Quarry Fire</t>
  </si>
  <si>
    <t>2017-10-12T10:42:00Z</t>
  </si>
  <si>
    <t>Laverne Fire</t>
  </si>
  <si>
    <t>2017-07-18T12:39:00Z</t>
  </si>
  <si>
    <t>2018-01-09T12:04:00Z</t>
  </si>
  <si>
    <t>High Fire</t>
  </si>
  <si>
    <t>2017-07-23T15:53:00Z</t>
  </si>
  <si>
    <t>2017-08-19T16:31:00Z</t>
  </si>
  <si>
    <t>Evans Fire</t>
  </si>
  <si>
    <t>2017-06-19T21:41:00Z</t>
  </si>
  <si>
    <t>2017-07-10T14:45:00Z</t>
  </si>
  <si>
    <t>Peg Fire</t>
  </si>
  <si>
    <t>2017-08-26T12:35:00Z</t>
  </si>
  <si>
    <t>26 Fire</t>
  </si>
  <si>
    <t>2017-06-07T21:00:00Z</t>
  </si>
  <si>
    <t>2018-04-05T10:48:00Z</t>
  </si>
  <si>
    <t>Corral Fire</t>
  </si>
  <si>
    <t>2017-09-19T14:05:00Z</t>
  </si>
  <si>
    <t>2018-01-09T12:12:00Z</t>
  </si>
  <si>
    <t>2017-07-29T16:33:00Z</t>
  </si>
  <si>
    <t>2018-01-09T10:46:00Z</t>
  </si>
  <si>
    <t>2017-06-18T15:10:00Z</t>
  </si>
  <si>
    <t>2017-10-09T15:05:00Z</t>
  </si>
  <si>
    <t>2017-07-24T14:43:00Z</t>
  </si>
  <si>
    <t>2018-01-09T10:33:00Z</t>
  </si>
  <si>
    <t>Lucy Fire</t>
  </si>
  <si>
    <t>2017-06-14T11:44:00Z</t>
  </si>
  <si>
    <t>2018-01-09T10:01:00Z</t>
  </si>
  <si>
    <t>41 Fire</t>
  </si>
  <si>
    <t>2017-05-17T15:30:00Z</t>
  </si>
  <si>
    <t>Tower Fire</t>
  </si>
  <si>
    <t>2017-04-30T16:03:00Z</t>
  </si>
  <si>
    <t>2017-10-14T16:00:00Z</t>
  </si>
  <si>
    <t>2018-01-09T13:22:00Z</t>
  </si>
  <si>
    <t>Grape Fire</t>
  </si>
  <si>
    <t>2017-09-19T13:02:00Z</t>
  </si>
  <si>
    <t>2017-09-28T14:46:00Z</t>
  </si>
  <si>
    <t>2017-07-26T13:58:00Z</t>
  </si>
  <si>
    <t>2017-09-17T15:18:00Z</t>
  </si>
  <si>
    <t>2017-07-28T15:25:00Z</t>
  </si>
  <si>
    <t>2018-01-09T10:32:00Z</t>
  </si>
  <si>
    <t>2017-06-13T17:00:00Z</t>
  </si>
  <si>
    <t>Skyway Fire</t>
  </si>
  <si>
    <t>2017-06-16T09:27:00Z</t>
  </si>
  <si>
    <t>2017-10-09T01:10:00Z</t>
  </si>
  <si>
    <t>2017-09-01T04:20:00Z</t>
  </si>
  <si>
    <t>2018-01-09T09:54:00Z</t>
  </si>
  <si>
    <t>2017-05-02T14:32:00Z</t>
  </si>
  <si>
    <t>2017-07-01T00:48:00Z</t>
  </si>
  <si>
    <t>Tumey Fire</t>
  </si>
  <si>
    <t>2017-04-29T17:15:00Z</t>
  </si>
  <si>
    <t>2018-01-09T12:40:00Z</t>
  </si>
  <si>
    <t>Coronado Fire</t>
  </si>
  <si>
    <t>2017-08-13T16:23:00Z</t>
  </si>
  <si>
    <t>Twist Fire</t>
  </si>
  <si>
    <t>2017-07-30T16:28:00Z</t>
  </si>
  <si>
    <t>2018-01-09T12:19:00Z</t>
  </si>
  <si>
    <t>Stewart Fire</t>
  </si>
  <si>
    <t>2017-08-04T14:25:00Z</t>
  </si>
  <si>
    <t>Margarita Fire</t>
  </si>
  <si>
    <t>2017-09-03T16:59:00Z</t>
  </si>
  <si>
    <t>2018-01-09T10:16:00Z</t>
  </si>
  <si>
    <t>Lamb Fire</t>
  </si>
  <si>
    <t>2017-05-25T14:48:00Z</t>
  </si>
  <si>
    <t>Maria Fire</t>
  </si>
  <si>
    <t>2017-07-17T12:55:00Z</t>
  </si>
  <si>
    <t>2017-10-17T14:00:00Z</t>
  </si>
  <si>
    <t>2018-01-09T12:35:00Z</t>
  </si>
  <si>
    <t>2017-08-11T12:57:00Z</t>
  </si>
  <si>
    <t>2018-01-09T12:45:00Z</t>
  </si>
  <si>
    <t>2017-08-26T14:31:00Z</t>
  </si>
  <si>
    <t>2017-06-22T11:10:00Z</t>
  </si>
  <si>
    <t>2018-01-09T13:26:00Z</t>
  </si>
  <si>
    <t>Poly Fire</t>
  </si>
  <si>
    <t>2017-09-26T15:30:00Z</t>
  </si>
  <si>
    <t>2017-06-15T11:36:00Z</t>
  </si>
  <si>
    <t>Humboldt Fire</t>
  </si>
  <si>
    <t>2017-07-19T16:02:00Z</t>
  </si>
  <si>
    <t>Coalinga Fire</t>
  </si>
  <si>
    <t>2017-08-30T16:51:00Z</t>
  </si>
  <si>
    <t>2018-01-09T11:53:00Z</t>
  </si>
  <si>
    <t>Lariat Fire</t>
  </si>
  <si>
    <t>2017-07-11T16:51:00Z</t>
  </si>
  <si>
    <t>Church Fire</t>
  </si>
  <si>
    <t>2017-10-21T13:04:00Z</t>
  </si>
  <si>
    <t>2018-04-05T12:01:00Z</t>
  </si>
  <si>
    <t>Oakmont Fire (Central LNU Complex)</t>
  </si>
  <si>
    <t>2017-10-14T20:35:00Z</t>
  </si>
  <si>
    <t>2018-01-09T13:38:00Z</t>
  </si>
  <si>
    <t>Long Fire</t>
  </si>
  <si>
    <t>2017-10-14T05:00:00Z</t>
  </si>
  <si>
    <t>2018-01-09T13:29:00Z</t>
  </si>
  <si>
    <t>Timm Fire</t>
  </si>
  <si>
    <t>2017-10-02T09:37:00Z</t>
  </si>
  <si>
    <t>Bally Fire</t>
  </si>
  <si>
    <t>2017-09-03T19:17:00Z</t>
  </si>
  <si>
    <t>2017-09-03T09:23:00Z</t>
  </si>
  <si>
    <t>Tilton Fire</t>
  </si>
  <si>
    <t>2017-08-11T14:55:00Z</t>
  </si>
  <si>
    <t>Mile Fire</t>
  </si>
  <si>
    <t>2017-07-31T14:44:00Z</t>
  </si>
  <si>
    <t>2017-11-29T12:19:00Z</t>
  </si>
  <si>
    <t>2018-01-09T12:23:00Z</t>
  </si>
  <si>
    <t>2017-08-07T14:14:00Z</t>
  </si>
  <si>
    <t>Auberry Fire</t>
  </si>
  <si>
    <t>2017-07-05T15:40:00Z</t>
  </si>
  <si>
    <t>2018-01-09T10:27:00Z</t>
  </si>
  <si>
    <t>Wilbur Fire</t>
  </si>
  <si>
    <t>2017-06-06T12:43:00Z</t>
  </si>
  <si>
    <t>Daulton Fire</t>
  </si>
  <si>
    <t>2017-07-07T10:00:00Z</t>
  </si>
  <si>
    <t>Ridge Fire</t>
  </si>
  <si>
    <t>2017-10-06T14:38:00Z</t>
  </si>
  <si>
    <t>Vista Fire</t>
  </si>
  <si>
    <t>2017-10-24T14:44:00Z</t>
  </si>
  <si>
    <t>Marlborough Fire</t>
  </si>
  <si>
    <t>2017-08-31T10:13:00Z</t>
  </si>
  <si>
    <t>Saw Fire</t>
  </si>
  <si>
    <t>2017-08-03T11:58:00Z</t>
  </si>
  <si>
    <t>2018-01-09T12:03:00Z</t>
  </si>
  <si>
    <t>Dollar Fire</t>
  </si>
  <si>
    <t>2017-07-22T13:35:00Z</t>
  </si>
  <si>
    <t>2018-01-09T11:11:00Z</t>
  </si>
  <si>
    <t>2017-06-29T13:56:00Z</t>
  </si>
  <si>
    <t>Country Fire</t>
  </si>
  <si>
    <t>2017-08-07T18:08:00Z</t>
  </si>
  <si>
    <t>2017-10-13T15:40:00Z</t>
  </si>
  <si>
    <t>2018-01-09T13:49:00Z</t>
  </si>
  <si>
    <t>Holiday Fire</t>
  </si>
  <si>
    <t>2017-12-28T20:51:00Z</t>
  </si>
  <si>
    <t>Mills File</t>
  </si>
  <si>
    <t>2017-09-03T20:32:00Z</t>
  </si>
  <si>
    <t>2018-01-09T10:23:00Z</t>
  </si>
  <si>
    <t>Fountain Fire</t>
  </si>
  <si>
    <t>2017-05-31T11:30:00Z</t>
  </si>
  <si>
    <t>Castro Fire</t>
  </si>
  <si>
    <t>2017-07-23T16:07:00Z</t>
  </si>
  <si>
    <t>2018-01-09T10:25:00Z</t>
  </si>
  <si>
    <t>2017-06-04T16:22:00Z</t>
  </si>
  <si>
    <t>2018-02-09T09:52:00Z</t>
  </si>
  <si>
    <t>McCourtney Fire (Wind Complex)</t>
  </si>
  <si>
    <t>2017-10-09T00:00:00Z</t>
  </si>
  <si>
    <t>2018-01-09T10:31:00Z</t>
  </si>
  <si>
    <t>Tivy Fire</t>
  </si>
  <si>
    <t>2017-06-11T22:45:00Z</t>
  </si>
  <si>
    <t>Linne Fire</t>
  </si>
  <si>
    <t>2017-09-26T16:45:00Z</t>
  </si>
  <si>
    <t>Axel Fire</t>
  </si>
  <si>
    <t>2017-07-08T16:38:00Z</t>
  </si>
  <si>
    <t>2017-07-07T15:45:00Z</t>
  </si>
  <si>
    <t>2018-01-09T13:37:00Z</t>
  </si>
  <si>
    <t>Lynch Fire</t>
  </si>
  <si>
    <t>2017-10-13T12:14:00Z</t>
  </si>
  <si>
    <t>Ellis Fire</t>
  </si>
  <si>
    <t>2017-07-18T15:34:00Z</t>
  </si>
  <si>
    <t>Camatta Fire</t>
  </si>
  <si>
    <t>2017-08-02T10:33:00Z</t>
  </si>
  <si>
    <t>2017-07-17T13:17:00Z</t>
  </si>
  <si>
    <t>Felipe Fire</t>
  </si>
  <si>
    <t>2017-07-10T15:54:00Z</t>
  </si>
  <si>
    <t>2018-01-09T10:05:00Z</t>
  </si>
  <si>
    <t>Manning Fire</t>
  </si>
  <si>
    <t>2017-05-19T23:28:00Z</t>
  </si>
  <si>
    <t>2017-08-27T18:47:00Z</t>
  </si>
  <si>
    <t>2018-01-09T10:22:00Z</t>
  </si>
  <si>
    <t>2017-06-01T15:38:00Z</t>
  </si>
  <si>
    <t>2018-01-09T10:26:00Z</t>
  </si>
  <si>
    <t>2017-06-04T16:12:00Z</t>
  </si>
  <si>
    <t>2018-01-09T10:59:00Z</t>
  </si>
  <si>
    <t>Orange Fire</t>
  </si>
  <si>
    <t>2017-06-21T14:45:00Z</t>
  </si>
  <si>
    <t>Placentia Fire</t>
  </si>
  <si>
    <t>2017-07-28T18:11:00Z</t>
  </si>
  <si>
    <t>Westfall Fire</t>
  </si>
  <si>
    <t>2017-06-15T07:30:00Z</t>
  </si>
  <si>
    <t>Montezuma Fire</t>
  </si>
  <si>
    <t>2017-08-26T11:30:00Z</t>
  </si>
  <si>
    <t>2018-01-09T12:28:00Z</t>
  </si>
  <si>
    <t>Bottle Fire</t>
  </si>
  <si>
    <t>2017-08-08T16:40:00Z</t>
  </si>
  <si>
    <t>2017-07-08T11:00:00Z</t>
  </si>
  <si>
    <t>2018-01-09T10:35:00Z</t>
  </si>
  <si>
    <t>Bolla Fire</t>
  </si>
  <si>
    <t>2017-06-18T07:15:00Z</t>
  </si>
  <si>
    <t>2017-07-17T15:32:00Z</t>
  </si>
  <si>
    <t>2017-07-12T13:10:00Z</t>
  </si>
  <si>
    <t>2017-10-11T15:59:00Z</t>
  </si>
  <si>
    <t>Slides Fire</t>
  </si>
  <si>
    <t>2017-09-12T16:08:00Z</t>
  </si>
  <si>
    <t>Hogback Fire</t>
  </si>
  <si>
    <t>2017-07-18T15:50:00Z</t>
  </si>
  <si>
    <t>2017-07-07T16:23:00Z</t>
  </si>
  <si>
    <t>Live Fire</t>
  </si>
  <si>
    <t>2017-07-28T13:24:00Z</t>
  </si>
  <si>
    <t>2018-01-09T11:43:00Z</t>
  </si>
  <si>
    <t>Freedom Fire</t>
  </si>
  <si>
    <t>2017-07-04T13:21:00Z</t>
  </si>
  <si>
    <t>Bogus Fire</t>
  </si>
  <si>
    <t>2017-06-18T15:45:00Z</t>
  </si>
  <si>
    <t>Estate Fire</t>
  </si>
  <si>
    <t>2017-09-23T11:05:00Z</t>
  </si>
  <si>
    <t>Owens Fire</t>
  </si>
  <si>
    <t>2017-08-29T15:39:00Z</t>
  </si>
  <si>
    <t>Topanga Fire</t>
  </si>
  <si>
    <t>2017-06-29T15:09:00Z</t>
  </si>
  <si>
    <t>2017-08-28T22:00:00Z</t>
  </si>
  <si>
    <t>2017-08-28T21:38:00Z</t>
  </si>
  <si>
    <t>Quimby Fire</t>
  </si>
  <si>
    <t>2017-06-21T18:02:00Z</t>
  </si>
  <si>
    <t>Weller Fire</t>
  </si>
  <si>
    <t>2017-07-26T23:19:00Z</t>
  </si>
  <si>
    <t>Tank Fire</t>
  </si>
  <si>
    <t>2017-10-26T11:55:00Z</t>
  </si>
  <si>
    <t>2018-01-09T13:42:00Z</t>
  </si>
  <si>
    <t>Extension Fire</t>
  </si>
  <si>
    <t>2017-10-23T10:31:00Z</t>
  </si>
  <si>
    <t>2018-01-09T13:40:00Z</t>
  </si>
  <si>
    <t>Wilson Fire</t>
  </si>
  <si>
    <t>2017-10-17T03:43:00Z</t>
  </si>
  <si>
    <t>Skeggs Fire</t>
  </si>
  <si>
    <t>2017-09-11T19:41:00Z</t>
  </si>
  <si>
    <t>Calgary Fire</t>
  </si>
  <si>
    <t>2017-08-05T13:16:00Z</t>
  </si>
  <si>
    <t>2017-07-17T14:55:00Z</t>
  </si>
  <si>
    <t>2017-07-08T16:47:00Z</t>
  </si>
  <si>
    <t>2017-07-04T14:45:00Z</t>
  </si>
  <si>
    <t>Lago Fire</t>
  </si>
  <si>
    <t>2017-07-03T15:14:00Z</t>
  </si>
  <si>
    <t>Douglas Fire</t>
  </si>
  <si>
    <t>2017-06-13T14:31:00Z</t>
  </si>
  <si>
    <t>2017-09-20T21:07:00Z</t>
  </si>
  <si>
    <t>2018-01-09T10:21:00Z</t>
  </si>
  <si>
    <t>Serenas Fire</t>
  </si>
  <si>
    <t>2017-05-28T15:27:00Z</t>
  </si>
  <si>
    <t>Bitterwater Fire</t>
  </si>
  <si>
    <t>2017-11-25T16:46:00Z</t>
  </si>
  <si>
    <t>Zenon Fire</t>
  </si>
  <si>
    <t>2017-07-20T14:43:00Z</t>
  </si>
  <si>
    <t>2017-08-27T14:51:00Z</t>
  </si>
  <si>
    <t>2017-07-12T15:29:00Z</t>
  </si>
  <si>
    <t>Whitepine Fire</t>
  </si>
  <si>
    <t>2017-06-06T16:38:00Z</t>
  </si>
  <si>
    <t>Riverbottom Fire</t>
  </si>
  <si>
    <t>2017-12-21T11:16:00Z</t>
  </si>
  <si>
    <t>Pozo Fire</t>
  </si>
  <si>
    <t>2017-10-09T14:30:00Z</t>
  </si>
  <si>
    <t>2018-01-09T09:41:00Z</t>
  </si>
  <si>
    <t>Grace Fire</t>
  </si>
  <si>
    <t>Mines Fire</t>
  </si>
  <si>
    <t>2017-08-27T17:45:00Z</t>
  </si>
  <si>
    <t>Roser Fire</t>
  </si>
  <si>
    <t>2017-11-02T14:40:00Z</t>
  </si>
  <si>
    <t>2018-01-09T13:19:00Z</t>
  </si>
  <si>
    <t>2017-09-11T15:11:00Z</t>
  </si>
  <si>
    <t>Lockwood Fire</t>
  </si>
  <si>
    <t>2017-06-29T20:44:00Z</t>
  </si>
  <si>
    <t>2018-01-09T11:07:00Z</t>
  </si>
  <si>
    <t>2017-06-24T11:15:00Z</t>
  </si>
  <si>
    <t>2018-01-09T10:24:00Z</t>
  </si>
  <si>
    <t>Jones Fire</t>
  </si>
  <si>
    <t>2017-06-03T13:09:00Z</t>
  </si>
  <si>
    <t>2017-08-13T12:41:00Z</t>
  </si>
  <si>
    <t>Stokes Fire</t>
  </si>
  <si>
    <t>2017-06-29T15:45:00Z</t>
  </si>
  <si>
    <t>Feed Fire</t>
  </si>
  <si>
    <t>2017-05-14T14:00:00Z</t>
  </si>
  <si>
    <t>Riverdale Fire</t>
  </si>
  <si>
    <t>2017-12-04T12:26:00Z</t>
  </si>
  <si>
    <t>Palm Fire</t>
  </si>
  <si>
    <t>2017-11-14T16:11:00Z</t>
  </si>
  <si>
    <t>2017-10-24T10:27:00Z</t>
  </si>
  <si>
    <t>2018-01-09T13:31:00Z</t>
  </si>
  <si>
    <t>2017-10-08T04:53:00Z</t>
  </si>
  <si>
    <t>Lakewood Fire</t>
  </si>
  <si>
    <t>2017-09-29T15:58:00Z</t>
  </si>
  <si>
    <t>Hole Fire</t>
  </si>
  <si>
    <t>2017-09-12T12:45:00Z</t>
  </si>
  <si>
    <t>Translator Fire</t>
  </si>
  <si>
    <t>2017-08-28T08:01:00Z</t>
  </si>
  <si>
    <t>Vestal Fire</t>
  </si>
  <si>
    <t>2017-08-26T15:03:00Z</t>
  </si>
  <si>
    <t>2017-07-17T14:44:00Z</t>
  </si>
  <si>
    <t>Reservation Fire</t>
  </si>
  <si>
    <t>2017-07-16T11:17:00Z</t>
  </si>
  <si>
    <t>2018-03-26T10:49:00Z</t>
  </si>
  <si>
    <t>2017-09-19T00:22:00Z</t>
  </si>
  <si>
    <t>Spenceville Fire</t>
  </si>
  <si>
    <t>2017-07-24T14:56:00Z</t>
  </si>
  <si>
    <t>2017-06-22T13:08:00Z</t>
  </si>
  <si>
    <t>Marin</t>
  </si>
  <si>
    <t>2017-06-27T10:39:00Z</t>
  </si>
  <si>
    <t>2017-06-11T18:49:00Z</t>
  </si>
  <si>
    <t>2017-10-31T11:22:00Z</t>
  </si>
  <si>
    <t>Banderilla Fire</t>
  </si>
  <si>
    <t>2017-07-07T15:50:00Z</t>
  </si>
  <si>
    <t>2017-06-25T12:09:00Z</t>
  </si>
  <si>
    <t>Melba Fire</t>
  </si>
  <si>
    <t>2017-09-29T18:01:00Z</t>
  </si>
  <si>
    <t>Spaletta Fire</t>
  </si>
  <si>
    <t>2017-07-12T16:15:00Z</t>
  </si>
  <si>
    <t>2017-07-04T15:20:00Z</t>
  </si>
  <si>
    <t>2017-06-27T07:39:00Z</t>
  </si>
  <si>
    <t>Breckenridge Fire</t>
  </si>
  <si>
    <t>2017-06-09T04:53:00Z</t>
  </si>
  <si>
    <t>2017-05-21T16:12:00Z</t>
  </si>
  <si>
    <t>Meyers Fire</t>
  </si>
  <si>
    <t>2017-12-05T13:28:00Z</t>
  </si>
  <si>
    <t>Ellie Fire</t>
  </si>
  <si>
    <t>2017-09-10T13:49:00Z</t>
  </si>
  <si>
    <t>Miller Fire</t>
  </si>
  <si>
    <t>2017-08-31T13:57:00Z</t>
  </si>
  <si>
    <t>2018-01-09T11:42:00Z</t>
  </si>
  <si>
    <t>Christmas Fire</t>
  </si>
  <si>
    <t>2017-07-07T12:56:00Z</t>
  </si>
  <si>
    <t>2017-06-13T12:00:00Z</t>
  </si>
  <si>
    <t>2017-06-04T22:11:00Z</t>
  </si>
  <si>
    <t>Sandy Fire</t>
  </si>
  <si>
    <t>2017-08-02T11:13:00Z</t>
  </si>
  <si>
    <t>2017-08-02T08:30:00Z</t>
  </si>
  <si>
    <t>2017-07-13T10:28:00Z</t>
  </si>
  <si>
    <t>Shore Fire</t>
  </si>
  <si>
    <t>2017-06-16T15:49:00Z</t>
  </si>
  <si>
    <t>Pleyto Fire</t>
  </si>
  <si>
    <t>2017-06-11T18:12:00Z</t>
  </si>
  <si>
    <t>York Fire</t>
  </si>
  <si>
    <t>2017-10-15T14:55:00Z</t>
  </si>
  <si>
    <t>Juniper Fire</t>
  </si>
  <si>
    <t>2017-08-23T13:28:00Z</t>
  </si>
  <si>
    <t>Hub Fire</t>
  </si>
  <si>
    <t>2017-05-12T05:05:00Z</t>
  </si>
  <si>
    <t>2018-03-22T16:34:00Z</t>
  </si>
  <si>
    <t>Castaic Fire</t>
  </si>
  <si>
    <t>2017-08-31T16:32:00Z</t>
  </si>
  <si>
    <t>Blocksburg Fire</t>
  </si>
  <si>
    <t>2017-08-03T16:41:00Z</t>
  </si>
  <si>
    <t>Timber Fire</t>
  </si>
  <si>
    <t>2017-07-03T19:31:00Z</t>
  </si>
  <si>
    <t>2018-01-09T13:35:00Z</t>
  </si>
  <si>
    <t>Ice Fire</t>
  </si>
  <si>
    <t>2017-10-10T15:36:00Z</t>
  </si>
  <si>
    <t>Benson Fire</t>
  </si>
  <si>
    <t>2017-07-08T18:58:00Z</t>
  </si>
  <si>
    <t>2018-01-09T13:24:00Z</t>
  </si>
  <si>
    <t>32 Fire</t>
  </si>
  <si>
    <t>2017-09-25T11:03:00Z</t>
  </si>
  <si>
    <t>4-4 Fire</t>
  </si>
  <si>
    <t>2017-08-30T11:38:00Z</t>
  </si>
  <si>
    <t>2017-06-26T21:30:00Z</t>
  </si>
  <si>
    <t>Nuevo Fire</t>
  </si>
  <si>
    <t>2017-06-15T15:51:00Z</t>
  </si>
  <si>
    <t>4-10 Fire</t>
  </si>
  <si>
    <t>2017-08-30T14:50:00Z</t>
  </si>
  <si>
    <t>Vernon Fire</t>
  </si>
  <si>
    <t>2017-06-03T12:09:00Z</t>
  </si>
  <si>
    <t>2018-01-09T13:25:00Z</t>
  </si>
  <si>
    <t>Jasper Fire</t>
  </si>
  <si>
    <t>2017-09-26T15:20:00Z</t>
  </si>
  <si>
    <t>Trellis Fire</t>
  </si>
  <si>
    <t>2017-06-18T16:03:00Z</t>
  </si>
  <si>
    <t>Fairview Fire</t>
  </si>
  <si>
    <t>2017-06-01T16:12:00Z</t>
  </si>
  <si>
    <t>2017-10-15T14:05:00Z</t>
  </si>
  <si>
    <t>Cove Fire</t>
  </si>
  <si>
    <t>2017-09-23T15:40:00Z</t>
  </si>
  <si>
    <t>Border 9 Fire</t>
  </si>
  <si>
    <t>2017-09-07T15:41:00Z</t>
  </si>
  <si>
    <t>Hopper Fire</t>
  </si>
  <si>
    <t>2017-09-01T11:21:00Z</t>
  </si>
  <si>
    <t>Sloane Fire</t>
  </si>
  <si>
    <t>2017-06-27T09:38:00Z</t>
  </si>
  <si>
    <t>Road Fire</t>
  </si>
  <si>
    <t>2017-06-18T14:04:00Z</t>
  </si>
  <si>
    <t>5 Fire</t>
  </si>
  <si>
    <t>2017-06-03T15:39:00Z</t>
  </si>
  <si>
    <t>2018-01-09T10:10:00Z</t>
  </si>
  <si>
    <t>Ribbonwood Fire</t>
  </si>
  <si>
    <t>2017-05-24T15:30:00Z</t>
  </si>
  <si>
    <t>2018-01-09T13:32:00Z</t>
  </si>
  <si>
    <t>Portola Fire</t>
  </si>
  <si>
    <t>2017-10-10T14:57:00Z</t>
  </si>
  <si>
    <t>Edwards Fire</t>
  </si>
  <si>
    <t>2017-09-26T12:22:00Z</t>
  </si>
  <si>
    <t>2017-07-05T16:56:00Z</t>
  </si>
  <si>
    <t>Refuge Fire</t>
  </si>
  <si>
    <t>2017-06-13T10:18:00Z</t>
  </si>
  <si>
    <t>2017-10-20T12:13:00Z</t>
  </si>
  <si>
    <t>Mule Fire</t>
  </si>
  <si>
    <t>2017-09-05T14:55:00Z</t>
  </si>
  <si>
    <t>Globe Fire</t>
  </si>
  <si>
    <t>2017-07-05T08:24:00Z</t>
  </si>
  <si>
    <t>2017-06-22T09:49:00Z</t>
  </si>
  <si>
    <t>Platina Fire</t>
  </si>
  <si>
    <t>2017-06-13T12:47:00Z</t>
  </si>
  <si>
    <t>2017-05-22T04:50:00Z</t>
  </si>
  <si>
    <t>2018-01-09T13:30:00Z</t>
  </si>
  <si>
    <t>Blue Fire</t>
  </si>
  <si>
    <t>2017-10-08T16:40:00Z</t>
  </si>
  <si>
    <t>2017-10-07T20:00:00Z</t>
  </si>
  <si>
    <t>2017-10-03T16:22:00Z</t>
  </si>
  <si>
    <t>2017-08-01T16:33:00Z</t>
  </si>
  <si>
    <t>Seine Fire</t>
  </si>
  <si>
    <t>2017-07-22T15:49:00Z</t>
  </si>
  <si>
    <t>2017-07-17T12:37:00Z</t>
  </si>
  <si>
    <t>2017-06-13T17:21:00Z</t>
  </si>
  <si>
    <t>2017-06-05T13:17:00Z</t>
  </si>
  <si>
    <t>City Fire</t>
  </si>
  <si>
    <t>2017-05-18T12:54:00Z</t>
  </si>
  <si>
    <t>Nacimiento Fire</t>
  </si>
  <si>
    <t>2017-05-14T12:00:00Z</t>
  </si>
  <si>
    <t>Longhorn Fire</t>
  </si>
  <si>
    <t>2017-12-13T15:27:00Z</t>
  </si>
  <si>
    <t>2017-10-10T12:30:00Z</t>
  </si>
  <si>
    <t>2017-08-13T13:34:00Z</t>
  </si>
  <si>
    <t>Sway Fire</t>
  </si>
  <si>
    <t>2017-08-01T10:23:00Z</t>
  </si>
  <si>
    <t>Willms Fire</t>
  </si>
  <si>
    <t>2017-07-18T22:39:00Z</t>
  </si>
  <si>
    <t>2017-06-26T12:30:00Z</t>
  </si>
  <si>
    <t>2017-05-01T12:44:00Z</t>
  </si>
  <si>
    <t>Bodega Fire</t>
  </si>
  <si>
    <t>2017-08-27T13:30:00Z</t>
  </si>
  <si>
    <t>Lakeland Fire</t>
  </si>
  <si>
    <t>2017-07-04T15:45:00Z</t>
  </si>
  <si>
    <t>Panoche Fire</t>
  </si>
  <si>
    <t>2017-05-28T16:16:00Z</t>
  </si>
  <si>
    <t>2017-05-16T16:10:00Z</t>
  </si>
  <si>
    <t>Ramblin Fire</t>
  </si>
  <si>
    <t>2017-10-03T11:44:00Z</t>
  </si>
  <si>
    <t>Corner Fire</t>
  </si>
  <si>
    <t>2017-08-17T14:15:00Z</t>
  </si>
  <si>
    <t>2017-07-29T17:29:00Z</t>
  </si>
  <si>
    <t>2017-05-20T13:11:00Z</t>
  </si>
  <si>
    <t>2018-01-09T09:59:00Z</t>
  </si>
  <si>
    <t>Lonoak Fire</t>
  </si>
  <si>
    <t>2017-05-17T15:18:00Z</t>
  </si>
  <si>
    <t>2017-05-14T12:51:00Z</t>
  </si>
  <si>
    <t>2017-06-02T18:55:00Z</t>
  </si>
  <si>
    <t>Matz Fire</t>
  </si>
  <si>
    <t>2017-05-29T01:20:00Z</t>
  </si>
  <si>
    <t>Rusty Fire</t>
  </si>
  <si>
    <t>2017-05-28T07:49:00Z</t>
  </si>
  <si>
    <t>2017-08-10T17:24:00Z</t>
  </si>
  <si>
    <t>Greenhorn Fire</t>
  </si>
  <si>
    <t>2017-07-27T14:49:00Z</t>
  </si>
  <si>
    <t>2017-07-17T13:38:00Z</t>
  </si>
  <si>
    <t>Alvarado Fire</t>
  </si>
  <si>
    <t>2017-06-28T09:30:00Z</t>
  </si>
  <si>
    <t>Lombardi Fire</t>
  </si>
  <si>
    <t>2017-05-28T15:30:00Z</t>
  </si>
  <si>
    <t>2018-01-09T09:50:00Z</t>
  </si>
  <si>
    <t>66 Fire</t>
  </si>
  <si>
    <t>2017-04-13T02:30:00Z</t>
  </si>
  <si>
    <t>Drum Fire</t>
  </si>
  <si>
    <t>2017-12-16T12:21:00Z</t>
  </si>
  <si>
    <t>Coast Fire</t>
  </si>
  <si>
    <t>2017-12-14T12:59:00Z</t>
  </si>
  <si>
    <t>Desabla Fire</t>
  </si>
  <si>
    <t>2017-07-02T13:43:00Z</t>
  </si>
  <si>
    <t>2017-06-09T16:15:00Z</t>
  </si>
  <si>
    <t>Moraga Fire</t>
  </si>
  <si>
    <t>2017-05-18T17:25:00Z</t>
  </si>
  <si>
    <t>Milton Fire</t>
  </si>
  <si>
    <t>2017-10-18T12:53:00Z</t>
  </si>
  <si>
    <t>Woodland Fire</t>
  </si>
  <si>
    <t>2017-07-25T14:13:00Z</t>
  </si>
  <si>
    <t>Rosado Fire</t>
  </si>
  <si>
    <t>2017-07-12T13:51:00Z</t>
  </si>
  <si>
    <t>2017-07-04T13:15:00Z</t>
  </si>
  <si>
    <t>Pacific Fire</t>
  </si>
  <si>
    <t>2017-09-12T17:24:00Z</t>
  </si>
  <si>
    <t>Dehesa Fire</t>
  </si>
  <si>
    <t>2017-06-04T11:04:00Z</t>
  </si>
  <si>
    <t>Shandon Fire</t>
  </si>
  <si>
    <t>2017-05-07T16:41:00Z</t>
  </si>
  <si>
    <t>Jameson Fire</t>
  </si>
  <si>
    <t>2017-04-30T19:43:00Z</t>
  </si>
  <si>
    <t>Independence Fire</t>
  </si>
  <si>
    <t>2017-07-31T23:17:00Z</t>
  </si>
  <si>
    <t>Lisa Fire</t>
  </si>
  <si>
    <t>2017-07-02T13:04:00Z</t>
  </si>
  <si>
    <t>2017-10-08T12:15:00Z</t>
  </si>
  <si>
    <t>Dexter Fire</t>
  </si>
  <si>
    <t>2017-09-20T14:53:00Z</t>
  </si>
  <si>
    <t>Shaver Fire</t>
  </si>
  <si>
    <t>2017-09-11T10:00:00Z</t>
  </si>
  <si>
    <t>Sandra Fire</t>
  </si>
  <si>
    <t>2017-08-28T17:06:00Z</t>
  </si>
  <si>
    <t>Rincon Fire</t>
  </si>
  <si>
    <t>2017-08-03T16:21:00Z</t>
  </si>
  <si>
    <t>Grizzly Fire</t>
  </si>
  <si>
    <t>2017-07-21T16:50:00Z</t>
  </si>
  <si>
    <t>2017-07-15T18:10:00Z</t>
  </si>
  <si>
    <t>Navajo Fire</t>
  </si>
  <si>
    <t>2017-07-13T14:14:00Z</t>
  </si>
  <si>
    <t>Rebie Fire</t>
  </si>
  <si>
    <t>2017-07-12T13:55:00Z</t>
  </si>
  <si>
    <t>2017-07-03T13:34:00Z</t>
  </si>
  <si>
    <t>2017-07-02T12:41:00Z</t>
  </si>
  <si>
    <t>Lambs Fire</t>
  </si>
  <si>
    <t>2017-06-18T12:28:00Z</t>
  </si>
  <si>
    <t>2017-06-16T14:51:00Z</t>
  </si>
  <si>
    <t>2017-06-05T14:02:00Z</t>
  </si>
  <si>
    <t>Shirleon Fire</t>
  </si>
  <si>
    <t>2017-06-04T16:48:00Z</t>
  </si>
  <si>
    <t>Twenty Fire</t>
  </si>
  <si>
    <t>2017-05-29T15:31:00Z</t>
  </si>
  <si>
    <t>Champagne Fire</t>
  </si>
  <si>
    <t>2017-05-28T10:59:00Z</t>
  </si>
  <si>
    <t>2018-01-09T10:08:00Z</t>
  </si>
  <si>
    <t>Moreno Fire</t>
  </si>
  <si>
    <t>2017-05-23T13:13:00Z</t>
  </si>
  <si>
    <t>Soledad Fire</t>
  </si>
  <si>
    <t>2017-04-24T12:06:00Z</t>
  </si>
  <si>
    <t>Pressley Fire (Central LNU Complex)</t>
  </si>
  <si>
    <t>2017-10-09T01:30:00Z</t>
  </si>
  <si>
    <t>Partrick Fire (Central LNU Complex)</t>
  </si>
  <si>
    <t>2017-10-08T23:48:00Z</t>
  </si>
  <si>
    <t>Rattlesnake Fire</t>
  </si>
  <si>
    <t>2017-09-07T15:00:00Z</t>
  </si>
  <si>
    <t>Clear Complex (merged into Eclipse Complex)</t>
  </si>
  <si>
    <t>2017-07-25T12:45:00Z</t>
  </si>
  <si>
    <t>Warner Mountain Lightning</t>
  </si>
  <si>
    <t>2017-07-23T00:00:00Z</t>
  </si>
  <si>
    <t>2017-07-19T17:30:00Z</t>
  </si>
  <si>
    <t>2017-07-06T13:00:00Z</t>
  </si>
  <si>
    <t>Klamath Fire</t>
  </si>
  <si>
    <t>2017-07-04T15:21:00Z</t>
  </si>
  <si>
    <t>Cristianitos Fire</t>
  </si>
  <si>
    <t>2017-06-28T17:56:00Z</t>
  </si>
  <si>
    <t>Salmon-August Complex</t>
  </si>
  <si>
    <t>2017-06-25T17:00:00Z</t>
  </si>
  <si>
    <t>King Incident</t>
  </si>
  <si>
    <t>2017-06-23T22:32:00Z</t>
  </si>
  <si>
    <t>2017-05-19T13:10:00Z</t>
  </si>
  <si>
    <t>2018-01-09T09:24:00Z</t>
  </si>
  <si>
    <t>Oroville Spillway</t>
  </si>
  <si>
    <t>2017-02-07T14:00:00Z</t>
  </si>
  <si>
    <t>2019-01-04T09:33:00Z</t>
  </si>
  <si>
    <t>Ranch Fire (Mendocino Complex)</t>
  </si>
  <si>
    <t>2018-07-27T12:05:00Z</t>
  </si>
  <si>
    <t>2019-01-04T09:37:00Z</t>
  </si>
  <si>
    <t>Carr Fire</t>
  </si>
  <si>
    <t>2018-07-23T13:15:00Z</t>
  </si>
  <si>
    <t>2018-11-25T08:00:00Z</t>
  </si>
  <si>
    <t>2018-11-08T06:33:00Z</t>
  </si>
  <si>
    <t>2019-01-04T08:42:00Z</t>
  </si>
  <si>
    <t>Woolsey Fire</t>
  </si>
  <si>
    <t>2018-11-08T14:24:00Z</t>
  </si>
  <si>
    <t>2019-01-04T09:48:00Z</t>
  </si>
  <si>
    <t>Ferguson Fire</t>
  </si>
  <si>
    <t>2018-07-13T21:36:00Z</t>
  </si>
  <si>
    <t>2019-01-04T09:57:00Z</t>
  </si>
  <si>
    <t>County Fire</t>
  </si>
  <si>
    <t>2018-06-30T14:12:00Z</t>
  </si>
  <si>
    <t>2019-01-04T09:07:00Z</t>
  </si>
  <si>
    <t>Delta Fire</t>
  </si>
  <si>
    <t>2018-09-05T12:51:00Z</t>
  </si>
  <si>
    <t>2019-01-04T09:18:00Z</t>
  </si>
  <si>
    <t>River Fire (Mendocino Complex)</t>
  </si>
  <si>
    <t>2018-07-27T13:01:00Z</t>
  </si>
  <si>
    <t>2019-01-04T09:21:00Z</t>
  </si>
  <si>
    <t>Hirz Fire</t>
  </si>
  <si>
    <t>2018-08-09T01:55:00Z</t>
  </si>
  <si>
    <t>2019-01-04T09:20:00Z</t>
  </si>
  <si>
    <t>2018-08-15T18:05:00Z</t>
  </si>
  <si>
    <t>2019-01-04T09:55:00Z</t>
  </si>
  <si>
    <t>Klamathon Fire</t>
  </si>
  <si>
    <t>2018-07-05T12:31:00Z</t>
  </si>
  <si>
    <t>2019-01-04T09:26:00Z</t>
  </si>
  <si>
    <t>Donnell Fire</t>
  </si>
  <si>
    <t>2018-08-01T17:48:00Z</t>
  </si>
  <si>
    <t>2019-01-04T09:23:00Z</t>
  </si>
  <si>
    <t>2018-08-06T13:20:00Z</t>
  </si>
  <si>
    <t>2019-01-04T09:32:00Z</t>
  </si>
  <si>
    <t>Whaleback Fire</t>
  </si>
  <si>
    <t>2018-07-27T13:32:00Z</t>
  </si>
  <si>
    <t>2019-01-04T10:01:00Z</t>
  </si>
  <si>
    <t>Pawnee Fire</t>
  </si>
  <si>
    <t>2018-06-23T17:21:00Z</t>
  </si>
  <si>
    <t>2019-01-04T09:36:00Z</t>
  </si>
  <si>
    <t>Cranston Fire</t>
  </si>
  <si>
    <t>2018-07-25T11:41:00Z</t>
  </si>
  <si>
    <t>2019-01-04T09:58:00Z</t>
  </si>
  <si>
    <t>Waverly Fire</t>
  </si>
  <si>
    <t>2018-06-29T15:11:00Z</t>
  </si>
  <si>
    <t>2019-01-04T09:09:00Z</t>
  </si>
  <si>
    <t>Boot Fire</t>
  </si>
  <si>
    <t>2018-09-04T14:26:00Z</t>
  </si>
  <si>
    <t>2019-01-04T10:06:00Z</t>
  </si>
  <si>
    <t>Planada Fire</t>
  </si>
  <si>
    <t>2018-06-15T10:34:00Z</t>
  </si>
  <si>
    <t>2019-01-04T08:43:00Z</t>
  </si>
  <si>
    <t>2018-11-08T14:03:00Z</t>
  </si>
  <si>
    <t>2019-01-04T08:57:00Z</t>
  </si>
  <si>
    <t>Branscombe Fire</t>
  </si>
  <si>
    <t>2018-10-07T13:00:00Z</t>
  </si>
  <si>
    <t>2019-01-04T10:03:00Z</t>
  </si>
  <si>
    <t>Lions Fire</t>
  </si>
  <si>
    <t>2018-06-11T12:00:00Z</t>
  </si>
  <si>
    <t>Sun Fire</t>
  </si>
  <si>
    <t>2018-10-07T12:51:00Z</t>
  </si>
  <si>
    <t>2019-01-04T10:02:00Z</t>
  </si>
  <si>
    <t>Lane Fire</t>
  </si>
  <si>
    <t>2018-06-23T11:38:00Z</t>
  </si>
  <si>
    <t>2019-01-04T09:17:00Z</t>
  </si>
  <si>
    <t>Mill Creek 1 Fire</t>
  </si>
  <si>
    <t>2018-08-16T09:18:00Z</t>
  </si>
  <si>
    <t>2019-01-04T09:03:00Z</t>
  </si>
  <si>
    <t>Charlie Fire</t>
  </si>
  <si>
    <t>2018-09-22T14:30:00Z</t>
  </si>
  <si>
    <t>Five Fire</t>
  </si>
  <si>
    <t>2018-08-06T17:29:00Z</t>
  </si>
  <si>
    <t>2019-01-04T10:10:00Z</t>
  </si>
  <si>
    <t>2018-06-09T14:10:00Z</t>
  </si>
  <si>
    <t>2018-08-03T14:48:00Z</t>
  </si>
  <si>
    <t>2019-01-04T09:54:00Z</t>
  </si>
  <si>
    <t>Georges Fire</t>
  </si>
  <si>
    <t>2018-07-08T13:36:00Z</t>
  </si>
  <si>
    <t>2019-01-04T09:06:00Z</t>
  </si>
  <si>
    <t>Snell Fire</t>
  </si>
  <si>
    <t>2018-09-08T14:29:00Z</t>
  </si>
  <si>
    <t>2019-01-04T10:09:00Z</t>
  </si>
  <si>
    <t>Chrome Fire</t>
  </si>
  <si>
    <t>2018-06-09T15:32:00Z</t>
  </si>
  <si>
    <t>Turkey Fire</t>
  </si>
  <si>
    <t>2018-08-06T12:59:00Z</t>
  </si>
  <si>
    <t>2018-08-10T16:57:00Z</t>
  </si>
  <si>
    <t>2019-01-04T09:46:00Z</t>
  </si>
  <si>
    <t>2018-07-13T22:03:00Z</t>
  </si>
  <si>
    <t>2019-01-03T09:43:00Z</t>
  </si>
  <si>
    <t>2018-02-18T14:12:00Z</t>
  </si>
  <si>
    <t>Hat Fire</t>
  </si>
  <si>
    <t>2018-08-09T14:34:00Z</t>
  </si>
  <si>
    <t>2019-01-04T10:26:00Z</t>
  </si>
  <si>
    <t>Nees Fire</t>
  </si>
  <si>
    <t>2018-05-02T16:00:00Z</t>
  </si>
  <si>
    <t>2019-01-04T09:08:00Z</t>
  </si>
  <si>
    <t>Kerlin Fire</t>
  </si>
  <si>
    <t>2018-09-04T15:20:00Z</t>
  </si>
  <si>
    <t>2018-06-24T12:29:00Z</t>
  </si>
  <si>
    <t>2019-01-04T08:47:00Z</t>
  </si>
  <si>
    <t>Nurse Fire</t>
  </si>
  <si>
    <t>2018-11-08T13:28:00Z</t>
  </si>
  <si>
    <t>2018-06-20T18:22:00Z</t>
  </si>
  <si>
    <t>2019-01-04T10:15:00Z</t>
  </si>
  <si>
    <t>2018-06-04T12:40:00Z</t>
  </si>
  <si>
    <t>2018-07-06T13:29:00Z</t>
  </si>
  <si>
    <t>Airline Fire</t>
  </si>
  <si>
    <t>2018-06-04T17:01:00Z</t>
  </si>
  <si>
    <t>2019-01-03T13:09:00Z</t>
  </si>
  <si>
    <t>Moffat Fire</t>
  </si>
  <si>
    <t>2018-04-19T10:28:00Z</t>
  </si>
  <si>
    <t>2019-01-04T10:24:00Z</t>
  </si>
  <si>
    <t>Patterson Fire</t>
  </si>
  <si>
    <t>2018-05-17T14:19:00Z</t>
  </si>
  <si>
    <t>2019-01-04T09:28:00Z</t>
  </si>
  <si>
    <t>2018-07-31T17:34:00Z</t>
  </si>
  <si>
    <t>2019-01-04T09:10:00Z</t>
  </si>
  <si>
    <t>2018-09-03T16:38:00Z</t>
  </si>
  <si>
    <t>2019-01-04T09:16:00Z</t>
  </si>
  <si>
    <t>Front Fire</t>
  </si>
  <si>
    <t>2018-08-19T13:37:00Z</t>
  </si>
  <si>
    <t>2018-07-27T16:12:00Z</t>
  </si>
  <si>
    <t>2019-01-04T09:29:00Z</t>
  </si>
  <si>
    <t>Eel Fire</t>
  </si>
  <si>
    <t>2018-07-31T15:28:00Z</t>
  </si>
  <si>
    <t>2018-07-12T22:45:00Z</t>
  </si>
  <si>
    <t>2019-01-04T09:52:00Z</t>
  </si>
  <si>
    <t>Dale Fire</t>
  </si>
  <si>
    <t>2018-07-09T18:30:00Z</t>
  </si>
  <si>
    <t>Irish Fire</t>
  </si>
  <si>
    <t>2018-07-06T14:42:00Z</t>
  </si>
  <si>
    <t>2019-01-04T09:40:00Z</t>
  </si>
  <si>
    <t>Eighty Eight Fire</t>
  </si>
  <si>
    <t>2018-07-18T14:24:00Z</t>
  </si>
  <si>
    <t>Sunset Fire</t>
  </si>
  <si>
    <t>2018-08-01T13:11:00Z</t>
  </si>
  <si>
    <t>2019-01-04T09:19:00Z</t>
  </si>
  <si>
    <t>2018-08-15T17:14:00Z</t>
  </si>
  <si>
    <t>2018-08-11T14:12:00Z</t>
  </si>
  <si>
    <t>Tumbleweed Fire</t>
  </si>
  <si>
    <t>2018-06-14T17:45:00Z</t>
  </si>
  <si>
    <t>2019-01-04T09:53:00Z</t>
  </si>
  <si>
    <t>2018-07-08T17:38:00Z</t>
  </si>
  <si>
    <t>2018-09-08T13:34:00Z</t>
  </si>
  <si>
    <t>2019-01-04T08:50:00Z</t>
  </si>
  <si>
    <t>2018-10-30T14:46:00Z</t>
  </si>
  <si>
    <t>2019-01-04T10:14:00Z</t>
  </si>
  <si>
    <t>Eastern Fire</t>
  </si>
  <si>
    <t>2018-06-04T17:30:00Z</t>
  </si>
  <si>
    <t>2018-07-06T23:39:00Z</t>
  </si>
  <si>
    <t>2019-01-04T10:20:00Z</t>
  </si>
  <si>
    <t>2018-05-30T13:21:00Z</t>
  </si>
  <si>
    <t>2019-01-04T09:59:00Z</t>
  </si>
  <si>
    <t>Hyatt Fire</t>
  </si>
  <si>
    <t>2018-06-27T15:09:00Z</t>
  </si>
  <si>
    <t>2019-01-04T09:04:00Z</t>
  </si>
  <si>
    <t>2018-09-13T15:37:00Z</t>
  </si>
  <si>
    <t>2019-06-21T08:51:41Z</t>
  </si>
  <si>
    <t>San Ardo</t>
  </si>
  <si>
    <t>2018-06-26T07:11:00Z</t>
  </si>
  <si>
    <t>Call Fire</t>
  </si>
  <si>
    <t>2018-08-18T15:17:00Z</t>
  </si>
  <si>
    <t>Pasqual Fire</t>
  </si>
  <si>
    <t>2018-07-27T13:28:00Z</t>
  </si>
  <si>
    <t>2018-09-22T15:44:00Z</t>
  </si>
  <si>
    <t>Shippee Fire</t>
  </si>
  <si>
    <t>2018-06-26T12:56:00Z</t>
  </si>
  <si>
    <t>2018-07-31T15:07:00Z</t>
  </si>
  <si>
    <t>Bascom Fire</t>
  </si>
  <si>
    <t>2018-06-23T12:54:00Z</t>
  </si>
  <si>
    <t>2018-07-22T13:06:00Z</t>
  </si>
  <si>
    <t>2019-01-04T09:56:00Z</t>
  </si>
  <si>
    <t>Shingle Fire</t>
  </si>
  <si>
    <t>2018-07-04T17:09:00Z</t>
  </si>
  <si>
    <t>2018-06-28T18:01:00Z</t>
  </si>
  <si>
    <t>ONeals Fire</t>
  </si>
  <si>
    <t>2018-06-04T17:44:00Z</t>
  </si>
  <si>
    <t>Alpha Fire</t>
  </si>
  <si>
    <t>2018-05-04T11:44:00Z</t>
  </si>
  <si>
    <t>2019-01-04T10:25:00Z</t>
  </si>
  <si>
    <t>Twisselman Fire</t>
  </si>
  <si>
    <t>2018-05-16T16:30:00Z</t>
  </si>
  <si>
    <t>South Fire</t>
  </si>
  <si>
    <t>2018-08-06T16:26:00Z</t>
  </si>
  <si>
    <t>2019-01-04T09:15:00Z</t>
  </si>
  <si>
    <t>2018-08-23T15:40:00Z</t>
  </si>
  <si>
    <t>2019-01-04T09:39:00Z</t>
  </si>
  <si>
    <t>Skyline Fire</t>
  </si>
  <si>
    <t>2018-07-19T17:22:00Z</t>
  </si>
  <si>
    <t>2019-01-04T09:49:00Z</t>
  </si>
  <si>
    <t>2018-07-11T16:40:00Z</t>
  </si>
  <si>
    <t>2018-06-29T16:06:00Z</t>
  </si>
  <si>
    <t>Stoll Fire</t>
  </si>
  <si>
    <t>2018-06-23T12:52:00Z</t>
  </si>
  <si>
    <t>2019-01-04T10:11:00Z</t>
  </si>
  <si>
    <t>Recycle Fire</t>
  </si>
  <si>
    <t>2018-06-06T09:46:00Z</t>
  </si>
  <si>
    <t>2019-01-04T08:59:00Z</t>
  </si>
  <si>
    <t>2018-09-28T13:08:00Z</t>
  </si>
  <si>
    <t>2019-01-04T10:00:00Z</t>
  </si>
  <si>
    <t>2018-06-26T11:16:00Z</t>
  </si>
  <si>
    <t>2019-01-03T09:44:00Z</t>
  </si>
  <si>
    <t>Santa Cruz Fire</t>
  </si>
  <si>
    <t>2018-03-27T14:45:00Z</t>
  </si>
  <si>
    <t>Rangeland Fire</t>
  </si>
  <si>
    <t>2018-08-09T13:09:00Z</t>
  </si>
  <si>
    <t>2019-01-04T09:34:00Z</t>
  </si>
  <si>
    <t>2018-07-25T14:41:00Z</t>
  </si>
  <si>
    <t>2019-01-04T09:44:00Z</t>
  </si>
  <si>
    <t>Steamboat Fire</t>
  </si>
  <si>
    <t>2018-07-15T09:58:00Z</t>
  </si>
  <si>
    <t>Petersburg Fire</t>
  </si>
  <si>
    <t>2018-07-01T18:13:00Z</t>
  </si>
  <si>
    <t>2019-01-04T10:07:00Z</t>
  </si>
  <si>
    <t>2018-06-12T15:06:00Z</t>
  </si>
  <si>
    <t>2019-01-04T09:31:00Z</t>
  </si>
  <si>
    <t>2018-07-28T15:14:00Z</t>
  </si>
  <si>
    <t>Ribbon Fire</t>
  </si>
  <si>
    <t>2018-07-26T10:12:00Z</t>
  </si>
  <si>
    <t>2018-09-12T11:25:00Z</t>
  </si>
  <si>
    <t>2018-06-07T18:04:00Z</t>
  </si>
  <si>
    <t>Par Fire</t>
  </si>
  <si>
    <t>2018-07-04T13:30:00Z</t>
  </si>
  <si>
    <t>2019-01-04T08:46:00Z</t>
  </si>
  <si>
    <t>2018-11-12T10:06:00Z</t>
  </si>
  <si>
    <t>2019-01-04T10:04:00Z</t>
  </si>
  <si>
    <t>2018-06-17T15:09:00Z</t>
  </si>
  <si>
    <t>2019-01-04T10:08:00Z</t>
  </si>
  <si>
    <t>2018-06-09T14:45:00Z</t>
  </si>
  <si>
    <t>2019-01-04T10:19:00Z</t>
  </si>
  <si>
    <t>Aliso Fire</t>
  </si>
  <si>
    <t>2018-06-02T13:07:00Z</t>
  </si>
  <si>
    <t>2019-01-04T09:12:00Z</t>
  </si>
  <si>
    <t>Ogilvy Fire</t>
  </si>
  <si>
    <t>2018-09-01T14:22:00Z</t>
  </si>
  <si>
    <t>2018-06-23T13:15:00Z</t>
  </si>
  <si>
    <t>2019-01-04T08:54:00Z</t>
  </si>
  <si>
    <t>Priest Fire</t>
  </si>
  <si>
    <t>2018-10-13T14:43:00Z</t>
  </si>
  <si>
    <t>2019-01-04T09:35:00Z</t>
  </si>
  <si>
    <t>Roxie Fire (Formerly 1-1 Fire)</t>
  </si>
  <si>
    <t>2018-07-24T16:02:00Z</t>
  </si>
  <si>
    <t>2019-01-04T09:05:00Z</t>
  </si>
  <si>
    <t>2018-09-09T12:10:00Z</t>
  </si>
  <si>
    <t>2018-06-24T13:54:00Z</t>
  </si>
  <si>
    <t>2019-01-04T08:55:00Z</t>
  </si>
  <si>
    <t>2018-10-12T11:21:00Z</t>
  </si>
  <si>
    <t>Gorge Fire</t>
  </si>
  <si>
    <t>2018-08-19T07:32:00Z</t>
  </si>
  <si>
    <t>Santiago Fire</t>
  </si>
  <si>
    <t>2018-06-11T17:04:00Z</t>
  </si>
  <si>
    <t>Euclid Fire</t>
  </si>
  <si>
    <t>2018-06-12T14:22:00Z</t>
  </si>
  <si>
    <t>Irving Fire</t>
  </si>
  <si>
    <t>2018-09-10T19:00:00Z</t>
  </si>
  <si>
    <t>2019-01-04T08:44:00Z</t>
  </si>
  <si>
    <t>2018-11-15T01:39:00Z</t>
  </si>
  <si>
    <t>2018-10-02T12:32:00Z</t>
  </si>
  <si>
    <t>Sliger Fire</t>
  </si>
  <si>
    <t>2018-09-04T15:03:00Z</t>
  </si>
  <si>
    <t>2019-01-04T08:45:00Z</t>
  </si>
  <si>
    <t>2018-11-13T08:19:00Z</t>
  </si>
  <si>
    <t>2019-01-04T09:24:00Z</t>
  </si>
  <si>
    <t>Parrots Fire</t>
  </si>
  <si>
    <t>2018-08-05T04:19:00Z</t>
  </si>
  <si>
    <t>2019-01-04T09:30:00Z</t>
  </si>
  <si>
    <t>Steele Fire</t>
  </si>
  <si>
    <t>2018-07-28T16:30:00Z</t>
  </si>
  <si>
    <t>Pico Fire</t>
  </si>
  <si>
    <t>2018-07-23T12:55:00Z</t>
  </si>
  <si>
    <t>Open Fire</t>
  </si>
  <si>
    <t>2018-06-01T15:20:00Z</t>
  </si>
  <si>
    <t>Shastina Fire</t>
  </si>
  <si>
    <t>2018-05-09T18:11:00Z</t>
  </si>
  <si>
    <t>Sterling</t>
  </si>
  <si>
    <t>2018-08-31T17:58:00Z</t>
  </si>
  <si>
    <t>2019-01-04T08:51:00Z</t>
  </si>
  <si>
    <t>Market Fire</t>
  </si>
  <si>
    <t>2018-10-24T12:18:00Z</t>
  </si>
  <si>
    <t>2019-01-04T09:22:00Z</t>
  </si>
  <si>
    <t>2018-08-07T02:11:00Z</t>
  </si>
  <si>
    <t>Idria Fire</t>
  </si>
  <si>
    <t>2018-07-12T12:57:00Z</t>
  </si>
  <si>
    <t>Bridle Fire</t>
  </si>
  <si>
    <t>2018-07-06T10:40:00Z</t>
  </si>
  <si>
    <t>2018-06-18T12:30:00Z</t>
  </si>
  <si>
    <t>2018-08-16T16:06:00Z</t>
  </si>
  <si>
    <t>2018-07-06T20:40:00Z</t>
  </si>
  <si>
    <t>2019-01-04T09:38:00Z</t>
  </si>
  <si>
    <t>Windmill Fire</t>
  </si>
  <si>
    <t>2018-07-20T14:23:00Z</t>
  </si>
  <si>
    <t>2019-01-04T10:22:00Z</t>
  </si>
  <si>
    <t>Cobble Fire</t>
  </si>
  <si>
    <t>2018-05-26T14:52:00Z</t>
  </si>
  <si>
    <t>Western Fire</t>
  </si>
  <si>
    <t>2018-08-01T15:53:00Z</t>
  </si>
  <si>
    <t>2019-01-04T09:14:00Z</t>
  </si>
  <si>
    <t>Cache Fire</t>
  </si>
  <si>
    <t>2018-08-26T18:04:00Z</t>
  </si>
  <si>
    <t>Jelly Fire</t>
  </si>
  <si>
    <t>2018-05-18T16:37:00Z</t>
  </si>
  <si>
    <t>2018-08-13T14:58:00Z</t>
  </si>
  <si>
    <t>Balch Fire</t>
  </si>
  <si>
    <t>2018-07-27T12:14:00Z</t>
  </si>
  <si>
    <t>Box Fire</t>
  </si>
  <si>
    <t>2018-07-06T09:36:00Z</t>
  </si>
  <si>
    <t>2018-05-24T10:43:00Z</t>
  </si>
  <si>
    <t>Sam Fire</t>
  </si>
  <si>
    <t>2018-06-09T15:31:00Z</t>
  </si>
  <si>
    <t>Sheep Fire</t>
  </si>
  <si>
    <t>2018-06-29T17:53:00Z</t>
  </si>
  <si>
    <t>Peach Fire</t>
  </si>
  <si>
    <t>2018-07-05T15:12:00Z</t>
  </si>
  <si>
    <t>2019-01-04T09:42:00Z</t>
  </si>
  <si>
    <t>3-16 Fire</t>
  </si>
  <si>
    <t>2018-07-15T18:54:00Z</t>
  </si>
  <si>
    <t>Horn Fire</t>
  </si>
  <si>
    <t>2018-11-08T11:25:00Z</t>
  </si>
  <si>
    <t>2019-01-04T09:13:00Z</t>
  </si>
  <si>
    <t>Redinger Fire</t>
  </si>
  <si>
    <t>2018-08-27T23:19:00Z</t>
  </si>
  <si>
    <t>Plaza Fire</t>
  </si>
  <si>
    <t>2018-05-20T13:07:00Z</t>
  </si>
  <si>
    <t>2019-01-04T08:58:00Z</t>
  </si>
  <si>
    <t>2018-09-29T09:30:00Z</t>
  </si>
  <si>
    <t>2019-01-04T09:51:00Z</t>
  </si>
  <si>
    <t>Spring 2 Fire</t>
  </si>
  <si>
    <t>2018-07-09T16:46:00Z</t>
  </si>
  <si>
    <t>2018-06-24T15:28:00Z</t>
  </si>
  <si>
    <t>Cruces Fire</t>
  </si>
  <si>
    <t>2018-07-18T11:55:00Z</t>
  </si>
  <si>
    <t>2018-09-28T14:44:00Z</t>
  </si>
  <si>
    <t>Anchor Fire</t>
  </si>
  <si>
    <t>2018-06-27T12:39:00Z</t>
  </si>
  <si>
    <t>Stony Fire</t>
  </si>
  <si>
    <t>2018-07-04T13:14:00Z</t>
  </si>
  <si>
    <t>2019-01-04T10:21:00Z</t>
  </si>
  <si>
    <t>2018-05-28T17:33:00Z</t>
  </si>
  <si>
    <t>Main Fire</t>
  </si>
  <si>
    <t>2018-04-28T14:26:00Z</t>
  </si>
  <si>
    <t>2019-01-04T09:50:00Z</t>
  </si>
  <si>
    <t>2018-07-10T15:08:00Z</t>
  </si>
  <si>
    <t>2018-06-29T20:59:00Z</t>
  </si>
  <si>
    <t>2018-06-13T21:06:00Z</t>
  </si>
  <si>
    <t>Tornado Fire</t>
  </si>
  <si>
    <t>2018-05-04T14:48:00Z</t>
  </si>
  <si>
    <t>Romero Fire</t>
  </si>
  <si>
    <t>2018-06-24T16:11:00Z</t>
  </si>
  <si>
    <t>Bumper Fire</t>
  </si>
  <si>
    <t>2018-08-01T13:57:00Z</t>
  </si>
  <si>
    <t>Heart Fire</t>
  </si>
  <si>
    <t>2018-07-21T16:22:00Z</t>
  </si>
  <si>
    <t>2019-01-04T09:27:00Z</t>
  </si>
  <si>
    <t>Omega Fire</t>
  </si>
  <si>
    <t>2018-08-01T14:40:00Z</t>
  </si>
  <si>
    <t>2019-01-04T10:13:00Z</t>
  </si>
  <si>
    <t>2018-06-04T23:17:00Z</t>
  </si>
  <si>
    <t>2018-10-07T12:57:00Z</t>
  </si>
  <si>
    <t>2018-07-20T13:26:00Z</t>
  </si>
  <si>
    <t>Benton Fire</t>
  </si>
  <si>
    <t>2018-07-04T14:20:00Z</t>
  </si>
  <si>
    <t>2018-06-27T19:46:00Z</t>
  </si>
  <si>
    <t>Stuhr Fire</t>
  </si>
  <si>
    <t>2018-05-29T12:58:00Z</t>
  </si>
  <si>
    <t>Lebec Fire</t>
  </si>
  <si>
    <t>2018-07-08T13:38:00Z</t>
  </si>
  <si>
    <t>2018-06-23T19:39:00Z</t>
  </si>
  <si>
    <t>2018-06-11T12:16:00Z</t>
  </si>
  <si>
    <t>Adams Fire</t>
  </si>
  <si>
    <t>2018-11-05T10:17:00Z</t>
  </si>
  <si>
    <t>2018-08-30T15:44:00Z</t>
  </si>
  <si>
    <t>Raymond Fire</t>
  </si>
  <si>
    <t>2018-06-15T11:46:00Z</t>
  </si>
  <si>
    <t>Creston FIre</t>
  </si>
  <si>
    <t>2018-06-14T17:23:00Z</t>
  </si>
  <si>
    <t>2018-06-13T12:38:00Z</t>
  </si>
  <si>
    <t>Happy Fire</t>
  </si>
  <si>
    <t>2018-05-17T12:53:00Z</t>
  </si>
  <si>
    <t>2019-01-04T10:23:00Z</t>
  </si>
  <si>
    <t>Agua Fire</t>
  </si>
  <si>
    <t>2018-05-22T14:13:00Z</t>
  </si>
  <si>
    <t>2019-01-04T08:52:00Z</t>
  </si>
  <si>
    <t>Camino Fire</t>
  </si>
  <si>
    <t>2018-10-19T14:10:00Z</t>
  </si>
  <si>
    <t>3-10 Fire</t>
  </si>
  <si>
    <t>2018-07-15T11:55:00Z</t>
  </si>
  <si>
    <t>Bruce Fire</t>
  </si>
  <si>
    <t>2018-07-08T16:45:00Z</t>
  </si>
  <si>
    <t>Experimental Fire</t>
  </si>
  <si>
    <t>2018-05-23T14:30:00Z</t>
  </si>
  <si>
    <t>2019-01-04T09:00:00Z</t>
  </si>
  <si>
    <t>Keenbrook Fire</t>
  </si>
  <si>
    <t>2018-09-26T10:56:00Z</t>
  </si>
  <si>
    <t>Copper Fire</t>
  </si>
  <si>
    <t>2018-09-22T14:41:00Z</t>
  </si>
  <si>
    <t>2019-01-04T10:05:00Z</t>
  </si>
  <si>
    <t>Boyer Fire</t>
  </si>
  <si>
    <t>2018-06-15T13:37:00Z</t>
  </si>
  <si>
    <t>Kelley Fire</t>
  </si>
  <si>
    <t>2018-07-14T20:46:00Z</t>
  </si>
  <si>
    <t>2018-09-16T08:34:00Z</t>
  </si>
  <si>
    <t>Crestline Fire</t>
  </si>
  <si>
    <t>2018-07-24T15:24:00Z</t>
  </si>
  <si>
    <t>Hale Fire</t>
  </si>
  <si>
    <t>2018-07-10T16:45:00Z</t>
  </si>
  <si>
    <t>Carder Fire</t>
  </si>
  <si>
    <t>2018-07-21T14:40:00Z</t>
  </si>
  <si>
    <t>2019-01-04T09:43:00Z</t>
  </si>
  <si>
    <t>Tuscan Fire</t>
  </si>
  <si>
    <t>2018-07-15T17:15:00Z</t>
  </si>
  <si>
    <t>Haycamp Fire</t>
  </si>
  <si>
    <t>2018-02-07T15:53:00Z</t>
  </si>
  <si>
    <t>2018-08-26T14:23:00Z</t>
  </si>
  <si>
    <t>Buckingham Fire</t>
  </si>
  <si>
    <t>2018-07-02T14:25:00Z</t>
  </si>
  <si>
    <t>Simmons Fire</t>
  </si>
  <si>
    <t>2018-07-19T12:00:00Z</t>
  </si>
  <si>
    <t>Martinez Fire</t>
  </si>
  <si>
    <t>2018-07-23T14:55:00Z</t>
  </si>
  <si>
    <t>2018-07-19T13:07:00Z</t>
  </si>
  <si>
    <t>Iron Fire</t>
  </si>
  <si>
    <t>2018-06-19T15:19:00Z</t>
  </si>
  <si>
    <t>2018-06-16T11:47:00Z</t>
  </si>
  <si>
    <t>2018-07-25T14:11:00Z</t>
  </si>
  <si>
    <t>2019-01-04T08:53:00Z</t>
  </si>
  <si>
    <t>Masonic Fire</t>
  </si>
  <si>
    <t>2018-10-14T11:33:00Z</t>
  </si>
  <si>
    <t>2019-01-04T10:16:00Z</t>
  </si>
  <si>
    <t>Adobe Fire</t>
  </si>
  <si>
    <t>2018-06-03T16:16:00Z</t>
  </si>
  <si>
    <t>Mustang Fire</t>
  </si>
  <si>
    <t>2018-07-21T15:01:00Z</t>
  </si>
  <si>
    <t>2019-01-04T10:17:00Z</t>
  </si>
  <si>
    <t>Martin Fire</t>
  </si>
  <si>
    <t>2018-06-03T16:14:00Z</t>
  </si>
  <si>
    <t>2019-01-04T09:11:00Z</t>
  </si>
  <si>
    <t>2018-09-02T14:02:00Z</t>
  </si>
  <si>
    <t>Winchester Fire</t>
  </si>
  <si>
    <t>2018-08-27T10:49:00Z</t>
  </si>
  <si>
    <t>2019-01-04T08:49:00Z</t>
  </si>
  <si>
    <t>Brushy Fire</t>
  </si>
  <si>
    <t>2018-11-08T11:58:00Z</t>
  </si>
  <si>
    <t>Terra Fire</t>
  </si>
  <si>
    <t>2018-08-06T14:19:00Z</t>
  </si>
  <si>
    <t>2018-07-29T16:22:00Z</t>
  </si>
  <si>
    <t>2018-06-03T15:09:00Z</t>
  </si>
  <si>
    <t>Marcel Fire</t>
  </si>
  <si>
    <t>2018-08-17T18:47:00Z</t>
  </si>
  <si>
    <t>2018-07-25T16:05:00Z</t>
  </si>
  <si>
    <t>Horse Creek Fire</t>
  </si>
  <si>
    <t>2018-07-19T16:25:00Z</t>
  </si>
  <si>
    <t>2019-01-04T09:01:00Z</t>
  </si>
  <si>
    <t>Nimshew Fire</t>
  </si>
  <si>
    <t>2018-09-24T00:41:00Z</t>
  </si>
  <si>
    <t>2018-07-14T20:40:00Z</t>
  </si>
  <si>
    <t>2018-06-30T12:12:00Z</t>
  </si>
  <si>
    <t>Wilcox Fire</t>
  </si>
  <si>
    <t>2018-02-18T13:45:00Z</t>
  </si>
  <si>
    <t>2019-01-04T09:47:00Z</t>
  </si>
  <si>
    <t>2018-10-02T15:45:00Z</t>
  </si>
  <si>
    <t>2018-08-25T11:58:00Z</t>
  </si>
  <si>
    <t>3-18 Fire</t>
  </si>
  <si>
    <t>2018-07-15T16:45:00Z</t>
  </si>
  <si>
    <t>2018-06-16T14:04:00Z</t>
  </si>
  <si>
    <t>2018-07-08T14:41:00Z</t>
  </si>
  <si>
    <t>2019-01-04T09:02:00Z</t>
  </si>
  <si>
    <t>2018-09-23T16:23:00Z</t>
  </si>
  <si>
    <t>Alhambra Fire</t>
  </si>
  <si>
    <t>2018-08-17T19:19:00Z</t>
  </si>
  <si>
    <t>2019-01-04T09:25:00Z</t>
  </si>
  <si>
    <t>2018-08-04T17:32:00Z</t>
  </si>
  <si>
    <t>Sobrante Fire</t>
  </si>
  <si>
    <t>2018-07-28T15:38:00Z</t>
  </si>
  <si>
    <t>2018-07-21T15:50:00Z</t>
  </si>
  <si>
    <t>2018-06-29T15:46:00Z</t>
  </si>
  <si>
    <t>2019-01-03T09:46:00Z</t>
  </si>
  <si>
    <t>Aqueduct Fire</t>
  </si>
  <si>
    <t>2018-04-12T14:30:00Z</t>
  </si>
  <si>
    <t>2019-01-04T09:41:00Z</t>
  </si>
  <si>
    <t>2018-07-17T14:05:00Z</t>
  </si>
  <si>
    <t>Ager Fire</t>
  </si>
  <si>
    <t>2018-05-19T13:04:00Z</t>
  </si>
  <si>
    <t>2018-05-18T11:00:00Z</t>
  </si>
  <si>
    <t>Soboba Fire</t>
  </si>
  <si>
    <t>2018-09-14T19:32:00Z</t>
  </si>
  <si>
    <t>2018-06-16T15:10:00Z</t>
  </si>
  <si>
    <t>Vineyard Fire</t>
  </si>
  <si>
    <t>2018-05-29T13:11:00Z</t>
  </si>
  <si>
    <t>Kelsey Fire</t>
  </si>
  <si>
    <t>2018-09-03T13:58:00Z</t>
  </si>
  <si>
    <t>Land Fire</t>
  </si>
  <si>
    <t>2018-08-22T13:45:00Z</t>
  </si>
  <si>
    <t>Glen Fire</t>
  </si>
  <si>
    <t>2018-06-02T12:42:00Z</t>
  </si>
  <si>
    <t>Plymire Fire</t>
  </si>
  <si>
    <t>2018-06-01T16:07:00Z</t>
  </si>
  <si>
    <t>Wagner Fire</t>
  </si>
  <si>
    <t>2018-08-04T13:57:00Z</t>
  </si>
  <si>
    <t>2018-04-09T18:18:00Z</t>
  </si>
  <si>
    <t>2018-11-15T13:31:00Z</t>
  </si>
  <si>
    <t>Niles Fire</t>
  </si>
  <si>
    <t>2018-11-14T14:56:00Z</t>
  </si>
  <si>
    <t>2018-07-25T16:14:00Z</t>
  </si>
  <si>
    <t>Vallecitos Fire</t>
  </si>
  <si>
    <t>2018-06-17T15:56:00Z</t>
  </si>
  <si>
    <t>2018-06-14T17:02:00Z</t>
  </si>
  <si>
    <t>2018-06-14T15:18:00Z</t>
  </si>
  <si>
    <t>2018-06-12T14:56:00Z</t>
  </si>
  <si>
    <t>2019-01-04T10:27:00Z</t>
  </si>
  <si>
    <t>2018-04-26T15:00:00Z</t>
  </si>
  <si>
    <t>Jacques Fire</t>
  </si>
  <si>
    <t>2018-05-09T22:00:00Z</t>
  </si>
  <si>
    <t>2019-01-03T13:10:00Z</t>
  </si>
  <si>
    <t>2018-04-22T13:35:00Z</t>
  </si>
  <si>
    <t>2018-11-03T21:28:00Z</t>
  </si>
  <si>
    <t>2018-06-17T13:58:00Z</t>
  </si>
  <si>
    <t>Ethanac Fire</t>
  </si>
  <si>
    <t>2018-06-03T14:17:00Z</t>
  </si>
  <si>
    <t>2018-08-12T14:20:00Z</t>
  </si>
  <si>
    <t>Johnson Fire</t>
  </si>
  <si>
    <t>2018-07-15T16:14:00Z</t>
  </si>
  <si>
    <t>Keeler Fire</t>
  </si>
  <si>
    <t>2018-05-27T17:05:00Z</t>
  </si>
  <si>
    <t>Iron Gate Fire</t>
  </si>
  <si>
    <t>2018-10-10T21:50:00Z</t>
  </si>
  <si>
    <t>Essex Fire</t>
  </si>
  <si>
    <t>2018-09-02T14:53:00Z</t>
  </si>
  <si>
    <t>Woodchuck Fire</t>
  </si>
  <si>
    <t>2018-05-04T18:53:00Z</t>
  </si>
  <si>
    <t>2018-04-15T04:38:00Z</t>
  </si>
  <si>
    <t>Casner Fire</t>
  </si>
  <si>
    <t>2018-08-06T10:31:00Z</t>
  </si>
  <si>
    <t>2018-07-17T11:13:00Z</t>
  </si>
  <si>
    <t>2019-01-04T09:45:00Z</t>
  </si>
  <si>
    <t>3-2 Fire</t>
  </si>
  <si>
    <t>2018-07-14T15:00:00Z</t>
  </si>
  <si>
    <t>Madison FIre</t>
  </si>
  <si>
    <t>2018-06-01T13:31:00Z</t>
  </si>
  <si>
    <t>Ranchera Fire</t>
  </si>
  <si>
    <t>2018-09-04T14:43:00Z</t>
  </si>
  <si>
    <t>Cinnamon Fire</t>
  </si>
  <si>
    <t>2018-07-20T13:07:00Z</t>
  </si>
  <si>
    <t>2019-01-04T10:18:00Z</t>
  </si>
  <si>
    <t>Coldwell Fire</t>
  </si>
  <si>
    <t>2018-06-02T09:55:00Z</t>
  </si>
  <si>
    <t>2018-10-14T06:45:00Z</t>
  </si>
  <si>
    <t>2018-09-20T12:39:00Z</t>
  </si>
  <si>
    <t>Gray Fire</t>
  </si>
  <si>
    <t>2018-07-13T14:32:00Z</t>
  </si>
  <si>
    <t>School Fire</t>
  </si>
  <si>
    <t>2018-07-10T17:31:00Z</t>
  </si>
  <si>
    <t>2018-06-09T15:30:00Z</t>
  </si>
  <si>
    <t>2018-06-05T13:45:00Z</t>
  </si>
  <si>
    <t>Meamber Fire</t>
  </si>
  <si>
    <t>2018-06-04T15:08:00Z</t>
  </si>
  <si>
    <t>Resort Fire</t>
  </si>
  <si>
    <t>2018-06-03T16:11:00Z</t>
  </si>
  <si>
    <t>Bellagio Fire</t>
  </si>
  <si>
    <t>2018-05-21T11:56:00Z</t>
  </si>
  <si>
    <t>2018-05-14T13:06:00Z</t>
  </si>
  <si>
    <t>Volcan Fire</t>
  </si>
  <si>
    <t>2018-05-10T20:41:00Z</t>
  </si>
  <si>
    <t>Dark Fire</t>
  </si>
  <si>
    <t>2018-07-10T12:42:00Z</t>
  </si>
  <si>
    <t>Cornerstone Fire</t>
  </si>
  <si>
    <t>2018-07-09T17:54:00Z</t>
  </si>
  <si>
    <t>Grande Fire</t>
  </si>
  <si>
    <t>2018-06-03T13:38:00Z</t>
  </si>
  <si>
    <t>2019-01-03T09:45:00Z</t>
  </si>
  <si>
    <t>2018-03-27T16:20:00Z</t>
  </si>
  <si>
    <t>2018-11-16T11:01:00Z</t>
  </si>
  <si>
    <t>Green Hill Fire</t>
  </si>
  <si>
    <t>2018-11-12T17:39:00Z</t>
  </si>
  <si>
    <t>Powellton Fire</t>
  </si>
  <si>
    <t>2018-10-15T11:57:00Z</t>
  </si>
  <si>
    <t>Keller Fire</t>
  </si>
  <si>
    <t>2018-08-19T15:55:00Z</t>
  </si>
  <si>
    <t>Syar Fire</t>
  </si>
  <si>
    <t>2018-08-09T14:21:00Z</t>
  </si>
  <si>
    <t>Lott Fire</t>
  </si>
  <si>
    <t>2018-07-17T19:03:00Z</t>
  </si>
  <si>
    <t>Building Fire</t>
  </si>
  <si>
    <t>2018-07-06T10:11:00Z</t>
  </si>
  <si>
    <t>Llano Fire</t>
  </si>
  <si>
    <t>2018-06-29T11:44:00Z</t>
  </si>
  <si>
    <t>2018-06-21T16:45:00Z</t>
  </si>
  <si>
    <t>Ranchita Fire</t>
  </si>
  <si>
    <t>2018-06-19T16:06:00Z</t>
  </si>
  <si>
    <t>2019-01-04T10:12:00Z</t>
  </si>
  <si>
    <t>Pallet Fire</t>
  </si>
  <si>
    <t>2018-06-05T13:03:00Z</t>
  </si>
  <si>
    <t>2018-06-03T18:23:00Z</t>
  </si>
  <si>
    <t>2018-06-03T08:55:00Z</t>
  </si>
  <si>
    <t>Jardin Fire</t>
  </si>
  <si>
    <t>2018-06-02T15:53:00Z</t>
  </si>
  <si>
    <t>70th Fire</t>
  </si>
  <si>
    <t>2018-05-28T07:23:00Z</t>
  </si>
  <si>
    <t>Honey Flooding</t>
  </si>
  <si>
    <t>2018-11-29T23:30:00Z</t>
  </si>
  <si>
    <t>2019-01-03T15:23:00Z</t>
  </si>
  <si>
    <t>2018-04-24T16:59:00Z</t>
  </si>
  <si>
    <t>Montecito Flooding / Mudflows</t>
  </si>
  <si>
    <t>2018-01-09T04:00:00Z</t>
  </si>
  <si>
    <t>2019-11-02T18:57:00Z</t>
  </si>
  <si>
    <t>Easy Fire</t>
  </si>
  <si>
    <t>2019-10-30T07:45:14Z</t>
  </si>
  <si>
    <t>Gaines Fire</t>
  </si>
  <si>
    <t>2019-08-16T14:11:02Z</t>
  </si>
  <si>
    <t>Sandalwood Fire</t>
  </si>
  <si>
    <t>2019-10-10T15:38:44Z</t>
  </si>
  <si>
    <t>2019-10-28T07:22:00Z</t>
  </si>
  <si>
    <t>Rawson Fire</t>
  </si>
  <si>
    <t>2019-10-27T02:47:20Z</t>
  </si>
  <si>
    <t>2019-11-02T18:44:00Z</t>
  </si>
  <si>
    <t>2019-10-30T11:19:00Z</t>
  </si>
  <si>
    <t>Foothills Fire</t>
  </si>
  <si>
    <t>2019-11-25T12:39:44Z</t>
  </si>
  <si>
    <t>2019-10-11T07:30:00Z</t>
  </si>
  <si>
    <t>Cross Fire</t>
  </si>
  <si>
    <t>2019-10-09T06:52:14Z</t>
  </si>
  <si>
    <t>2019-07-21T12:01:40Z</t>
  </si>
  <si>
    <t>2019-10-19T15:00:00Z</t>
  </si>
  <si>
    <t>2019-10-18T12:17:32Z</t>
  </si>
  <si>
    <t>3-2 Willow (Previously H-1 Fire)</t>
  </si>
  <si>
    <t>2019-08-07T18:48:57Z</t>
  </si>
  <si>
    <t>2019-10-12T17:22:00Z</t>
  </si>
  <si>
    <t>Wolf Fire</t>
  </si>
  <si>
    <t>2019-10-10T18:36:46Z</t>
  </si>
  <si>
    <t>2019-10-10T12:00:00Z</t>
  </si>
  <si>
    <t>Merrill Fire</t>
  </si>
  <si>
    <t>2019-10-10T06:42:19Z</t>
  </si>
  <si>
    <t>2019-10-27T18:05:00Z</t>
  </si>
  <si>
    <t>2019-10-25T15:05:52Z</t>
  </si>
  <si>
    <t>2019-10-27T13:55:00Z</t>
  </si>
  <si>
    <t>2019-10-24T23:16:18Z</t>
  </si>
  <si>
    <t>2019-07-18T10:29:00Z</t>
  </si>
  <si>
    <t>Rains Fire</t>
  </si>
  <si>
    <t>2019-07-18T09:07:57Z</t>
  </si>
  <si>
    <t>2019-07-12T19:08:54Z</t>
  </si>
  <si>
    <t>2019-07-20T08:56:00Z</t>
  </si>
  <si>
    <t>Whiskey Fire</t>
  </si>
  <si>
    <t>2019-07-18T18:31:00Z</t>
  </si>
  <si>
    <t>2019-08-04T06:39:00Z</t>
  </si>
  <si>
    <t>La Barisa Fire</t>
  </si>
  <si>
    <t>2019-08-03T17:22:51Z</t>
  </si>
  <si>
    <t>2019-07-18T15:58:00Z</t>
  </si>
  <si>
    <t>2019-07-17T17:42:04Z</t>
  </si>
  <si>
    <t>2019-09-29T21:35:00Z</t>
  </si>
  <si>
    <t>Chaparral Fire</t>
  </si>
  <si>
    <t>2019-09-29T21:44:45Z</t>
  </si>
  <si>
    <t>2019-07-12T19:20:00Z</t>
  </si>
  <si>
    <t>Mid Fire</t>
  </si>
  <si>
    <t>2019-07-12T18:40:09Z</t>
  </si>
  <si>
    <t>Nustar Fire</t>
  </si>
  <si>
    <t>2019-10-15T16:17:18Z</t>
  </si>
  <si>
    <t>2019-08-27T08:54:00Z</t>
  </si>
  <si>
    <t>2019-08-27T11:33:56Z</t>
  </si>
  <si>
    <t>2019-10-04T18:38:09Z</t>
  </si>
  <si>
    <t>2019-09-06T19:48:00Z</t>
  </si>
  <si>
    <t>2019-09-03T15:36:45Z</t>
  </si>
  <si>
    <t>2019-11-06T19:00:00Z</t>
  </si>
  <si>
    <t>Kincade Fire</t>
  </si>
  <si>
    <t>2019-10-23T21:27:00Z</t>
  </si>
  <si>
    <t>2019-09-04T15:17:31Z</t>
  </si>
  <si>
    <t>2019-08-11T12:16:00Z</t>
  </si>
  <si>
    <t>Tucker Fire</t>
  </si>
  <si>
    <t>2019-07-28T15:58:00Z</t>
  </si>
  <si>
    <t>2019-11-21T16:09:00Z</t>
  </si>
  <si>
    <t>Taboose Fire</t>
  </si>
  <si>
    <t>2019-09-06T12:43:35Z</t>
  </si>
  <si>
    <t>2019-11-06T18:00:00Z</t>
  </si>
  <si>
    <t>2019-10-31T20:58:28Z</t>
  </si>
  <si>
    <t>2019-09-13T19:00:00Z</t>
  </si>
  <si>
    <t>Red Bank Fire</t>
  </si>
  <si>
    <t>2019-09-05T13:19:56Z</t>
  </si>
  <si>
    <t>2019-10-31T09:10:00Z</t>
  </si>
  <si>
    <t>Saddle Ridge Fire</t>
  </si>
  <si>
    <t>2019-10-10T21:02:00Z</t>
  </si>
  <si>
    <t>2019-09-13T07:19:00Z</t>
  </si>
  <si>
    <t>2019-09-06T11:34:27Z</t>
  </si>
  <si>
    <t>Briceburg Fire</t>
  </si>
  <si>
    <t>2019-10-06T16:15:12Z</t>
  </si>
  <si>
    <t>2019-12-02T16:12:00Z</t>
  </si>
  <si>
    <t>2019-09-05T19:59:46Z</t>
  </si>
  <si>
    <t>2019-09-06T11:24:11Z</t>
  </si>
  <si>
    <t>Tick Fire</t>
  </si>
  <si>
    <t>2019-10-24T14:51:46Z</t>
  </si>
  <si>
    <t>Caples Fire</t>
  </si>
  <si>
    <t>2019-10-11T12:47:59Z</t>
  </si>
  <si>
    <t>2019-09-04T16:22:00Z</t>
  </si>
  <si>
    <t>R-1 Fire</t>
  </si>
  <si>
    <t>2019-08-28T19:48:14Z</t>
  </si>
  <si>
    <t>2019-12-14T08:22:00Z</t>
  </si>
  <si>
    <t>Cave Fire (No Longer a CAL FIRE Incident)</t>
  </si>
  <si>
    <t>2019-11-25T19:59:12Z</t>
  </si>
  <si>
    <t>2019-06-26T18:02:00Z</t>
  </si>
  <si>
    <t>2019-06-26T09:18:22Z</t>
  </si>
  <si>
    <t>2019-11-14T18:02:00Z</t>
  </si>
  <si>
    <t>2019-11-03T14:16:17Z</t>
  </si>
  <si>
    <t>2019-06-17T10:40:00Z</t>
  </si>
  <si>
    <t>2019-06-08T14:50:00Z</t>
  </si>
  <si>
    <t>2019-05-09T09:37:00Z</t>
  </si>
  <si>
    <t>2019-05-07T15:47:00Z</t>
  </si>
  <si>
    <t>2019-08-27T09:01:00Z</t>
  </si>
  <si>
    <t>2019-08-24T17:25:04Z</t>
  </si>
  <si>
    <t>2019-06-27T19:06:00Z</t>
  </si>
  <si>
    <t>2019-06-26T08:54:24Z</t>
  </si>
  <si>
    <t>2019-11-21T16:08:00Z</t>
  </si>
  <si>
    <t>2019-09-06T12:23:00Z</t>
  </si>
  <si>
    <t>2019-09-14T19:00:00Z</t>
  </si>
  <si>
    <t>Tenaja</t>
  </si>
  <si>
    <t>2019-09-04T16:43:36Z</t>
  </si>
  <si>
    <t>Lime Fire</t>
  </si>
  <si>
    <t>2019-09-07T08:36:32Z</t>
  </si>
  <si>
    <t>2019-06-24T10:25:00Z</t>
  </si>
  <si>
    <t>McMillan Fire</t>
  </si>
  <si>
    <t>2019-06-12T12:48:00Z</t>
  </si>
  <si>
    <t>Mexico</t>
  </si>
  <si>
    <t>2019-08-17T14:30:00Z</t>
  </si>
  <si>
    <t>Border 8 Fire</t>
  </si>
  <si>
    <t>2019-08-16T06:14:55Z</t>
  </si>
  <si>
    <t>2019-06-17T15:16:00Z</t>
  </si>
  <si>
    <t>West Butte Fire</t>
  </si>
  <si>
    <t>2019-06-08T14:37:00Z</t>
  </si>
  <si>
    <t>State of Oregon</t>
  </si>
  <si>
    <t>2019-08-18T16:33:00Z</t>
  </si>
  <si>
    <t>2019-08-09T23:08:25Z</t>
  </si>
  <si>
    <t>State of Nevada</t>
  </si>
  <si>
    <t>2019-07-16T08:50:00Z</t>
  </si>
  <si>
    <t>2019-07-13T18:42:22Z</t>
  </si>
  <si>
    <t>2019-06-11T14:49:00Z</t>
  </si>
  <si>
    <t>Boulder Fire</t>
  </si>
  <si>
    <t>2019-06-05T10:49:00Z</t>
  </si>
  <si>
    <t>2019-08-11T11:35:00Z</t>
  </si>
  <si>
    <t>W1 McDonald Fire</t>
  </si>
  <si>
    <t>2019-08-08T18:42:41Z</t>
  </si>
  <si>
    <t>2019-07-09T18:22:00Z</t>
  </si>
  <si>
    <t>Gillis Fire</t>
  </si>
  <si>
    <t>2019-07-08T16:44:08Z</t>
  </si>
  <si>
    <t>2019-06-03T08:44:00Z</t>
  </si>
  <si>
    <t>Belmont Fire</t>
  </si>
  <si>
    <t>2019-05-29T17:10:00Z</t>
  </si>
  <si>
    <t>2019-08-06T18:42:00Z</t>
  </si>
  <si>
    <t>Marsh Complex</t>
  </si>
  <si>
    <t>2019-08-03T03:16:00Z</t>
  </si>
  <si>
    <t>2019-08-31T15:31:59Z</t>
  </si>
  <si>
    <t>2019-11-05T17:30:00Z</t>
  </si>
  <si>
    <t>Getty Fire</t>
  </si>
  <si>
    <t>2019-10-28T06:46:55Z</t>
  </si>
  <si>
    <t>2019-11-03T18:52:00Z</t>
  </si>
  <si>
    <t>Burris Fire</t>
  </si>
  <si>
    <t>2019-10-27T14:54:40Z</t>
  </si>
  <si>
    <t>Baseline Fire</t>
  </si>
  <si>
    <t>2019-09-20T15:02:08Z</t>
  </si>
  <si>
    <t>2019-08-26T17:00:00Z</t>
  </si>
  <si>
    <t>2019-08-22T11:02:09Z</t>
  </si>
  <si>
    <t>2019-06-11T17:14:00Z</t>
  </si>
  <si>
    <t>2019-06-07T16:55:00Z</t>
  </si>
  <si>
    <t>2019-10-07T18:34:00Z</t>
  </si>
  <si>
    <t>2019-10-06T16:36:50Z</t>
  </si>
  <si>
    <t>2019-06-24T11:43:00Z</t>
  </si>
  <si>
    <t>Jerry Fire</t>
  </si>
  <si>
    <t>2019-06-21T13:02:00Z</t>
  </si>
  <si>
    <t>Horseshoe Fire</t>
  </si>
  <si>
    <t>2019-09-14T17:53:00Z</t>
  </si>
  <si>
    <t>2019-09-07T15:06:00Z</t>
  </si>
  <si>
    <t>2019-08-03T09:10:00Z</t>
  </si>
  <si>
    <t>Caliente Fire</t>
  </si>
  <si>
    <t>2019-08-01T14:53:15Z</t>
  </si>
  <si>
    <t>2019-07-31T17:13:53Z</t>
  </si>
  <si>
    <t>Hunter Fire</t>
  </si>
  <si>
    <t>2019-08-15T15:15:56Z</t>
  </si>
  <si>
    <t>2019-10-21T06:00:00Z</t>
  </si>
  <si>
    <t>Real Fire</t>
  </si>
  <si>
    <t>2019-10-17T16:31:00Z</t>
  </si>
  <si>
    <t>Broder Fire</t>
  </si>
  <si>
    <t>2019-09-06T12:39:18Z</t>
  </si>
  <si>
    <t>2019-10-13T07:30:00Z</t>
  </si>
  <si>
    <t>Reche Fire</t>
  </si>
  <si>
    <t>2019-10-10T14:18:17Z</t>
  </si>
  <si>
    <t>2019-11-03T16:15:00Z</t>
  </si>
  <si>
    <t>46 Fire</t>
  </si>
  <si>
    <t>2019-10-31T06:22:34Z</t>
  </si>
  <si>
    <t>2019-07-29T15:43:48Z</t>
  </si>
  <si>
    <t>2019-09-28T18:40:00Z</t>
  </si>
  <si>
    <t>Hwy Fire</t>
  </si>
  <si>
    <t>2019-09-28T17:48:10Z</t>
  </si>
  <si>
    <t>2019-07-05T07:50:00Z</t>
  </si>
  <si>
    <t>Hollow Fire</t>
  </si>
  <si>
    <t>2019-07-03T15:34:12Z</t>
  </si>
  <si>
    <t>2019-09-12T10:08:00Z</t>
  </si>
  <si>
    <t>Rams Horn Fire</t>
  </si>
  <si>
    <t>2019-09-07T08:49:58Z</t>
  </si>
  <si>
    <t>2019-08-12T08:20:00Z</t>
  </si>
  <si>
    <t>2019-07-30T13:28:17Z</t>
  </si>
  <si>
    <t>2019-09-05T08:14:00Z</t>
  </si>
  <si>
    <t>Snail Fire</t>
  </si>
  <si>
    <t>2019-09-01T17:37:43Z</t>
  </si>
  <si>
    <t>2019-07-06T07:49:00Z</t>
  </si>
  <si>
    <t>Snowstorm Fire</t>
  </si>
  <si>
    <t>2019-07-05T16:37:04Z</t>
  </si>
  <si>
    <t>2019-09-11T18:30:00Z</t>
  </si>
  <si>
    <t>R-6 Fire</t>
  </si>
  <si>
    <t>2019-09-06T13:20:00Z</t>
  </si>
  <si>
    <t>2019-06-11T14:48:00Z</t>
  </si>
  <si>
    <t>Citrus Fire</t>
  </si>
  <si>
    <t>2019-06-02T16:12:00Z</t>
  </si>
  <si>
    <t>2019-09-08T18:00:00Z</t>
  </si>
  <si>
    <t>Sycamore Fire</t>
  </si>
  <si>
    <t>2019-09-07T20:31:46Z</t>
  </si>
  <si>
    <t>2019-09-18T12:17:00Z</t>
  </si>
  <si>
    <t>Henthorne Fire</t>
  </si>
  <si>
    <t>2019-09-05T09:25:00Z</t>
  </si>
  <si>
    <t>2019-07-08T15:30:14Z</t>
  </si>
  <si>
    <t>Harte Fire</t>
  </si>
  <si>
    <t>2019-08-09T15:09:50Z</t>
  </si>
  <si>
    <t>2019-09-26T08:00:00Z</t>
  </si>
  <si>
    <t>Kidder 2 Fire</t>
  </si>
  <si>
    <t>2019-09-07T08:47:46Z</t>
  </si>
  <si>
    <t>2019-08-17T18:15:00Z</t>
  </si>
  <si>
    <t>Moose Fire</t>
  </si>
  <si>
    <t>2019-08-12T17:10:00Z</t>
  </si>
  <si>
    <t>2019-09-27T18:00:00Z</t>
  </si>
  <si>
    <t>Lopez Fire</t>
  </si>
  <si>
    <t>2019-09-21T14:26:00Z</t>
  </si>
  <si>
    <t>2019-06-30T15:51:00Z</t>
  </si>
  <si>
    <t>2019-06-29T12:54:13Z</t>
  </si>
  <si>
    <t>2019-07-16T06:49:00Z</t>
  </si>
  <si>
    <t>Madera Fire</t>
  </si>
  <si>
    <t>2019-07-15T18:19:31Z</t>
  </si>
  <si>
    <t>2019-07-02T15:51:00Z</t>
  </si>
  <si>
    <t>Merced Fire</t>
  </si>
  <si>
    <t>2019-06-29T15:09:52Z</t>
  </si>
  <si>
    <t>2019-06-11T17:17:00Z</t>
  </si>
  <si>
    <t>Malech Fire</t>
  </si>
  <si>
    <t>2019-06-09T14:29:00Z</t>
  </si>
  <si>
    <t>Tejon Fire</t>
  </si>
  <si>
    <t>2019-07-21T15:30:17Z</t>
  </si>
  <si>
    <t>2019-06-24T16:56:00Z</t>
  </si>
  <si>
    <t>Lumgrey Fire</t>
  </si>
  <si>
    <t>2019-06-17T17:50:00Z</t>
  </si>
  <si>
    <t>2019-07-16T06:48:00Z</t>
  </si>
  <si>
    <t>2019-07-15T10:49:00Z</t>
  </si>
  <si>
    <t>2019-11-05T09:03:00Z</t>
  </si>
  <si>
    <t>Hillside Fire</t>
  </si>
  <si>
    <t>2019-10-31T06:53:47Z</t>
  </si>
  <si>
    <t>2019-10-28T16:26:00Z</t>
  </si>
  <si>
    <t>Cypress Complex</t>
  </si>
  <si>
    <t>2019-10-27T08:50:23Z</t>
  </si>
  <si>
    <t>2019-10-12T18:00:00Z</t>
  </si>
  <si>
    <t>Olivas Fire</t>
  </si>
  <si>
    <t>2019-10-11T15:57:10Z</t>
  </si>
  <si>
    <t>2019-09-24T15:00:00Z</t>
  </si>
  <si>
    <t>2019-09-14T08:00:00Z</t>
  </si>
  <si>
    <t>McMurray Fire</t>
  </si>
  <si>
    <t>2019-09-09T17:42:43Z</t>
  </si>
  <si>
    <t>2019-07-16T09:00:00Z</t>
  </si>
  <si>
    <t>Doyle Fire</t>
  </si>
  <si>
    <t>2019-07-14T14:02:31Z</t>
  </si>
  <si>
    <t>2019-09-11T11:25:43Z</t>
  </si>
  <si>
    <t>2019-07-10T16:04:00Z</t>
  </si>
  <si>
    <t>Sargent Fire</t>
  </si>
  <si>
    <t>2019-07-09T21:43:36Z</t>
  </si>
  <si>
    <t>Marshview Fire</t>
  </si>
  <si>
    <t>2019-07-24T12:28:45Z</t>
  </si>
  <si>
    <t>2019-05-08T08:48:00Z</t>
  </si>
  <si>
    <t>Vulcan Fire</t>
  </si>
  <si>
    <t>2019-05-03T15:04:00Z</t>
  </si>
  <si>
    <t>2019-09-22T18:00:00Z</t>
  </si>
  <si>
    <t>Bautista Fire</t>
  </si>
  <si>
    <t>2019-09-15T20:13:05Z</t>
  </si>
  <si>
    <t>2019-09-03T07:11:00Z</t>
  </si>
  <si>
    <t>2019-09-02T15:40:37Z</t>
  </si>
  <si>
    <t>2019-06-24T11:45:00Z</t>
  </si>
  <si>
    <t>2019-04-28T22:20:00Z</t>
  </si>
  <si>
    <t>2019-08-17T18:43:00Z</t>
  </si>
  <si>
    <t>Cottage Fire</t>
  </si>
  <si>
    <t>2019-08-15T15:09:55Z</t>
  </si>
  <si>
    <t>2019-08-05T12:25:00Z</t>
  </si>
  <si>
    <t>2019-08-03T17:01:15Z</t>
  </si>
  <si>
    <t>Star Fire</t>
  </si>
  <si>
    <t>2019-07-28T13:20:11Z</t>
  </si>
  <si>
    <t>Spruce Fire</t>
  </si>
  <si>
    <t>2019-06-01T15:49:00Z</t>
  </si>
  <si>
    <t>2019-10-28T16:30:00Z</t>
  </si>
  <si>
    <t>2019-10-27T11:29:03Z</t>
  </si>
  <si>
    <t>2019-07-28T19:51:55Z</t>
  </si>
  <si>
    <t>2019-06-27T08:26:00Z</t>
  </si>
  <si>
    <t>Dyer Fire</t>
  </si>
  <si>
    <t>2019-06-26T22:43:07Z</t>
  </si>
  <si>
    <t>Old Water Fire</t>
  </si>
  <si>
    <t>2019-10-24T04:53:17Z</t>
  </si>
  <si>
    <t>2019-06-11T14:40:00Z</t>
  </si>
  <si>
    <t>2019-05-30T16:19:00Z</t>
  </si>
  <si>
    <t>2019-10-28T16:28:00Z</t>
  </si>
  <si>
    <t>Glencove Fire</t>
  </si>
  <si>
    <t>2019-10-27T11:52:15Z</t>
  </si>
  <si>
    <t>2019-08-21T18:27:00Z</t>
  </si>
  <si>
    <t>2019-08-21T17:56:05Z</t>
  </si>
  <si>
    <t>2019-08-27T10:44:00Z</t>
  </si>
  <si>
    <t>2019-08-24T16:33:58Z</t>
  </si>
  <si>
    <t>2019-07-15T14:10:00Z</t>
  </si>
  <si>
    <t>2019-07-14T11:45:00Z</t>
  </si>
  <si>
    <t>2019-08-07T17:21:13Z</t>
  </si>
  <si>
    <t>Usal Fire</t>
  </si>
  <si>
    <t>2019-07-27T23:36:00Z</t>
  </si>
  <si>
    <t>2019-05-24T14:23:00Z</t>
  </si>
  <si>
    <t>Shady Fire</t>
  </si>
  <si>
    <t>2019-05-18T22:53:00Z</t>
  </si>
  <si>
    <t>2019-09-24T18:00:00Z</t>
  </si>
  <si>
    <t>2019-09-21T11:49:00Z</t>
  </si>
  <si>
    <t>2019-07-20T09:05:00Z</t>
  </si>
  <si>
    <t>Goose 2 Fire</t>
  </si>
  <si>
    <t>2019-07-17T16:13:41Z</t>
  </si>
  <si>
    <t>2019-06-05T15:07:00Z</t>
  </si>
  <si>
    <t>2019-05-29T17:18:00Z</t>
  </si>
  <si>
    <t>2019-06-21T14:22:00Z</t>
  </si>
  <si>
    <t>Weisgarber Fire</t>
  </si>
  <si>
    <t>2019-06-20T14:56:00Z</t>
  </si>
  <si>
    <t>2019-06-11T17:18:00Z</t>
  </si>
  <si>
    <t>Bitter Fire</t>
  </si>
  <si>
    <t>2019-06-10T11:55:00Z</t>
  </si>
  <si>
    <t>2019-05-08T08:47:00Z</t>
  </si>
  <si>
    <t>Woody Fire</t>
  </si>
  <si>
    <t>2019-04-30T18:37:00Z</t>
  </si>
  <si>
    <t>2019-08-13T14:37:54Z</t>
  </si>
  <si>
    <t>2019-08-02T21:39:00Z</t>
  </si>
  <si>
    <t>Meadow Fire (Not a CAL FIRE incident)</t>
  </si>
  <si>
    <t>2019-08-02T16:53:18Z</t>
  </si>
  <si>
    <t>2019-08-05T12:27:00Z</t>
  </si>
  <si>
    <t>2019-07-28T22:39:05Z</t>
  </si>
  <si>
    <t>2019-07-15T17:10:00Z</t>
  </si>
  <si>
    <t>2019-07-12T13:20:39Z</t>
  </si>
  <si>
    <t>2019-09-22T17:00:00Z</t>
  </si>
  <si>
    <t>Kennedy Fire</t>
  </si>
  <si>
    <t>2019-09-21T17:22:00Z</t>
  </si>
  <si>
    <t>2019-10-28T19:31:00Z</t>
  </si>
  <si>
    <t>Sawday Fire</t>
  </si>
  <si>
    <t>2019-10-25T10:52:04Z</t>
  </si>
  <si>
    <t>2019-07-13T15:13:00Z</t>
  </si>
  <si>
    <t>Orange fire</t>
  </si>
  <si>
    <t>2019-07-13T10:36:00Z</t>
  </si>
  <si>
    <t>Thompson Fire</t>
  </si>
  <si>
    <t>2019-07-24T20:09:59Z</t>
  </si>
  <si>
    <t>2019-08-05T15:36:23Z</t>
  </si>
  <si>
    <t>Wendy Fire</t>
  </si>
  <si>
    <t>2019-10-10T21:28:58Z</t>
  </si>
  <si>
    <t>Bar Fire</t>
  </si>
  <si>
    <t>2019-09-15T15:52:00Z</t>
  </si>
  <si>
    <t>2019-07-16T18:44:15Z</t>
  </si>
  <si>
    <t>2019-06-26T06:00:00Z</t>
  </si>
  <si>
    <t>Trinity Fire</t>
  </si>
  <si>
    <t>2019-06-26T15:35:00Z</t>
  </si>
  <si>
    <t>2019-09-06T07:24:00Z</t>
  </si>
  <si>
    <t>2019-09-03T14:57:31Z</t>
  </si>
  <si>
    <t>2019-08-02T14:03:00Z</t>
  </si>
  <si>
    <t>2019-08-02T09:23:00Z</t>
  </si>
  <si>
    <t>2019-09-24T10:21:00Z</t>
  </si>
  <si>
    <t>2019-09-23T15:55:57Z</t>
  </si>
  <si>
    <t>Tree Fire</t>
  </si>
  <si>
    <t>2019-07-27T10:15:00Z</t>
  </si>
  <si>
    <t>2019-08-13T18:00:00Z</t>
  </si>
  <si>
    <t>2019-08-13T15:41:24Z</t>
  </si>
  <si>
    <t>Milpas Fire</t>
  </si>
  <si>
    <t>2019-07-22T19:45:27Z</t>
  </si>
  <si>
    <t>2019-07-17T21:29:00Z</t>
  </si>
  <si>
    <t>2019-07-16T13:45:43Z</t>
  </si>
  <si>
    <t>2019-10-24T17:15:00Z</t>
  </si>
  <si>
    <t>2019-10-24T14:43:10Z</t>
  </si>
  <si>
    <t>2019-08-25T13:00:00Z</t>
  </si>
  <si>
    <t>Ivy Fire</t>
  </si>
  <si>
    <t>2019-08-25T10:58:28Z</t>
  </si>
  <si>
    <t>2019-08-16T18:44:00Z</t>
  </si>
  <si>
    <t>2019-08-15T16:24:24Z</t>
  </si>
  <si>
    <t>Sweigert Fire</t>
  </si>
  <si>
    <t>2019-07-24T20:01:44Z</t>
  </si>
  <si>
    <t>2019-07-17T10:00:00Z</t>
  </si>
  <si>
    <t>2019-07-12T17:15:31Z</t>
  </si>
  <si>
    <t>2019-06-25T13:50:00Z</t>
  </si>
  <si>
    <t>2019-06-25T13:51:09Z</t>
  </si>
  <si>
    <t>2019-06-24T18:30:00Z</t>
  </si>
  <si>
    <t>2019-06-24T11:57:00Z</t>
  </si>
  <si>
    <t>2019-11-06T18:30:00Z</t>
  </si>
  <si>
    <t>2019-11-05T06:52:14Z</t>
  </si>
  <si>
    <t>2019-07-02T18:32:00Z</t>
  </si>
  <si>
    <t>2019-07-02T16:10:02Z</t>
  </si>
  <si>
    <t>2019-06-17T08:34:00Z</t>
  </si>
  <si>
    <t>Levee Fire</t>
  </si>
  <si>
    <t>2019-06-08T13:07:00Z</t>
  </si>
  <si>
    <t>2019-10-09T12:39:00Z</t>
  </si>
  <si>
    <t>Corning Fire</t>
  </si>
  <si>
    <t>2019-10-09T08:31:40Z</t>
  </si>
  <si>
    <t>Muir Fire</t>
  </si>
  <si>
    <t>2019-10-24T12:15:33Z</t>
  </si>
  <si>
    <t>Lynette Fire</t>
  </si>
  <si>
    <t>2019-09-22T18:25:56Z</t>
  </si>
  <si>
    <t>2019-09-02T10:08:00Z</t>
  </si>
  <si>
    <t>Jolon Fire</t>
  </si>
  <si>
    <t>2019-09-01T16:35:55Z</t>
  </si>
  <si>
    <t>2019-05-24T14:28:00Z</t>
  </si>
  <si>
    <t>Sugar Fire</t>
  </si>
  <si>
    <t>2019-05-10T14:14:00Z</t>
  </si>
  <si>
    <t>2019-07-22T15:05:34Z</t>
  </si>
  <si>
    <t>2019-10-03T12:03:00Z</t>
  </si>
  <si>
    <t>2019-10-04T12:03:48Z</t>
  </si>
  <si>
    <t>2019-05-20T10:57:00Z</t>
  </si>
  <si>
    <t>2019-10-27T12:11:00Z</t>
  </si>
  <si>
    <t>Cabrillo Fire</t>
  </si>
  <si>
    <t>2019-10-24T20:15:36Z</t>
  </si>
  <si>
    <t>Bayliss Fire</t>
  </si>
  <si>
    <t>2019-08-15T13:44:02Z</t>
  </si>
  <si>
    <t>2019-09-12T18:49:00Z</t>
  </si>
  <si>
    <t>Forbestown Fire</t>
  </si>
  <si>
    <t>2019-09-06T15:18:52Z</t>
  </si>
  <si>
    <t>Sellers Fire</t>
  </si>
  <si>
    <t>2019-08-07T15:13:52Z</t>
  </si>
  <si>
    <t>2019-10-16T13:44:00Z</t>
  </si>
  <si>
    <t>2019-10-13T14:45:37Z</t>
  </si>
  <si>
    <t>2019-06-24T11:46:00Z</t>
  </si>
  <si>
    <t>2019-05-29T21:06:00Z</t>
  </si>
  <si>
    <t>2019-09-08T07:00:00Z</t>
  </si>
  <si>
    <t>2019-09-07T14:00:00Z</t>
  </si>
  <si>
    <t>2019-10-01T22:35:52Z</t>
  </si>
  <si>
    <t>2019-09-25T20:00:00Z</t>
  </si>
  <si>
    <t>2019-09-25T14:17:25Z</t>
  </si>
  <si>
    <t>2019-10-31T06:39:56Z</t>
  </si>
  <si>
    <t>Forest Fire</t>
  </si>
  <si>
    <t>2019-10-27T17:36:15Z</t>
  </si>
  <si>
    <t>2019-08-02T17:00:00Z</t>
  </si>
  <si>
    <t>2019-08-02T14:45:00Z</t>
  </si>
  <si>
    <t>2019-06-17T08:46:00Z</t>
  </si>
  <si>
    <t>Ink Fire</t>
  </si>
  <si>
    <t>2019-05-01T16:46:00Z</t>
  </si>
  <si>
    <t>2019-07-15T18:19:00Z</t>
  </si>
  <si>
    <t>Aborn Fire</t>
  </si>
  <si>
    <t>2019-07-15T11:12:00Z</t>
  </si>
  <si>
    <t>2019-06-10T17:51:00Z</t>
  </si>
  <si>
    <t>2019-08-13T16:15:00Z</t>
  </si>
  <si>
    <t>Lower Fire</t>
  </si>
  <si>
    <t>2019-08-12T14:16:53Z</t>
  </si>
  <si>
    <t>2019-06-22T03:12:00Z</t>
  </si>
  <si>
    <t>2019-06-03T08:48:00Z</t>
  </si>
  <si>
    <t>Diversion Fire</t>
  </si>
  <si>
    <t>2019-05-30T12:41:00Z</t>
  </si>
  <si>
    <t>2019-09-05T19:56:00Z</t>
  </si>
  <si>
    <t>Flood Fire</t>
  </si>
  <si>
    <t>2019-09-05T14:33:01Z</t>
  </si>
  <si>
    <t>Ardo Fire</t>
  </si>
  <si>
    <t>2019-06-12T17:23:00Z</t>
  </si>
  <si>
    <t>2019-10-31T14:16:00Z</t>
  </si>
  <si>
    <t>Palisades Fire</t>
  </si>
  <si>
    <t>2019-10-21T11:52:52Z</t>
  </si>
  <si>
    <t>2019-10-10T19:05:00Z</t>
  </si>
  <si>
    <t>Plains Fire</t>
  </si>
  <si>
    <t>2019-10-10T15:49:07Z</t>
  </si>
  <si>
    <t>Far Fire</t>
  </si>
  <si>
    <t>2019-07-06T20:21:25Z</t>
  </si>
  <si>
    <t>Jamieson Fire</t>
  </si>
  <si>
    <t>2019-08-25T13:06:49Z</t>
  </si>
  <si>
    <t>2019-08-16T10:35:00Z</t>
  </si>
  <si>
    <t>2019-08-15T17:47:43Z</t>
  </si>
  <si>
    <t>Community Fire</t>
  </si>
  <si>
    <t>Calaveras Fire</t>
  </si>
  <si>
    <t>2019-06-10T15:16:00Z</t>
  </si>
  <si>
    <t>Redwood Fire</t>
  </si>
  <si>
    <t>2019-09-12T20:30:41Z</t>
  </si>
  <si>
    <t>2019-08-23T23:00:00Z</t>
  </si>
  <si>
    <t>Yucca Fire</t>
  </si>
  <si>
    <t>2019-08-22T19:31:10Z</t>
  </si>
  <si>
    <t>2019-08-10T15:07:00Z</t>
  </si>
  <si>
    <t>Heavy Range Fire</t>
  </si>
  <si>
    <t>2019-08-10T18:47:02Z</t>
  </si>
  <si>
    <t>2019-06-04T16:03:00Z</t>
  </si>
  <si>
    <t>Yokohl Fire</t>
  </si>
  <si>
    <t>2019-06-03T12:18:00Z</t>
  </si>
  <si>
    <t>2019-10-11T16:21:00Z</t>
  </si>
  <si>
    <t>2019-10-11T12:30:19Z</t>
  </si>
  <si>
    <t>Mare Fire</t>
  </si>
  <si>
    <t>2019-09-26T15:29:06Z</t>
  </si>
  <si>
    <t>Gilbert Fire</t>
  </si>
  <si>
    <t>2019-08-04T17:18:21Z</t>
  </si>
  <si>
    <t>2019-07-06T20:03:00Z</t>
  </si>
  <si>
    <t>2019-07-05T14:46:33Z</t>
  </si>
  <si>
    <t>2019-06-24T11:06:00Z</t>
  </si>
  <si>
    <t>2019-06-21T14:42:00Z</t>
  </si>
  <si>
    <t>2019-04-10T10:23:00Z</t>
  </si>
  <si>
    <t>Girasol Fire</t>
  </si>
  <si>
    <t>2019-04-09T22:18:00Z</t>
  </si>
  <si>
    <t>2019-01-15T10:38:00Z</t>
  </si>
  <si>
    <t>2019-01-01T14:14:00Z</t>
  </si>
  <si>
    <t>2019-10-07T09:58:00Z</t>
  </si>
  <si>
    <t>2019-10-07T09:58:51.763Z</t>
  </si>
  <si>
    <t>2019-08-06T18:43:00Z</t>
  </si>
  <si>
    <t>2019-08-05T13:56:02Z</t>
  </si>
  <si>
    <t>2019-09-05T10:03:00Z</t>
  </si>
  <si>
    <t>Glass Fire</t>
  </si>
  <si>
    <t>2019-09-04T16:26:00Z</t>
  </si>
  <si>
    <t>2019-06-30T16:50:00Z</t>
  </si>
  <si>
    <t>2019-06-29T11:11:55Z</t>
  </si>
  <si>
    <t>2019-06-11T14:50:00Z</t>
  </si>
  <si>
    <t>Watt Fire</t>
  </si>
  <si>
    <t>2019-06-07T12:59:00Z</t>
  </si>
  <si>
    <t>2019-05-20T13:50:00Z</t>
  </si>
  <si>
    <t>Grove Fire</t>
  </si>
  <si>
    <t>2019-10-17T20:06:00Z</t>
  </si>
  <si>
    <t>2019-09-30T17:39:00Z</t>
  </si>
  <si>
    <t>2019-08-28T08:54:00Z</t>
  </si>
  <si>
    <t>Border 10 Fire</t>
  </si>
  <si>
    <t>2019-08-25T16:15:15Z</t>
  </si>
  <si>
    <t>2019-07-05T03:20:00Z</t>
  </si>
  <si>
    <t>Bikeway Fire</t>
  </si>
  <si>
    <t>2019-07-05T09:46:01.973Z</t>
  </si>
  <si>
    <t>2019-07-05T14:58:00Z</t>
  </si>
  <si>
    <t>Fellow Fire</t>
  </si>
  <si>
    <t>2019-07-05T13:33:56Z</t>
  </si>
  <si>
    <t>2019-06-17T08:49:00Z</t>
  </si>
  <si>
    <t>2019-06-11T14:47:00Z</t>
  </si>
  <si>
    <t>2019-06-06T14:24:00Z</t>
  </si>
  <si>
    <t>2019-05-19T09:26:00Z</t>
  </si>
  <si>
    <t>2019-05-13T18:46:00Z</t>
  </si>
  <si>
    <t>2019-08-08T17:12:00Z</t>
  </si>
  <si>
    <t>Preston Fire</t>
  </si>
  <si>
    <t>2019-08-08T16:16:40Z</t>
  </si>
  <si>
    <t>2019-08-14T18:51:00Z</t>
  </si>
  <si>
    <t>2019-08-14T12:52:00Z</t>
  </si>
  <si>
    <t>2019-08-12T08:21:00Z</t>
  </si>
  <si>
    <t>Radio Fire</t>
  </si>
  <si>
    <t>2019-08-12T10:53:10Z</t>
  </si>
  <si>
    <t>2019-08-11T10:28:00Z</t>
  </si>
  <si>
    <t>Golf Fire</t>
  </si>
  <si>
    <t>2019-08-08T14:55:59Z</t>
  </si>
  <si>
    <t>2019-07-11T08:26:00Z</t>
  </si>
  <si>
    <t>Gibbel Fire</t>
  </si>
  <si>
    <t>2019-07-11T16:27:17Z</t>
  </si>
  <si>
    <t>2019-06-27T17:36:00Z</t>
  </si>
  <si>
    <t>2019-06-27T16:14:25Z</t>
  </si>
  <si>
    <t>2019-11-01T08:55:00Z</t>
  </si>
  <si>
    <t>2019-11-01T13:04:34Z</t>
  </si>
  <si>
    <t>2019-09-30T09:05:00Z</t>
  </si>
  <si>
    <t>Warren Fire</t>
  </si>
  <si>
    <t>2019-09-30T07:07:00Z</t>
  </si>
  <si>
    <t>2019-08-31T12:50:00Z</t>
  </si>
  <si>
    <t>Carroll Fire</t>
  </si>
  <si>
    <t>2019-08-31T12:55:15Z</t>
  </si>
  <si>
    <t>2019-10-04T10:39:00Z</t>
  </si>
  <si>
    <t>Del Fire</t>
  </si>
  <si>
    <t>2019-10-03T13:36:04Z</t>
  </si>
  <si>
    <t>2019-09-04T20:33:00Z</t>
  </si>
  <si>
    <t>Foster Fire</t>
  </si>
  <si>
    <t>2019-09-04T20:33:59Z</t>
  </si>
  <si>
    <t>2019-06-27T08:48:00Z</t>
  </si>
  <si>
    <t>2019-06-26T18:06:54Z</t>
  </si>
  <si>
    <t>2019-06-15T15:29:00Z</t>
  </si>
  <si>
    <t>2019-06-17T10:39:00Z</t>
  </si>
  <si>
    <t>2019-06-14T16:14:00Z</t>
  </si>
  <si>
    <t>2019-09-24T14:52:00Z</t>
  </si>
  <si>
    <t>2019-09-24T08:40:45Z</t>
  </si>
  <si>
    <t>2019-08-14T18:52:00Z</t>
  </si>
  <si>
    <t>Greenstone Fire</t>
  </si>
  <si>
    <t>2019-08-14T16:07:49Z</t>
  </si>
  <si>
    <t>2019-09-10T19:27:00Z</t>
  </si>
  <si>
    <t>Duzel Fire</t>
  </si>
  <si>
    <t>2019-09-07T18:19:16Z</t>
  </si>
  <si>
    <t>2019-09-06T08:00:00Z</t>
  </si>
  <si>
    <t>Telephone Fire</t>
  </si>
  <si>
    <t>2019-09-02T20:27:29Z</t>
  </si>
  <si>
    <t>2019-06-24T11:44:00Z</t>
  </si>
  <si>
    <t>Pauma Fire</t>
  </si>
  <si>
    <t>2019-06-10T14:25:00Z</t>
  </si>
  <si>
    <t>2019-07-31T06:47:00Z</t>
  </si>
  <si>
    <t>Carson Fire</t>
  </si>
  <si>
    <t>2019-07-30T19:27:46Z</t>
  </si>
  <si>
    <t>2019-10-08T17:51:00Z</t>
  </si>
  <si>
    <t>2019-10-08T17:25:12Z</t>
  </si>
  <si>
    <t>2019-06-29T18:20:00Z</t>
  </si>
  <si>
    <t>Mayberry Fire</t>
  </si>
  <si>
    <t>2019-06-29T22:07:59Z</t>
  </si>
  <si>
    <t>2019-10-22T13:30:00Z</t>
  </si>
  <si>
    <t>Beaumont Fire</t>
  </si>
  <si>
    <t>2019-10-21T08:16:33Z</t>
  </si>
  <si>
    <t>2019-10-07T11:03:00Z</t>
  </si>
  <si>
    <t>Dales Fire</t>
  </si>
  <si>
    <t>2019-10-07T11:03:29.963Z</t>
  </si>
  <si>
    <t>2019-09-13T21:43:00Z</t>
  </si>
  <si>
    <t>2019-09-13T20:00:29Z</t>
  </si>
  <si>
    <t>2019-09-02T19:13:00Z</t>
  </si>
  <si>
    <t>2019-09-02T14:36:35Z</t>
  </si>
  <si>
    <t>2019-10-16T13:50:00Z</t>
  </si>
  <si>
    <t>Fairmont Fire</t>
  </si>
  <si>
    <t>2019-10-15T17:41:57Z</t>
  </si>
  <si>
    <t>2019-10-08T09:52:00Z</t>
  </si>
  <si>
    <t>Inghram Fire</t>
  </si>
  <si>
    <t>2019-10-09T09:52:52.477Z</t>
  </si>
  <si>
    <t>2019-09-25T17:00:00Z</t>
  </si>
  <si>
    <t>Electra Fire</t>
  </si>
  <si>
    <t>2019-09-25T13:13:41Z</t>
  </si>
  <si>
    <t>2019-09-10T10:45:00Z</t>
  </si>
  <si>
    <t>2019-09-10T10:43:58Z</t>
  </si>
  <si>
    <t>Moms Fire</t>
  </si>
  <si>
    <t>2019-07-23T14:41:00Z</t>
  </si>
  <si>
    <t>2019-06-21T14:23:00Z</t>
  </si>
  <si>
    <t>IronGate Fire</t>
  </si>
  <si>
    <t>2019-06-16T20:33:00Z</t>
  </si>
  <si>
    <t>Cana Fire</t>
  </si>
  <si>
    <t>2019-04-30T12:20:00Z</t>
  </si>
  <si>
    <t>2019-10-10T18:11:00Z</t>
  </si>
  <si>
    <t>2019-10-10T12:08:00Z</t>
  </si>
  <si>
    <t>2019-06-28T17:33:00Z</t>
  </si>
  <si>
    <t>2019-06-28T15:03:04Z</t>
  </si>
  <si>
    <t>Cashe Fire</t>
  </si>
  <si>
    <t>2019-11-25T12:02:02Z</t>
  </si>
  <si>
    <t>2019-10-22T19:20:44Z</t>
  </si>
  <si>
    <t>2019-10-14T15:32:20Z</t>
  </si>
  <si>
    <t>End Date</t>
  </si>
  <si>
    <t>End Time</t>
  </si>
  <si>
    <t>Start Date</t>
  </si>
  <si>
    <t>Start Time</t>
  </si>
  <si>
    <t>Date Diff</t>
  </si>
  <si>
    <t>Time Diff</t>
  </si>
  <si>
    <t>Total Days</t>
  </si>
  <si>
    <t>Average Length</t>
  </si>
  <si>
    <t>COUNTA of Counties</t>
  </si>
  <si>
    <t>COUNTA of MajorIncident</t>
  </si>
  <si>
    <t>Grand Total</t>
  </si>
  <si>
    <t>Start Hour</t>
  </si>
  <si>
    <t>16:00:00</t>
  </si>
  <si>
    <t>COUNTA of Start Hour</t>
  </si>
  <si>
    <t>13:59:00</t>
  </si>
  <si>
    <t>00</t>
  </si>
  <si>
    <t>18:28:00</t>
  </si>
  <si>
    <t>01</t>
  </si>
  <si>
    <t>02</t>
  </si>
  <si>
    <t>13:16:00</t>
  </si>
  <si>
    <t>03</t>
  </si>
  <si>
    <t>07:11:00</t>
  </si>
  <si>
    <t>04</t>
  </si>
  <si>
    <t>04:00:00</t>
  </si>
  <si>
    <t>05</t>
  </si>
  <si>
    <t>06</t>
  </si>
  <si>
    <t>14:42:00</t>
  </si>
  <si>
    <t>07</t>
  </si>
  <si>
    <t>14:00:00</t>
  </si>
  <si>
    <t>08</t>
  </si>
  <si>
    <t>15:53:00</t>
  </si>
  <si>
    <t>09</t>
  </si>
  <si>
    <t>13:45:00</t>
  </si>
  <si>
    <t>10</t>
  </si>
  <si>
    <t>14:12:00</t>
  </si>
  <si>
    <t>11</t>
  </si>
  <si>
    <t>14:45:00</t>
  </si>
  <si>
    <t>12</t>
  </si>
  <si>
    <t>16:20:00</t>
  </si>
  <si>
    <t>13</t>
  </si>
  <si>
    <t>14</t>
  </si>
  <si>
    <t>15</t>
  </si>
  <si>
    <t>14:23:00</t>
  </si>
  <si>
    <t>16</t>
  </si>
  <si>
    <t>02:30:00</t>
  </si>
  <si>
    <t>17</t>
  </si>
  <si>
    <t>18:18:00</t>
  </si>
  <si>
    <t>18</t>
  </si>
  <si>
    <t>16:02:00</t>
  </si>
  <si>
    <t>19</t>
  </si>
  <si>
    <t>14:30:00</t>
  </si>
  <si>
    <t>20</t>
  </si>
  <si>
    <t>15:00:00</t>
  </si>
  <si>
    <t>21</t>
  </si>
  <si>
    <t>15:40:00</t>
  </si>
  <si>
    <t>22</t>
  </si>
  <si>
    <t>04:38:00</t>
  </si>
  <si>
    <t>23</t>
  </si>
  <si>
    <t>12:06:00</t>
  </si>
  <si>
    <t>10:28:00</t>
  </si>
  <si>
    <t>13:35:00</t>
  </si>
  <si>
    <t>17:15:00</t>
  </si>
  <si>
    <t>16:59:00</t>
  </si>
  <si>
    <t>15:23:00</t>
  </si>
  <si>
    <t>16:03:00</t>
  </si>
  <si>
    <t>19:43:00</t>
  </si>
  <si>
    <t>12:44:00</t>
  </si>
  <si>
    <t>14:32:00</t>
  </si>
  <si>
    <t>14:26:00</t>
  </si>
  <si>
    <t>16:41:00</t>
  </si>
  <si>
    <t>11:44:00</t>
  </si>
  <si>
    <t>14:48:00</t>
  </si>
  <si>
    <t>18:53:00</t>
  </si>
  <si>
    <t>03:44:00</t>
  </si>
  <si>
    <t>15:27:00</t>
  </si>
  <si>
    <t>05:05:00</t>
  </si>
  <si>
    <t>15:30:00</t>
  </si>
  <si>
    <t>12:00:00</t>
  </si>
  <si>
    <t>12:51:00</t>
  </si>
  <si>
    <t>18:11:00</t>
  </si>
  <si>
    <t>22:00:00</t>
  </si>
  <si>
    <t>13:58:00</t>
  </si>
  <si>
    <t>14:05:00</t>
  </si>
  <si>
    <t>20:41:00</t>
  </si>
  <si>
    <t>16:10:00</t>
  </si>
  <si>
    <t>15:18:00</t>
  </si>
  <si>
    <t>08:48:00</t>
  </si>
  <si>
    <t>12:54:00</t>
  </si>
  <si>
    <t>13:11:00</t>
  </si>
  <si>
    <t>17:25:00</t>
  </si>
  <si>
    <t>13:06:00</t>
  </si>
  <si>
    <t>13:10:00</t>
  </si>
  <si>
    <t>23:28:00</t>
  </si>
  <si>
    <t>17:54:00</t>
  </si>
  <si>
    <t>23:19:00</t>
  </si>
  <si>
    <t>16:30:00</t>
  </si>
  <si>
    <t>16:12:00</t>
  </si>
  <si>
    <t>04:50:00</t>
  </si>
  <si>
    <t>12:53:00</t>
  </si>
  <si>
    <t>14:19:00</t>
  </si>
  <si>
    <t>11:00:00</t>
  </si>
  <si>
    <t>13:13:00</t>
  </si>
  <si>
    <t>16:37:00</t>
  </si>
  <si>
    <t>13:04:00</t>
  </si>
  <si>
    <t>13:07:00</t>
  </si>
  <si>
    <t>18:15:00</t>
  </si>
  <si>
    <t>11:56:00</t>
  </si>
  <si>
    <t>14:13:00</t>
  </si>
  <si>
    <t>07:49:00</t>
  </si>
  <si>
    <t>10:59:00</t>
  </si>
  <si>
    <t>16:16:00</t>
  </si>
  <si>
    <t>01:20:00</t>
  </si>
  <si>
    <t>10:43:00</t>
  </si>
  <si>
    <t>15:31:00</t>
  </si>
  <si>
    <t>11:30:00</t>
  </si>
  <si>
    <t>14:52:00</t>
  </si>
  <si>
    <t>15:38:00</t>
  </si>
  <si>
    <t>17:05:00</t>
  </si>
  <si>
    <t>07:23:00</t>
  </si>
  <si>
    <t>17:33:00</t>
  </si>
  <si>
    <t>18:55:00</t>
  </si>
  <si>
    <t>12:09:00</t>
  </si>
  <si>
    <t>12:58:00</t>
  </si>
  <si>
    <t>13:09:00</t>
  </si>
  <si>
    <t>15:39:00</t>
  </si>
  <si>
    <t>11:04:00</t>
  </si>
  <si>
    <t>13:21:00</t>
  </si>
  <si>
    <t>16:22:00</t>
  </si>
  <si>
    <t>16:48:00</t>
  </si>
  <si>
    <t>22:11:00</t>
  </si>
  <si>
    <t>13:17:00</t>
  </si>
  <si>
    <t>14:02:00</t>
  </si>
  <si>
    <t>12:43:00</t>
  </si>
  <si>
    <t>13:31:00</t>
  </si>
  <si>
    <t>15:20:00</t>
  </si>
  <si>
    <t>16:07:00</t>
  </si>
  <si>
    <t>16:38:00</t>
  </si>
  <si>
    <t>09:55:00</t>
  </si>
  <si>
    <t>11:55:00</t>
  </si>
  <si>
    <t>12:42:00</t>
  </si>
  <si>
    <t>21:00:00</t>
  </si>
  <si>
    <t>08:55:00</t>
  </si>
  <si>
    <t>13:38:00</t>
  </si>
  <si>
    <t>14:17:00</t>
  </si>
  <si>
    <t>15:09:00</t>
  </si>
  <si>
    <t>16:11:00</t>
  </si>
  <si>
    <t>16:14:00</t>
  </si>
  <si>
    <t>18:23:00</t>
  </si>
  <si>
    <t>04:53:00</t>
  </si>
  <si>
    <t>12:40:00</t>
  </si>
  <si>
    <t>15:08:00</t>
  </si>
  <si>
    <t>16:15:00</t>
  </si>
  <si>
    <t>17:01:00</t>
  </si>
  <si>
    <t>17:30:00</t>
  </si>
  <si>
    <t>17:44:00</t>
  </si>
  <si>
    <t>23:17:00</t>
  </si>
  <si>
    <t>12:17:00</t>
  </si>
  <si>
    <t>13:19:00</t>
  </si>
  <si>
    <t>13:03:00</t>
  </si>
  <si>
    <t>09:46:00</t>
  </si>
  <si>
    <t>10:46:00</t>
  </si>
  <si>
    <t>18:12:00</t>
  </si>
  <si>
    <t>18:49:00</t>
  </si>
  <si>
    <t>22:45:00</t>
  </si>
  <si>
    <t>18:04:00</t>
  </si>
  <si>
    <t>10:18:00</t>
  </si>
  <si>
    <t>12:47:00</t>
  </si>
  <si>
    <t>14:31:00</t>
  </si>
  <si>
    <t>17:00:00</t>
  </si>
  <si>
    <t>17:21:00</t>
  </si>
  <si>
    <t>14:10:00</t>
  </si>
  <si>
    <t>15:32:00</t>
  </si>
  <si>
    <t>07:30:00</t>
  </si>
  <si>
    <t>11:36:00</t>
  </si>
  <si>
    <t>15:51:00</t>
  </si>
  <si>
    <t>09:27:00</t>
  </si>
  <si>
    <t>12:16:00</t>
  </si>
  <si>
    <t>14:51:00</t>
  </si>
  <si>
    <t>15:49:00</t>
  </si>
  <si>
    <t>17:04:00</t>
  </si>
  <si>
    <t>13:55:00</t>
  </si>
  <si>
    <t>14:22:00</t>
  </si>
  <si>
    <t>14:56:00</t>
  </si>
  <si>
    <t>15:06:00</t>
  </si>
  <si>
    <t>07:15:00</t>
  </si>
  <si>
    <t>12:28:00</t>
  </si>
  <si>
    <t>12:38:00</t>
  </si>
  <si>
    <t>14:04:00</t>
  </si>
  <si>
    <t>15:10:00</t>
  </si>
  <si>
    <t>15:45:00</t>
  </si>
  <si>
    <t>21:06:00</t>
  </si>
  <si>
    <t>15:05:00</t>
  </si>
  <si>
    <t>17:02:00</t>
  </si>
  <si>
    <t>17:23:00</t>
  </si>
  <si>
    <t>17:45:00</t>
  </si>
  <si>
    <t>21:41:00</t>
  </si>
  <si>
    <t>16:32:00</t>
  </si>
  <si>
    <t>10:34:00</t>
  </si>
  <si>
    <t>11:46:00</t>
  </si>
  <si>
    <t>13:37:00</t>
  </si>
  <si>
    <t>11:47:00</t>
  </si>
  <si>
    <t>18:02:00</t>
  </si>
  <si>
    <t>09:49:00</t>
  </si>
  <si>
    <t>11:10:00</t>
  </si>
  <si>
    <t>13:08:00</t>
  </si>
  <si>
    <t>15:56:00</t>
  </si>
  <si>
    <t>12:30:00</t>
  </si>
  <si>
    <t>22:32:00</t>
  </si>
  <si>
    <t>11:15:00</t>
  </si>
  <si>
    <t>15:19:00</t>
  </si>
  <si>
    <t>16:06:00</t>
  </si>
  <si>
    <t>18:22:00</t>
  </si>
  <si>
    <t>16:45:00</t>
  </si>
  <si>
    <t>21:30:00</t>
  </si>
  <si>
    <t>07:39:00</t>
  </si>
  <si>
    <t>09:38:00</t>
  </si>
  <si>
    <t>10:39:00</t>
  </si>
  <si>
    <t>15:22:00</t>
  </si>
  <si>
    <t>09:30:00</t>
  </si>
  <si>
    <t>11:38:00</t>
  </si>
  <si>
    <t>13:50:00</t>
  </si>
  <si>
    <t>12:52:00</t>
  </si>
  <si>
    <t>13:15:00</t>
  </si>
  <si>
    <t>17:56:00</t>
  </si>
  <si>
    <t>19:39:00</t>
  </si>
  <si>
    <t>12:29:00</t>
  </si>
  <si>
    <t>13:56:00</t>
  </si>
  <si>
    <t>13:54:00</t>
  </si>
  <si>
    <t>15:28:00</t>
  </si>
  <si>
    <t>20:44:00</t>
  </si>
  <si>
    <t>13:49:00</t>
  </si>
  <si>
    <t>00:48:00</t>
  </si>
  <si>
    <t>11:16:00</t>
  </si>
  <si>
    <t>12:56:00</t>
  </si>
  <si>
    <t>12:41:00</t>
  </si>
  <si>
    <t>13:36:00</t>
  </si>
  <si>
    <t>13:43:00</t>
  </si>
  <si>
    <t>12:39:00</t>
  </si>
  <si>
    <t>19:46:00</t>
  </si>
  <si>
    <t>22:28:00</t>
  </si>
  <si>
    <t>13:34:00</t>
  </si>
  <si>
    <t>15:14:00</t>
  </si>
  <si>
    <t>19:31:00</t>
  </si>
  <si>
    <t>18:01:00</t>
  </si>
  <si>
    <t>15:21:00</t>
  </si>
  <si>
    <t>16:55:00</t>
  </si>
  <si>
    <t>15:11:00</t>
  </si>
  <si>
    <t>15:46:00</t>
  </si>
  <si>
    <t>17:53:00</t>
  </si>
  <si>
    <t>20:59:00</t>
  </si>
  <si>
    <t>00:22:00</t>
  </si>
  <si>
    <t>08:24:00</t>
  </si>
  <si>
    <t>11:05:00</t>
  </si>
  <si>
    <t>12:12:00</t>
  </si>
  <si>
    <t>16:56:00</t>
  </si>
  <si>
    <t>13:00:00</t>
  </si>
  <si>
    <t>15:44:00</t>
  </si>
  <si>
    <t>18:13:00</t>
  </si>
  <si>
    <t>09:18:00</t>
  </si>
  <si>
    <t>10:00:00</t>
  </si>
  <si>
    <t>15:50:00</t>
  </si>
  <si>
    <t>14:25:00</t>
  </si>
  <si>
    <t>16:23:00</t>
  </si>
  <si>
    <t>02:20:00</t>
  </si>
  <si>
    <t>15:26:00</t>
  </si>
  <si>
    <t>16:47:00</t>
  </si>
  <si>
    <t>18:30:00</t>
  </si>
  <si>
    <t>18:58:00</t>
  </si>
  <si>
    <t>13:14:00</t>
  </si>
  <si>
    <t>13:30:00</t>
  </si>
  <si>
    <t>14:20:00</t>
  </si>
  <si>
    <t>17:09:00</t>
  </si>
  <si>
    <t>13:02:00</t>
  </si>
  <si>
    <t>12:31:00</t>
  </si>
  <si>
    <t>15:54:00</t>
  </si>
  <si>
    <t>15:12:00</t>
  </si>
  <si>
    <t>09:36:00</t>
  </si>
  <si>
    <t>10:11:00</t>
  </si>
  <si>
    <t>10:40:00</t>
  </si>
  <si>
    <t>14:15:00</t>
  </si>
  <si>
    <t>13:29:00</t>
  </si>
  <si>
    <t>16:51:00</t>
  </si>
  <si>
    <t>20:40:00</t>
  </si>
  <si>
    <t>23:39:00</t>
  </si>
  <si>
    <t>13:51:00</t>
  </si>
  <si>
    <t>15:29:00</t>
  </si>
  <si>
    <t>14:14:00</t>
  </si>
  <si>
    <t>14:41:00</t>
  </si>
  <si>
    <t>17:38:00</t>
  </si>
  <si>
    <t>16:46:00</t>
  </si>
  <si>
    <t>09:51:00</t>
  </si>
  <si>
    <t>18:10:00</t>
  </si>
  <si>
    <t>17:31:00</t>
  </si>
  <si>
    <t>11:17:00</t>
  </si>
  <si>
    <t>16:40:00</t>
  </si>
  <si>
    <t>12:37:00</t>
  </si>
  <si>
    <t>12:55:00</t>
  </si>
  <si>
    <t>14:44:00</t>
  </si>
  <si>
    <t>14:55:00</t>
  </si>
  <si>
    <t>12:57:00</t>
  </si>
  <si>
    <t>11:45:00</t>
  </si>
  <si>
    <t>15:34:00</t>
  </si>
  <si>
    <t>22:39:00</t>
  </si>
  <si>
    <t>21:36:00</t>
  </si>
  <si>
    <t>22:03:00</t>
  </si>
  <si>
    <t>20:46:00</t>
  </si>
  <si>
    <t>09:58:00</t>
  </si>
  <si>
    <t>14:43:00</t>
  </si>
  <si>
    <t>19:16:00</t>
  </si>
  <si>
    <t>20:35:00</t>
  </si>
  <si>
    <t>18:54:00</t>
  </si>
  <si>
    <t>16:50:00</t>
  </si>
  <si>
    <t>11:13:00</t>
  </si>
  <si>
    <t>19:03:00</t>
  </si>
  <si>
    <t>00:00:00</t>
  </si>
  <si>
    <t>14:24:00</t>
  </si>
  <si>
    <t>17:11:00</t>
  </si>
  <si>
    <t>16:25:00</t>
  </si>
  <si>
    <t>17:22:00</t>
  </si>
  <si>
    <t>12:45:00</t>
  </si>
  <si>
    <t>13:26:00</t>
  </si>
  <si>
    <t>14:40:00</t>
  </si>
  <si>
    <t>15:01:00</t>
  </si>
  <si>
    <t>18:00:00</t>
  </si>
  <si>
    <t>14:49:00</t>
  </si>
  <si>
    <t>13:24:00</t>
  </si>
  <si>
    <t>15:25:00</t>
  </si>
  <si>
    <t>16:33:00</t>
  </si>
  <si>
    <t>17:29:00</t>
  </si>
  <si>
    <t>15:24:00</t>
  </si>
  <si>
    <t>01:45:00</t>
  </si>
  <si>
    <t>11:41:00</t>
  </si>
  <si>
    <t>16:17:00</t>
  </si>
  <si>
    <t>16:28:00</t>
  </si>
  <si>
    <t>14:11:00</t>
  </si>
  <si>
    <t>17:43:00</t>
  </si>
  <si>
    <t>16:05:00</t>
  </si>
  <si>
    <t>10:12:00</t>
  </si>
  <si>
    <t>13:44:00</t>
  </si>
  <si>
    <t>08:45:00</t>
  </si>
  <si>
    <t>10:23:00</t>
  </si>
  <si>
    <t>12:05:00</t>
  </si>
  <si>
    <t>12:14:00</t>
  </si>
  <si>
    <t>13:01:00</t>
  </si>
  <si>
    <t>13:28:00</t>
  </si>
  <si>
    <t>13:32:00</t>
  </si>
  <si>
    <t>08:30:00</t>
  </si>
  <si>
    <t>10:15:00</t>
  </si>
  <si>
    <t>10:33:00</t>
  </si>
  <si>
    <t>11:58:00</t>
  </si>
  <si>
    <t>15:35:00</t>
  </si>
  <si>
    <t>16:21:00</t>
  </si>
  <si>
    <t>15:07:00</t>
  </si>
  <si>
    <t>17:34:00</t>
  </si>
  <si>
    <t>13:57:00</t>
  </si>
  <si>
    <t>19:52:00</t>
  </si>
  <si>
    <t>17:48:00</t>
  </si>
  <si>
    <t>18:08:00</t>
  </si>
  <si>
    <t>22:30:00</t>
  </si>
  <si>
    <t>02:45:00</t>
  </si>
  <si>
    <t>17:32:00</t>
  </si>
  <si>
    <t>04:19:00</t>
  </si>
  <si>
    <t>17:24:00</t>
  </si>
  <si>
    <t>10:31:00</t>
  </si>
  <si>
    <t>12:59:00</t>
  </si>
  <si>
    <t>13:20:00</t>
  </si>
  <si>
    <t>16:26:00</t>
  </si>
  <si>
    <t>02:11:00</t>
  </si>
  <si>
    <t>01:55:00</t>
  </si>
  <si>
    <t>14:28:00</t>
  </si>
  <si>
    <t>14:21:00</t>
  </si>
  <si>
    <t>14:34:00</t>
  </si>
  <si>
    <t>07:55:00</t>
  </si>
  <si>
    <t>16:57:00</t>
  </si>
  <si>
    <t>14:58:00</t>
  </si>
  <si>
    <t>16:31:00</t>
  </si>
  <si>
    <t>17:14:00</t>
  </si>
  <si>
    <t>18:05:00</t>
  </si>
  <si>
    <t>18:47:00</t>
  </si>
  <si>
    <t>19:19:00</t>
  </si>
  <si>
    <t>15:17:00</t>
  </si>
  <si>
    <t>07:32:00</t>
  </si>
  <si>
    <t>15:55:00</t>
  </si>
  <si>
    <t>12:35:00</t>
  </si>
  <si>
    <t>15:03:00</t>
  </si>
  <si>
    <t>08:01:00</t>
  </si>
  <si>
    <t>17:06:00</t>
  </si>
  <si>
    <t>21:38:00</t>
  </si>
  <si>
    <t>08:29:00</t>
  </si>
  <si>
    <t>12:19:00</t>
  </si>
  <si>
    <t>14:36:00</t>
  </si>
  <si>
    <t>15:15:00</t>
  </si>
  <si>
    <t>14:50:00</t>
  </si>
  <si>
    <t>10:13:00</t>
  </si>
  <si>
    <t>04:20:00</t>
  </si>
  <si>
    <t>11:21:00</t>
  </si>
  <si>
    <t>10:49:00</t>
  </si>
  <si>
    <t>14:37:00</t>
  </si>
  <si>
    <t>13:33:00</t>
  </si>
  <si>
    <t>09:23:00</t>
  </si>
  <si>
    <t>19:17:00</t>
  </si>
  <si>
    <t>20:32:00</t>
  </si>
  <si>
    <t>18:38:00</t>
  </si>
  <si>
    <t>17:58:00</t>
  </si>
  <si>
    <t>15:41:00</t>
  </si>
  <si>
    <t>14:53:00</t>
  </si>
  <si>
    <t>21:45:00</t>
  </si>
  <si>
    <t>21:52:00</t>
  </si>
  <si>
    <t>23:03:00</t>
  </si>
  <si>
    <t>00:01:00</t>
  </si>
  <si>
    <t>23:59:00</t>
  </si>
  <si>
    <t>23:36:00</t>
  </si>
  <si>
    <t>00:57:00</t>
  </si>
  <si>
    <t>03:30:00</t>
  </si>
  <si>
    <t>12:48:00</t>
  </si>
  <si>
    <t>19:41:00</t>
  </si>
  <si>
    <t>06:58:00</t>
  </si>
  <si>
    <t>16:08:00</t>
  </si>
  <si>
    <t>17:42:00</t>
  </si>
  <si>
    <t>14:29:00</t>
  </si>
  <si>
    <t>12:10:00</t>
  </si>
  <si>
    <t>19:00:00</t>
  </si>
  <si>
    <t>11:25:00</t>
  </si>
  <si>
    <t>16:04:00</t>
  </si>
  <si>
    <t>15:37:00</t>
  </si>
  <si>
    <t>19:47:00</t>
  </si>
  <si>
    <t>19:32:00</t>
  </si>
  <si>
    <t>13:41:00</t>
  </si>
  <si>
    <t>21:07:00</t>
  </si>
  <si>
    <t>08:34:00</t>
  </si>
  <si>
    <t>20:30:00</t>
  </si>
  <si>
    <t>11:03:00</t>
  </si>
  <si>
    <t>12:22:00</t>
  </si>
  <si>
    <t>14:46:00</t>
  </si>
  <si>
    <t>00:41:00</t>
  </si>
  <si>
    <t>15:58:00</t>
  </si>
  <si>
    <t>10:56:00</t>
  </si>
  <si>
    <t>23:23:00</t>
  </si>
  <si>
    <t>09:37:00</t>
  </si>
  <si>
    <t>14:38:00</t>
  </si>
  <si>
    <t>12:32:00</t>
  </si>
  <si>
    <t>20:00:00</t>
  </si>
  <si>
    <t>12:15:00</t>
  </si>
  <si>
    <t>23:48:00</t>
  </si>
  <si>
    <t>01:00:00</t>
  </si>
  <si>
    <t>01:10:00</t>
  </si>
  <si>
    <t>01:30:00</t>
  </si>
  <si>
    <t>14:57:00</t>
  </si>
  <si>
    <t>15:36:00</t>
  </si>
  <si>
    <t>15:59:00</t>
  </si>
  <si>
    <t>10:42:00</t>
  </si>
  <si>
    <t>19:59:46</t>
  </si>
  <si>
    <t>05:00:00</t>
  </si>
  <si>
    <t>21:50:00</t>
  </si>
  <si>
    <t>03:43:00</t>
  </si>
  <si>
    <t>10:19:00</t>
  </si>
  <si>
    <t>06:45:00</t>
  </si>
  <si>
    <t>11:33:00</t>
  </si>
  <si>
    <t>12:13:00</t>
  </si>
  <si>
    <t>11:57:00</t>
  </si>
  <si>
    <t>10:27:00</t>
  </si>
  <si>
    <t>12:23:00</t>
  </si>
  <si>
    <t>12:43:35</t>
  </si>
  <si>
    <t>12:34:00</t>
  </si>
  <si>
    <t>12:18:00</t>
  </si>
  <si>
    <t>11:22:00</t>
  </si>
  <si>
    <t>22:15:00</t>
  </si>
  <si>
    <t>21:28:00</t>
  </si>
  <si>
    <t>10:17:00</t>
  </si>
  <si>
    <t>11:28:00</t>
  </si>
  <si>
    <t>14:03:00</t>
  </si>
  <si>
    <t>22:20:00</t>
  </si>
  <si>
    <t>10:06:00</t>
  </si>
  <si>
    <t>17:39:00</t>
  </si>
  <si>
    <t>08:19:00</t>
  </si>
  <si>
    <t>01:39:00</t>
  </si>
  <si>
    <t>11:01:00</t>
  </si>
  <si>
    <t>08:00:00</t>
  </si>
  <si>
    <t>06:31:00</t>
  </si>
  <si>
    <t>16:35:00</t>
  </si>
  <si>
    <t>15:52:00</t>
  </si>
  <si>
    <t>11:31:00</t>
  </si>
  <si>
    <t>06:27:00</t>
  </si>
  <si>
    <t>12:26:00</t>
  </si>
  <si>
    <t>23:30:00</t>
  </si>
  <si>
    <t>17:57:00</t>
  </si>
  <si>
    <t>12:21:00</t>
  </si>
  <si>
    <t>21:02:00</t>
  </si>
  <si>
    <t>15:57:00</t>
  </si>
  <si>
    <t>12:25:00</t>
  </si>
  <si>
    <t>08:47:46</t>
  </si>
  <si>
    <t>19:59:12</t>
  </si>
  <si>
    <t>23:00:00</t>
  </si>
  <si>
    <t>06:33:00</t>
  </si>
  <si>
    <t>11:53:00</t>
  </si>
  <si>
    <t>14:33:00</t>
  </si>
  <si>
    <t>20:15:00</t>
  </si>
  <si>
    <t>17:46:00</t>
  </si>
  <si>
    <t>16:52:00</t>
  </si>
  <si>
    <t>06:30:00</t>
  </si>
  <si>
    <t>21:27:00</t>
  </si>
  <si>
    <t>19:01:00</t>
  </si>
  <si>
    <t>09:25:00</t>
  </si>
  <si>
    <t>18:03:00</t>
  </si>
  <si>
    <t>13:28:17</t>
  </si>
  <si>
    <t>16:19:00</t>
  </si>
  <si>
    <t>20:51:00</t>
  </si>
  <si>
    <t>05:30:00</t>
  </si>
  <si>
    <t>05:50:00</t>
  </si>
  <si>
    <t>14:16:17</t>
  </si>
  <si>
    <t>10:30:00</t>
  </si>
  <si>
    <t>13:23:00</t>
  </si>
  <si>
    <t>11:52:52</t>
  </si>
  <si>
    <t>16:43:36</t>
  </si>
  <si>
    <t>13:46:00</t>
  </si>
  <si>
    <t>16:36:00</t>
  </si>
  <si>
    <t>17:20:00</t>
  </si>
  <si>
    <t>06:00:00</t>
  </si>
  <si>
    <t>07:01:00</t>
  </si>
  <si>
    <t>16:09:00</t>
  </si>
  <si>
    <t>21:31:00</t>
  </si>
  <si>
    <t>23:08:25</t>
  </si>
  <si>
    <t>06:46:55</t>
  </si>
  <si>
    <t>12:20:00</t>
  </si>
  <si>
    <t>12:08:00</t>
  </si>
  <si>
    <t>13:19:56</t>
  </si>
  <si>
    <t>16:34:00</t>
  </si>
  <si>
    <t>09:12:00</t>
  </si>
  <si>
    <t>21:32:00</t>
  </si>
  <si>
    <t>03:20:00</t>
  </si>
  <si>
    <t>18:37:00</t>
  </si>
  <si>
    <t>22:39:05</t>
  </si>
  <si>
    <t>14:54:40</t>
  </si>
  <si>
    <t>15:33:00</t>
  </si>
  <si>
    <t>12:04:00</t>
  </si>
  <si>
    <t>17:50:00</t>
  </si>
  <si>
    <t>17:18:00</t>
  </si>
  <si>
    <t>20:13:05</t>
  </si>
  <si>
    <t>10:44:00</t>
  </si>
  <si>
    <t>19:48:14</t>
  </si>
  <si>
    <t>11:34:27</t>
  </si>
  <si>
    <t>15:16:00</t>
  </si>
  <si>
    <t>13:48:00</t>
  </si>
  <si>
    <t>00:30:00</t>
  </si>
  <si>
    <t>12:50:00</t>
  </si>
  <si>
    <t>15:18:52</t>
  </si>
  <si>
    <t>20:58:28</t>
  </si>
  <si>
    <t>14:07:00</t>
  </si>
  <si>
    <t>02:04:00</t>
  </si>
  <si>
    <t>22:53:00</t>
  </si>
  <si>
    <t>18:46:00</t>
  </si>
  <si>
    <t>23:12:00</t>
  </si>
  <si>
    <t>04:10:00</t>
  </si>
  <si>
    <t>06:53:47</t>
  </si>
  <si>
    <t>08:49:58</t>
  </si>
  <si>
    <t>17:10:00</t>
  </si>
  <si>
    <t>09:45:00</t>
  </si>
  <si>
    <t>00:20:00</t>
  </si>
  <si>
    <t>14:06:00</t>
  </si>
  <si>
    <t>20:33:00</t>
  </si>
  <si>
    <t>15:04:00</t>
  </si>
  <si>
    <t>17:15:31</t>
  </si>
  <si>
    <t>00:46:00</t>
  </si>
  <si>
    <t>17:42:43</t>
  </si>
  <si>
    <t>19:07:00</t>
  </si>
  <si>
    <t>11:24:00</t>
  </si>
  <si>
    <t>08:16:00</t>
  </si>
  <si>
    <t>10:10:00</t>
  </si>
  <si>
    <t>10:16:00</t>
  </si>
  <si>
    <t>11:02:09</t>
  </si>
  <si>
    <t>14:08:00</t>
  </si>
  <si>
    <t>14:54:00</t>
  </si>
  <si>
    <t>10:57:00</t>
  </si>
  <si>
    <t>09:00:00</t>
  </si>
  <si>
    <t>15:48:00</t>
  </si>
  <si>
    <t>03:16:00</t>
  </si>
  <si>
    <t>04:16:00</t>
  </si>
  <si>
    <t>17:37:43</t>
  </si>
  <si>
    <t>17:16:00</t>
  </si>
  <si>
    <t>21:23:00</t>
  </si>
  <si>
    <t>20:27:29</t>
  </si>
  <si>
    <t>07:45:14</t>
  </si>
  <si>
    <t>01:28:00</t>
  </si>
  <si>
    <t>06:22:34</t>
  </si>
  <si>
    <t>09:15:00</t>
  </si>
  <si>
    <t>10:52:04</t>
  </si>
  <si>
    <t>11:19:00</t>
  </si>
  <si>
    <t>11:40:00</t>
  </si>
  <si>
    <t>11:49:00</t>
  </si>
  <si>
    <t>14:09:00</t>
  </si>
  <si>
    <t>13:40:00</t>
  </si>
  <si>
    <t>15:36:45</t>
  </si>
  <si>
    <t>13:20:39</t>
  </si>
  <si>
    <t>17:19:00</t>
  </si>
  <si>
    <t>18:19:16</t>
  </si>
  <si>
    <t>17:55:00</t>
  </si>
  <si>
    <t>15:09:52</t>
  </si>
  <si>
    <t>07:00:00</t>
  </si>
  <si>
    <t>18:44:00</t>
  </si>
  <si>
    <t>14:45:37</t>
  </si>
  <si>
    <t>16:01:00</t>
  </si>
  <si>
    <t>10:52:00</t>
  </si>
  <si>
    <t>14:55:59</t>
  </si>
  <si>
    <t>16:33:58</t>
  </si>
  <si>
    <t>14:18:17</t>
  </si>
  <si>
    <t>14:16:00</t>
  </si>
  <si>
    <t>18:42:41</t>
  </si>
  <si>
    <t>16:13:41</t>
  </si>
  <si>
    <t>16:15:15</t>
  </si>
  <si>
    <t>14:57:31</t>
  </si>
  <si>
    <t>20:38:00</t>
  </si>
  <si>
    <t>20:15:36</t>
  </si>
  <si>
    <t>17:25:04</t>
  </si>
  <si>
    <t>03:00:00</t>
  </si>
  <si>
    <t>23:16:18</t>
  </si>
  <si>
    <t>18:42:22</t>
  </si>
  <si>
    <t>10:47:00</t>
  </si>
  <si>
    <t>22:27:00</t>
  </si>
  <si>
    <t>03:12:00</t>
  </si>
  <si>
    <t>03:45:00</t>
  </si>
  <si>
    <t>12:07:00</t>
  </si>
  <si>
    <t>13:42:00</t>
  </si>
  <si>
    <t>13:12:00</t>
  </si>
  <si>
    <t>02:01:00</t>
  </si>
  <si>
    <t>13:22:00</t>
  </si>
  <si>
    <t>15:09:55</t>
  </si>
  <si>
    <t>14:27:00</t>
  </si>
  <si>
    <t>15:05:52</t>
  </si>
  <si>
    <t>16:43:00</t>
  </si>
  <si>
    <t>09:28:00</t>
  </si>
  <si>
    <t>16:13:00</t>
  </si>
  <si>
    <t>18:17:00</t>
  </si>
  <si>
    <t>17:27:00</t>
  </si>
  <si>
    <t>17:03:00</t>
  </si>
  <si>
    <t>06:52:14</t>
  </si>
  <si>
    <t>14:47:00</t>
  </si>
  <si>
    <t>18:36:46</t>
  </si>
  <si>
    <t>11:23:00</t>
  </si>
  <si>
    <t>21:39:00</t>
  </si>
  <si>
    <t>22:56:00</t>
  </si>
  <si>
    <t>17:01:15</t>
  </si>
  <si>
    <t>13:39:00</t>
  </si>
  <si>
    <t>14:02:31</t>
  </si>
  <si>
    <t>14:53:15</t>
  </si>
  <si>
    <t>15:47:00</t>
  </si>
  <si>
    <t>15:34:12</t>
  </si>
  <si>
    <t>04:40:00</t>
  </si>
  <si>
    <t>02:26:00</t>
  </si>
  <si>
    <t>16:18:00</t>
  </si>
  <si>
    <t>18:31:00</t>
  </si>
  <si>
    <t>18:07:00</t>
  </si>
  <si>
    <t>16:53:00</t>
  </si>
  <si>
    <t>06:37:00</t>
  </si>
  <si>
    <t>07:42:00</t>
  </si>
  <si>
    <t>08:54:24</t>
  </si>
  <si>
    <t>09:14:00</t>
  </si>
  <si>
    <t>06:14:55</t>
  </si>
  <si>
    <t>12:03:00</t>
  </si>
  <si>
    <t>13:45:43</t>
  </si>
  <si>
    <t>08:50:23</t>
  </si>
  <si>
    <t>11:43:00</t>
  </si>
  <si>
    <t>11:14:00</t>
  </si>
  <si>
    <t>08:22:00</t>
  </si>
  <si>
    <t>13:18:00</t>
  </si>
  <si>
    <t>11:11:55</t>
  </si>
  <si>
    <t>14:46:33</t>
  </si>
  <si>
    <t>08:16:33</t>
  </si>
  <si>
    <t>11:29:03</t>
  </si>
  <si>
    <t>13:56:02</t>
  </si>
  <si>
    <t>11:52:15</t>
  </si>
  <si>
    <t>02:47:20</t>
  </si>
  <si>
    <t>17:37:00</t>
  </si>
  <si>
    <t>19:31:10</t>
  </si>
  <si>
    <t>15:36:23</t>
  </si>
  <si>
    <t>12:54:13</t>
  </si>
  <si>
    <t>12:17:32</t>
  </si>
  <si>
    <t>16:24:24</t>
  </si>
  <si>
    <t>15:57:10</t>
  </si>
  <si>
    <t>14:16:53</t>
  </si>
  <si>
    <t>16:36:50</t>
  </si>
  <si>
    <t>16:44:08</t>
  </si>
  <si>
    <t>17:40:00</t>
  </si>
  <si>
    <t>17:51:00</t>
  </si>
  <si>
    <t>11:08:00</t>
  </si>
  <si>
    <t>17:36:15</t>
  </si>
  <si>
    <t>17:42:04</t>
  </si>
  <si>
    <t>18:50:00</t>
  </si>
  <si>
    <t>20:31:46</t>
  </si>
  <si>
    <t>21:15:00</t>
  </si>
  <si>
    <t>11:51:00</t>
  </si>
  <si>
    <t>21:37:00</t>
  </si>
  <si>
    <t>12:46:00</t>
  </si>
  <si>
    <t>21:51:00</t>
  </si>
  <si>
    <t>13:36:04</t>
  </si>
  <si>
    <t>17:41:57</t>
  </si>
  <si>
    <t>21:57:00</t>
  </si>
  <si>
    <t>19:35:00</t>
  </si>
  <si>
    <t>23:45:00</t>
  </si>
  <si>
    <t>17:08:00</t>
  </si>
  <si>
    <t>15:55:57</t>
  </si>
  <si>
    <t>21:43:36</t>
  </si>
  <si>
    <t>13:47:00</t>
  </si>
  <si>
    <t>16:35:55</t>
  </si>
  <si>
    <t>23:44:00</t>
  </si>
  <si>
    <t>14:35:00</t>
  </si>
  <si>
    <t>15:42:00</t>
  </si>
  <si>
    <t>17:47:43</t>
  </si>
  <si>
    <t>15:40:37</t>
  </si>
  <si>
    <t>16:37:04</t>
  </si>
  <si>
    <t>18:06:54</t>
  </si>
  <si>
    <t>16:54:00</t>
  </si>
  <si>
    <t>16:42:00</t>
  </si>
  <si>
    <t>17:22:51</t>
  </si>
  <si>
    <t>18:19:31</t>
  </si>
  <si>
    <t>19:02:00</t>
  </si>
  <si>
    <t>22:18:00</t>
  </si>
  <si>
    <t>19:27:46</t>
  </si>
  <si>
    <t>20:22:00</t>
  </si>
  <si>
    <t>19:57:00</t>
  </si>
  <si>
    <t>08:35:00</t>
  </si>
  <si>
    <t>22:43:07</t>
  </si>
  <si>
    <t>11:54:00</t>
  </si>
  <si>
    <t>05:45:00</t>
  </si>
  <si>
    <t>09:18:22</t>
  </si>
  <si>
    <t>00:56:00</t>
  </si>
  <si>
    <t>09:43:00</t>
  </si>
  <si>
    <t>14:59:00</t>
  </si>
  <si>
    <t>23:55:00</t>
  </si>
  <si>
    <t>09:59:00</t>
  </si>
  <si>
    <t>13:05:00</t>
  </si>
  <si>
    <t>11:12:00</t>
  </si>
  <si>
    <t>11:42:00</t>
  </si>
  <si>
    <t>01:03:00</t>
  </si>
  <si>
    <t>08:40:45</t>
  </si>
  <si>
    <t>13:52:00</t>
  </si>
  <si>
    <t>14:17:25</t>
  </si>
  <si>
    <t>14:33:01</t>
  </si>
  <si>
    <t>06:42:19</t>
  </si>
  <si>
    <t>16:53:18</t>
  </si>
  <si>
    <t>11:18:00</t>
  </si>
  <si>
    <t>01:58:00</t>
  </si>
  <si>
    <t>10:36:00</t>
  </si>
  <si>
    <t>14:36:35</t>
  </si>
  <si>
    <t>08:31:40</t>
  </si>
  <si>
    <t>12:30:19</t>
  </si>
  <si>
    <t>13:13:41</t>
  </si>
  <si>
    <t>12:24:00</t>
  </si>
  <si>
    <t>15:49:07</t>
  </si>
  <si>
    <t>11:59:00</t>
  </si>
  <si>
    <t>07:35:00</t>
  </si>
  <si>
    <t>16:07:49</t>
  </si>
  <si>
    <t>10:26:00</t>
  </si>
  <si>
    <t>14:43:10</t>
  </si>
  <si>
    <t>15:03:04</t>
  </si>
  <si>
    <t>16:10:02</t>
  </si>
  <si>
    <t>15:41:24</t>
  </si>
  <si>
    <t>11:20:00</t>
  </si>
  <si>
    <t>10:58:28</t>
  </si>
  <si>
    <t>07:07:00</t>
  </si>
  <si>
    <t>20:00:29</t>
  </si>
  <si>
    <t>16:29:00</t>
  </si>
  <si>
    <t>13:33:56</t>
  </si>
  <si>
    <t>16:14:25</t>
  </si>
  <si>
    <t>09:07:57</t>
  </si>
  <si>
    <t>17:35:00</t>
  </si>
  <si>
    <t>16:16:40</t>
  </si>
  <si>
    <t>17:48:10</t>
  </si>
  <si>
    <t>18:40:09</t>
  </si>
  <si>
    <t>17:56:05</t>
  </si>
  <si>
    <t>17:25:12</t>
  </si>
  <si>
    <t>10:43:58</t>
  </si>
  <si>
    <t>SUM of AcresBurned</t>
  </si>
  <si>
    <t>COUNTA of Year</t>
  </si>
  <si>
    <t xml:space="preserve">Proportion of Fires Considered Major 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</si>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</sst>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00%"/>
  </numFmts>
  <fonts count="6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4" numFmtId="164" xfId="0" applyFont="1" applyNumberFormat="1"/>
    <xf borderId="0" fillId="2" fontId="5" numFmtId="0" xfId="0" applyFill="1" applyFont="1"/>
    <xf borderId="0" fillId="0" fontId="1" numFmtId="0" xfId="0" applyAlignment="1" applyFont="1">
      <alignment readingOrder="0"/>
    </xf>
    <xf borderId="0" fillId="0" fontId="4" numFmtId="4" xfId="0" applyFont="1" applyNumberForma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637" sheet="California_Fire_Incidents"/>
  </cacheSource>
  <cacheFields>
    <cacheField name="AcresBurned" numFmtId="0">
      <sharedItems containsString="0" containsBlank="1" containsNumber="1" containsInteger="1">
        <n v="257314.0"/>
        <n v="30274.0"/>
        <n v="27531.0"/>
        <n v="27440.0"/>
        <n v="24251.0"/>
        <n v="22992.0"/>
        <n v="20292.0"/>
        <n v="14754.0"/>
        <n v="12503.0"/>
        <n v="11429.0"/>
        <n v="8073.0"/>
        <n v="7055.0"/>
        <n v="6965.0"/>
        <n v="4346.0"/>
        <n v="3505.0"/>
        <n v="3166.0"/>
        <n v="3111.0"/>
        <n v="2781.0"/>
        <n v="2462.0"/>
        <n v="2236.0"/>
        <n v="2060.0"/>
        <n v="1984.0"/>
        <n v="1708.0"/>
        <n v="1383.0"/>
        <n v="1271.0"/>
        <n v="1070.0"/>
        <n v="917.0"/>
        <n v="794.0"/>
        <n v="712.0"/>
        <n v="612.0"/>
        <n v="572.0"/>
        <n v="534.0"/>
        <n v="513.0"/>
        <n v="510.0"/>
        <n v="502.0"/>
        <n v="500.0"/>
        <n v="492.0"/>
        <n v="482.0"/>
        <n v="413.0"/>
        <n v="406.0"/>
        <n v="376.0"/>
        <n v="354.0"/>
        <n v="311.0"/>
        <n v="305.0"/>
        <n v="303.0"/>
        <n v="298.0"/>
        <n v="296.0"/>
        <n v="274.0"/>
        <n v="268.0"/>
        <n v="263.0"/>
        <n v="243.0"/>
        <n v="240.0"/>
        <n v="237.0"/>
        <n v="226.0"/>
        <n v="217.0"/>
        <n v="213.0"/>
        <n v="200.0"/>
        <n v="196.0"/>
        <n v="195.0"/>
        <n v="190.0"/>
        <n v="170.0"/>
        <n v="163.0"/>
        <n v="159.0"/>
        <n v="158.0"/>
        <n v="150.0"/>
        <n v="149.0"/>
        <n v="134.0"/>
        <n v="125.0"/>
        <n v="124.0"/>
        <n v="120.0"/>
        <n v="116.0"/>
        <n v="110.0"/>
        <n v="108.0"/>
        <n v="105.0"/>
        <n v="100.0"/>
        <n v="98.0"/>
        <n v="97.0"/>
        <n v="96.0"/>
        <n v="94.0"/>
        <n v="92.0"/>
        <n v="91.0"/>
        <n v="90.0"/>
        <n v="85.0"/>
        <n v="82.0"/>
        <n v="80.0"/>
        <n v="75.0"/>
        <n v="73.0"/>
        <n v="72.0"/>
        <n v="70.0"/>
        <n v="68.0"/>
        <n v="64.0"/>
        <n v="60.0"/>
        <n v="52.0"/>
        <n v="51.0"/>
        <n v="50.0"/>
        <n v="46.0"/>
        <n v="45.0"/>
        <n v="44.0"/>
        <n v="43.0"/>
        <n v="42.0"/>
        <n v="41.0"/>
        <n v="40.0"/>
        <n v="38.0"/>
        <n v="35.0"/>
        <n v="34.0"/>
        <n v="33.0"/>
        <n v="31.0"/>
        <n v="30.0"/>
        <n v="28.0"/>
        <n v="27.0"/>
        <n v="25.0"/>
        <n v="23.0"/>
        <n v="15.0"/>
        <n v="0.0"/>
        <n v="97717.0"/>
        <n v="50042.0"/>
        <n v="39736.0"/>
        <n v="35302.0"/>
        <n v="32496.0"/>
        <n v="32416.0"/>
        <n v="14416.0"/>
        <n v="13838.0"/>
        <n v="13153.0"/>
        <n v="12661.0"/>
        <n v="12536.0"/>
        <n v="6488.0"/>
        <n v="6258.0"/>
        <n v="5503.0"/>
        <n v="5367.0"/>
        <n v="4840.0"/>
        <n v="4772.0"/>
        <n v="4689.0"/>
        <n v="4300.0"/>
        <n v="4240.0"/>
        <n v="4045.0"/>
        <n v="3895.0"/>
        <n v="2143.0"/>
        <n v="1995.0"/>
        <n v="1952.0"/>
        <n v="1680.0"/>
        <n v="1651.0"/>
        <n v="1548.0"/>
        <n v="1469.0"/>
        <n v="1457.0"/>
        <n v="1375.0"/>
        <n v="1080.0"/>
        <n v="968.0"/>
        <n v="865.0"/>
        <n v="677.0"/>
        <n v="632.0"/>
        <n v="600.0"/>
        <n v="580.0"/>
        <n v="516.0"/>
        <n v="487.0"/>
        <n v="459.0"/>
        <n v="403.0"/>
        <n v="400.0"/>
        <n v="389.0"/>
        <n v="380.0"/>
        <n v="350.0"/>
        <n v="333.0"/>
        <n v="320.0"/>
        <n v="300.0"/>
        <n v="269.0"/>
        <n v="247.0"/>
        <n v="225.0"/>
        <n v="210.0"/>
        <n v="175.0"/>
        <n v="143.0"/>
        <n v="130.0"/>
        <n v="113.0"/>
        <n v="106.0"/>
        <n v="101.0"/>
        <n v="84.0"/>
        <n v="79.0"/>
        <n v="78.0"/>
        <n v="65.0"/>
        <n v="62.0"/>
        <n v="57.0"/>
        <n v="56.0"/>
        <n v="48.0"/>
        <n v="47.0"/>
        <n v="37.0"/>
        <n v="29.0"/>
        <n v="20.0"/>
        <n v="18.0"/>
        <n v="14.0"/>
        <n v="10.0"/>
        <n v="6.0"/>
        <n v="151623.0"/>
        <n v="77081.0"/>
        <n v="69438.0"/>
        <n v="36503.0"/>
        <n v="31359.0"/>
        <n v="30361.0"/>
        <n v="29416.0"/>
        <n v="25118.0"/>
        <n v="10570.0"/>
        <n v="7509.0"/>
        <n v="7000.0"/>
        <n v="6980.0"/>
        <n v="5702.0"/>
        <n v="4883.0"/>
        <n v="4863.0"/>
        <n v="4250.0"/>
        <n v="3676.0"/>
        <n v="2700.0"/>
        <n v="2446.0"/>
        <n v="2304.0"/>
        <n v="1850.0"/>
        <n v="1791.0"/>
        <n v="1542.0"/>
        <n v="1450.0"/>
        <n v="1333.0"/>
        <n v="1086.0"/>
        <n v="1049.0"/>
        <n v="1042.0"/>
        <n v="920.0"/>
        <n v="860.0"/>
        <n v="673.0"/>
        <n v="670.0"/>
        <n v="543.0"/>
        <n v="509.0"/>
        <n v="430.0"/>
        <n v="415.0"/>
        <n v="374.0"/>
        <n v="355.0"/>
        <n v="282.0"/>
        <n v="275.0"/>
        <n v="242.0"/>
        <n v="227.0"/>
        <n v="215.0"/>
        <n v="214.0"/>
        <n v="212.0"/>
        <n v="211.0"/>
        <n v="204.0"/>
        <n v="186.0"/>
        <n v="181.0"/>
        <n v="171.0"/>
        <n v="167.0"/>
        <n v="164.0"/>
        <n v="146.0"/>
        <n v="137.0"/>
        <n v="135.0"/>
        <n v="128.0"/>
        <n v="122.0"/>
        <n v="114.0"/>
        <n v="112.0"/>
        <n v="111.0"/>
        <n v="109.0"/>
        <n v="104.0"/>
        <n v="95.0"/>
        <n v="86.0"/>
        <n v="77.0"/>
        <n v="69.0"/>
        <n v="67.0"/>
        <n v="59.0"/>
        <n v="58.0"/>
        <n v="55.0"/>
        <n v="54.0"/>
        <n v="53.0"/>
        <n v="36.0"/>
        <n v="26.0"/>
        <n v="24.0"/>
        <n v="22.0"/>
        <n v="21.0"/>
        <n v="19.0"/>
        <n v="16.0"/>
        <n v="132127.0"/>
        <n v="48019.0"/>
        <n v="46344.0"/>
        <n v="36274.0"/>
        <n v="33867.0"/>
        <n v="32606.0"/>
        <n v="29322.0"/>
        <n v="12518.0"/>
        <n v="8110.0"/>
        <n v="7609.0"/>
        <n v="7474.0"/>
        <n v="7050.0"/>
        <n v="5731.0"/>
        <n v="5646.0"/>
        <n v="5443.0"/>
        <n v="5399.0"/>
        <n v="4824.0"/>
        <n v="4474.0"/>
        <n v="4347.0"/>
        <n v="3929.0"/>
        <n v="3876.0"/>
        <n v="3712.0"/>
        <n v="2944.0"/>
        <n v="2860.0"/>
        <n v="2819.0"/>
        <n v="2652.0"/>
        <n v="2575.0"/>
        <n v="2520.0"/>
        <n v="2241.0"/>
        <n v="2100.0"/>
        <n v="1785.0"/>
        <n v="1547.0"/>
        <n v="1470.0"/>
        <n v="1246.0"/>
        <n v="1245.0"/>
        <n v="1109.0"/>
        <n v="850.0"/>
        <n v="710.0"/>
        <n v="650.0"/>
        <n v="599.0"/>
        <n v="554.0"/>
        <n v="550.0"/>
        <n v="518.0"/>
        <n v="464.0"/>
        <n v="450.0"/>
        <n v="441.0"/>
        <n v="395.0"/>
        <n v="372.0"/>
        <n v="360.0"/>
        <n v="341.0"/>
        <n v="310.0"/>
        <n v="306.0"/>
        <n v="304.0"/>
        <n v="278.0"/>
        <n v="277.0"/>
        <n v="248.0"/>
        <n v="221.0"/>
        <n v="188.0"/>
        <n v="176.0"/>
        <n v="173.0"/>
        <n v="169.0"/>
        <n v="156.0"/>
        <n v="151.0"/>
        <n v="147.0"/>
        <n v="145.0"/>
        <n v="140.0"/>
        <n v="139.0"/>
        <n v="138.0"/>
        <n v="132.0"/>
        <n v="123.0"/>
        <n v="103.0"/>
        <n v="88.0"/>
        <n v="87.0"/>
        <n v="83.0"/>
        <n v="61.0"/>
        <n v="49.0"/>
        <n v="32.0"/>
        <n v="11.0"/>
        <n v="281893.0"/>
        <n v="83733.0"/>
        <n v="83120.0"/>
        <n v="81826.0"/>
        <n v="78698.0"/>
        <n v="56556.0"/>
        <n v="51624.0"/>
        <n v="48889.0"/>
        <n v="39715.0"/>
        <n v="36807.0"/>
        <n v="36556.0"/>
        <n v="36523.0"/>
        <n v="28687.0"/>
        <n v="27276.0"/>
        <n v="21846.0"/>
        <n v="18900.0"/>
        <n v="18618.0"/>
        <n v="18430.0"/>
        <n v="17357.0"/>
        <n v="16031.0"/>
        <n v="15619.0"/>
        <n v="13417.0"/>
        <n v="12407.0"/>
        <n v="10343.0"/>
        <n v="9989.0"/>
        <n v="9217.0"/>
        <n v="8925.0"/>
        <n v="8417.0"/>
        <n v="8094.0"/>
        <n v="7697.0"/>
        <n v="7194.0"/>
        <n v="6309.0"/>
        <n v="6151.0"/>
        <n v="6049.0"/>
        <n v="6042.0"/>
        <n v="6033.0"/>
        <n v="5738.0"/>
        <n v="5247.0"/>
        <n v="4736.0"/>
        <n v="4310.0"/>
        <n v="4100.0"/>
        <n v="4016.0"/>
        <n v="3874.0"/>
        <n v="3142.0"/>
        <n v="2940.0"/>
        <n v="2662.0"/>
        <n v="2312.0"/>
        <n v="2295.0"/>
        <n v="2289.0"/>
        <n v="2269.0"/>
        <n v="2207.0"/>
        <n v="2056.0"/>
        <n v="1868.0"/>
        <n v="1816.0"/>
        <n v="1800.0"/>
        <n v="1749.0"/>
        <n v="1660.0"/>
        <n v="1649.0"/>
        <n v="1626.0"/>
        <n v="1598.0"/>
        <n v="1538.0"/>
        <n v="1522.0"/>
        <n v="1503.0"/>
        <n v="1431.0"/>
        <n v="1350.0"/>
        <n v="1319.0"/>
        <n v="1286.0"/>
        <n v="1200.0"/>
        <n v="1088.0"/>
        <n v="1083.0"/>
        <n v="1044.0"/>
        <n v="1035.0"/>
        <n v="1020.0"/>
        <n v="1000.0"/>
        <n v="995.0"/>
        <n v="976.0"/>
        <n v="900.0"/>
        <n v="867.0"/>
        <n v="866.0"/>
        <n v="859.0"/>
        <n v="821.0"/>
        <n v="800.0"/>
        <n v="775.0"/>
        <n v="760.0"/>
        <n v="747.0"/>
        <n v="690.0"/>
        <n v="680.0"/>
        <n v="630.0"/>
        <n v="562.0"/>
        <n v="545.0"/>
        <n v="530.0"/>
        <n v="506.0"/>
        <n v="486.0"/>
        <n v="469.0"/>
        <n v="460.0"/>
        <n v="444.0"/>
        <n v="429.0"/>
        <n v="426.0"/>
        <n v="422.0"/>
        <n v="416.0"/>
        <n v="410.0"/>
        <n v="392.0"/>
        <n v="391.0"/>
        <n v="370.0"/>
        <n v="357.0"/>
        <n v="340.0"/>
        <n v="339.0"/>
        <n v="338.0"/>
        <n v="325.0"/>
        <n v="319.0"/>
        <n v="288.0"/>
        <n v="260.0"/>
        <n v="255.0"/>
        <n v="245.0"/>
        <n v="236.0"/>
        <n v="231.0"/>
        <n v="206.0"/>
        <n v="205.0"/>
        <n v="194.0"/>
        <n v="184.0"/>
        <n v="183.0"/>
        <n v="180.0"/>
        <n v="168.0"/>
        <n v="166.0"/>
        <n v="157.0"/>
        <n v="155.0"/>
        <n v="153.0"/>
        <n v="148.0"/>
        <n v="136.0"/>
        <n v="126.0"/>
        <n v="117.0"/>
        <n v="102.0"/>
        <n v="99.0"/>
        <n v="81.0"/>
        <n v="76.0"/>
        <n v="74.0"/>
        <n v="63.0"/>
        <n v="39.0"/>
        <n v="17.0"/>
        <n v="13.0"/>
        <n v="12.0"/>
        <n v="410203.0"/>
        <n v="229651.0"/>
        <n v="153336.0"/>
        <n v="96949.0"/>
        <n v="96901.0"/>
        <n v="90288.0"/>
        <n v="63311.0"/>
        <n v="48920.0"/>
        <n v="46150.0"/>
        <n v="39387.0"/>
        <n v="38008.0"/>
        <n v="36450.0"/>
        <n v="23136.0"/>
        <n v="18703.0"/>
        <n v="15185.0"/>
        <n v="13139.0"/>
        <n v="12300.0"/>
        <n v="6974.0"/>
        <n v="4564.0"/>
        <n v="4531.0"/>
        <n v="4500.0"/>
        <n v="4064.0"/>
        <n v="3889.0"/>
        <n v="3716.0"/>
        <n v="3674.0"/>
        <n v="3380.0"/>
        <n v="2995.0"/>
        <n v="2956.0"/>
        <n v="2950.0"/>
        <n v="2883.0"/>
        <n v="2490.0"/>
        <n v="2290.0"/>
        <n v="2225.0"/>
        <n v="2162.0"/>
        <n v="2070.0"/>
        <n v="1900.0"/>
        <n v="1756.0"/>
        <n v="1751.0"/>
        <n v="1678.0"/>
        <n v="1500.0"/>
        <n v="1352.0"/>
        <n v="1314.0"/>
        <n v="1265.0"/>
        <n v="1261.0"/>
        <n v="1120.0"/>
        <n v="1014.0"/>
        <n v="993.0"/>
        <n v="972.0"/>
        <n v="962.0"/>
        <n v="856.0"/>
        <n v="825.0"/>
        <n v="822.0"/>
        <n v="700.0"/>
        <n v="668.0"/>
        <n v="646.0"/>
        <n v="640.0"/>
        <n v="573.0"/>
        <n v="504.0"/>
        <n v="484.0"/>
        <n v="375.0"/>
        <n v="367.0"/>
        <n v="365.0"/>
        <n v="347.0"/>
        <n v="328.0"/>
        <n v="316.0"/>
        <n v="293.0"/>
        <n v="290.0"/>
        <n v="289.0"/>
        <n v="265.0"/>
        <n v="261.0"/>
        <n v="258.0"/>
        <n v="250.0"/>
        <n v="224.0"/>
        <n v="207.0"/>
        <n v="191.0"/>
        <n v="185.0"/>
        <n v="172.0"/>
        <n v="160.0"/>
        <n v="154.0"/>
        <n v="152.0"/>
        <n v="127.0"/>
        <n v="115.0"/>
        <n v="89.0"/>
        <n v="66.0"/>
        <n v="1806.0"/>
        <n v="1300.0"/>
        <n v="1011.0"/>
        <n v="605.0"/>
        <n v="494.0"/>
        <n v="107.0"/>
        <n v="77758.0"/>
        <n v="54612.0"/>
        <n v="14217.0"/>
        <n v="10296.0"/>
        <n v="9999.0"/>
        <n v="8838.0"/>
        <n v="8799.0"/>
        <n v="5737.0"/>
        <n v="5563.0"/>
        <n v="5332.0"/>
        <n v="4615.0"/>
        <n v="3435.0"/>
        <n v="3126.0"/>
        <n v="2546.0"/>
        <n v="2534.0"/>
        <n v="2512.0"/>
        <n v="2500.0"/>
        <n v="2438.0"/>
        <n v="2422.0"/>
        <n v="1975.0"/>
        <n v="1926.0"/>
        <n v="1872.0"/>
        <n v="1764.0"/>
        <n v="1507.0"/>
        <n v="1301.0"/>
        <n v="1165.0"/>
        <n v="1127.0"/>
        <n v="974.0"/>
        <n v="835.0"/>
        <n v="757.0"/>
        <n v="756.0"/>
        <n v="745.0"/>
        <n v="703.0"/>
        <n v="604.0"/>
        <n v="526.0"/>
        <n v="525.0"/>
        <n v="520.0"/>
        <n v="496.0"/>
        <n v="448.0"/>
        <n v="423.0"/>
        <n v="420.0"/>
        <n v="381.0"/>
        <n v="283.0"/>
        <n v="280.0"/>
        <n v="279.0"/>
        <n v="257.0"/>
        <n v="244.0"/>
        <n v="220.0"/>
        <n v="208.0"/>
        <n v="202.0"/>
        <n v="193.0"/>
        <n v="161.0"/>
        <n v="144.0"/>
        <n v="131.0"/>
        <n v="121.0"/>
        <n v="9.0"/>
        <n v="2.0"/>
        <m/>
      </sharedItems>
    </cacheField>
    <cacheField name="Active" numFmtId="0">
      <sharedItems>
        <b v="0"/>
      </sharedItems>
    </cacheField>
    <cacheField name="Counties" numFmtId="0">
      <sharedItems>
        <s v="Tuolumne"/>
        <s v="Los Angeles"/>
        <s v="Riverside"/>
        <s v="Placer"/>
        <s v="Ventura"/>
        <s v="Fresno"/>
        <s v="Siskiyou"/>
        <s v="Humboldt"/>
        <s v="Tehama"/>
        <s v="Shasta"/>
        <s v="San Diego"/>
        <s v="Kern"/>
        <s v="Sonoma"/>
        <s v="Contra Costa"/>
        <s v="Butte"/>
        <s v="Tulare"/>
        <s v="Santa Barbara"/>
        <s v="Mariposa"/>
        <s v="Monterey"/>
        <s v="El Dorado"/>
        <s v="San Bernardino"/>
        <s v="Plumas"/>
        <s v="Modoc"/>
        <s v="San Luis Obispo"/>
        <s v="Madera"/>
        <s v="Inyo"/>
        <s v="Napa"/>
        <s v="San Benito"/>
        <s v="San Joaquin"/>
        <s v="Lake"/>
        <s v="Alameda"/>
        <s v="Glenn"/>
        <s v="Yolo"/>
        <s v="Sacramento"/>
        <s v="Stanislaus"/>
        <s v="Solano"/>
        <s v="Merced"/>
        <s v="Mendocino"/>
        <s v="Lassen"/>
        <s v="Amador"/>
        <s v="Yuba"/>
        <s v="Nevada"/>
        <s v="Santa Clara"/>
        <s v="Calaveras"/>
        <s v="San Mateo"/>
        <s v="Orange"/>
        <s v="Colusa"/>
        <s v="Trinity"/>
        <s v="Del Norte"/>
        <s v="Mono"/>
        <s v="Alpine"/>
        <s v="Sutter"/>
        <s v="Kings"/>
        <s v="Sierra"/>
        <s v="Santa Cruz"/>
        <s v="Marin"/>
        <s v="Mexico"/>
        <s v="State of Oregon"/>
        <s v="State of Nevada"/>
      </sharedItems>
    </cacheField>
    <cacheField name="CrewsInvolved" numFmtId="0">
      <sharedItems containsString="0" containsBlank="1" containsNumber="1" containsInteger="1">
        <m/>
        <n v="47.0"/>
        <n v="63.0"/>
        <n v="30.0"/>
        <n v="12.0"/>
        <n v="56.0"/>
        <n v="53.0"/>
        <n v="29.0"/>
        <n v="8.0"/>
        <n v="36.0"/>
        <n v="33.0"/>
        <n v="2.0"/>
        <n v="54.0"/>
        <n v="20.0"/>
        <n v="25.0"/>
        <n v="4.0"/>
        <n v="3.0"/>
        <n v="11.0"/>
        <n v="24.0"/>
        <n v="6.0"/>
        <n v="9.0"/>
        <n v="10.0"/>
        <n v="15.0"/>
        <n v="13.0"/>
        <n v="5.0"/>
        <n v="18.0"/>
        <n v="1.0"/>
        <n v="7.0"/>
        <n v="22.0"/>
        <n v="82.0"/>
        <n v="14.0"/>
        <n v="39.0"/>
        <n v="26.0"/>
        <n v="21.0"/>
        <n v="28.0"/>
        <n v="17.0"/>
        <n v="19.0"/>
        <n v="23.0"/>
        <n v="58.0"/>
        <n v="0.0"/>
        <n v="16.0"/>
      </sharedItems>
    </cacheField>
    <cacheField name="Dozers" numFmtId="0">
      <sharedItems containsString="0" containsBlank="1" containsNumber="1" containsInteger="1">
        <m/>
        <n v="8.0"/>
        <n v="20.0"/>
        <n v="3.0"/>
        <n v="24.0"/>
        <n v="22.0"/>
        <n v="1.0"/>
        <n v="5.0"/>
        <n v="25.0"/>
        <n v="28.0"/>
        <n v="27.0"/>
        <n v="29.0"/>
        <n v="2.0"/>
        <n v="6.0"/>
        <n v="13.0"/>
        <n v="4.0"/>
        <n v="18.0"/>
        <n v="14.0"/>
        <n v="12.0"/>
        <n v="9.0"/>
        <n v="7.0"/>
        <n v="0.0"/>
        <n v="10.0"/>
        <n v="48.0"/>
        <n v="76.0"/>
      </sharedItems>
    </cacheField>
    <cacheField name="Engines" numFmtId="0">
      <sharedItems containsString="0" containsBlank="1" containsNumber="1" containsInteger="1">
        <m/>
        <n v="117.0"/>
        <n v="201.0"/>
        <n v="36.0"/>
        <n v="30.0"/>
        <n v="183.0"/>
        <n v="131.0"/>
        <n v="34.0"/>
        <n v="5.0"/>
        <n v="62.0"/>
        <n v="3.0"/>
        <n v="73.0"/>
        <n v="95.0"/>
        <n v="42.0"/>
        <n v="37.0"/>
        <n v="29.0"/>
        <n v="25.0"/>
        <n v="1.0"/>
        <n v="15.0"/>
        <n v="26.0"/>
        <n v="6.0"/>
        <n v="31.0"/>
        <n v="17.0"/>
        <n v="4.0"/>
        <n v="24.0"/>
        <n v="10.0"/>
        <n v="13.0"/>
        <n v="21.0"/>
        <n v="19.0"/>
        <n v="8.0"/>
        <n v="20.0"/>
        <n v="2.0"/>
        <n v="7.0"/>
        <n v="46.0"/>
        <n v="12.0"/>
        <n v="57.0"/>
        <n v="23.0"/>
        <n v="35.0"/>
        <n v="18.0"/>
        <n v="9.0"/>
        <n v="11.0"/>
        <n v="14.0"/>
        <n v="47.0"/>
        <n v="138.0"/>
        <n v="92.0"/>
        <n v="51.0"/>
        <n v="55.0"/>
        <n v="41.0"/>
        <n v="256.0"/>
        <n v="22.0"/>
        <n v="45.0"/>
        <n v="98.0"/>
        <n v="69.0"/>
        <n v="0.0"/>
        <n v="16.0"/>
      </sharedItems>
    </cacheField>
    <cacheField name="Extinguished" numFmtId="0">
      <sharedItems containsBlank="1">
        <s v="2013-09-06T18:30:00Z"/>
        <s v="2013-06-08T18:30:00Z"/>
        <s v="2013-07-30T18:00:00Z"/>
        <s v="2013-08-30T08:00:00Z"/>
        <s v="2013-05-11T06:30:00Z"/>
        <s v="2013-09-24T20:15:00Z"/>
        <s v="2013-08-12T18:00:00Z"/>
        <s v="2013-08-31T06:45:00Z"/>
        <s v="2013-08-12T12:00:00Z"/>
        <s v="2013-08-29T16:45:00Z"/>
        <s v="2013-09-15T07:30:00Z"/>
        <s v="2013-07-15T06:15:00Z"/>
        <s v="2013-05-09T09:00:00Z"/>
        <s v="2013-05-21T19:45:00Z"/>
        <s v="2013-11-27T18:15:00Z"/>
        <s v="2013-05-04T18:30:00Z"/>
        <s v="2013-09-14T17:30:00Z"/>
        <s v="2013-05-26T17:45:00Z"/>
        <s v="2013-08-22T18:00:00Z"/>
        <s v="2013-10-09T19:00:00Z"/>
        <s v="2013-05-30T19:30:00Z"/>
        <s v="2013-06-26T11:15:00Z"/>
        <s v="2013-08-09T18:45:00Z"/>
        <s v="2013-05-31T06:15:00Z"/>
        <s v="2013-08-14T08:30:00Z"/>
        <s v="2013-12-20T20:00:00Z"/>
        <s v="2013-08-24T13:45:00Z"/>
        <s v="2013-07-22T18:45:00Z"/>
        <s v="2013-05-18T19:00:00Z"/>
        <s v="2013-07-25T18:30:00Z"/>
        <s v="2013-07-11T18:30:00Z"/>
        <s v="2013-07-01T06:00:00Z"/>
        <s v="2013-08-25T13:15:00Z"/>
        <s v="2013-05-05T18:45:00Z"/>
        <s v="2013-07-05T18:30:00Z"/>
        <s v="2013-06-03T18:30:00Z"/>
        <s v="2013-07-01T18:40:00Z"/>
        <s v="2013-06-18T19:30:00Z"/>
        <s v="2013-08-20T13:32:00Z"/>
        <s v="2013-02-28T20:00:00Z"/>
        <s v="2013-10-04T16:55:00Z"/>
        <s v="2013-05-03T18:45:00Z"/>
        <s v="2013-03-02T19:00:00Z"/>
        <s v="2013-10-05T22:00:00Z"/>
        <s v="2013-05-30T13:25:00Z"/>
        <s v="2013-06-03T20:00:00Z"/>
        <s v="2013-01-23T10:15:00Z"/>
        <s v="2013-07-01T18:30:00Z"/>
        <s v="2013-05-01T07:00:00Z"/>
        <s v="2013-09-28T08:00:00Z"/>
        <s v="2013-09-12T18:15:00Z"/>
        <s v="2013-08-13T23:45:00Z"/>
        <s v="2013-06-08T13:25:00Z"/>
        <s v="2013-06-13T14:15:00Z"/>
        <s v="2013-06-17T09:00:00Z"/>
        <s v="2013-05-05T18:00:00Z"/>
        <s v="2013-07-17T19:30:00Z"/>
        <s v="2013-09-30T08:30:00Z"/>
        <s v="2013-07-04T10:30:00Z"/>
        <s v="2013-08-23T19:15:00Z"/>
        <s v="2013-07-19T15:00:00Z"/>
        <s v="2013-11-23T18:30:00Z"/>
        <s v="2013-05-29T10:30:00Z"/>
        <s v="2013-11-04T15:35:00Z"/>
        <s v="2013-07-19T17:15:00Z"/>
        <s v="2013-10-05T07:45:00Z"/>
        <s v="2013-07-26T17:45:00Z"/>
        <s v="2013-10-04T10:30:00Z"/>
        <s v="2013-07-17T07:45:00Z"/>
        <s v="2013-07-13T21:45:00Z"/>
        <s v="2013-06-25T17:15:00Z"/>
        <s v="2013-05-22T09:30:00Z"/>
        <s v="2013-05-29T15:30:00Z"/>
        <s v="2013-05-03T06:15:00Z"/>
        <s v="2013-06-18T22:30:00Z"/>
        <s v="2013-06-05T08:30:00Z"/>
        <s v="2013-05-25T23:00:00Z"/>
        <s v="2013-11-10T18:30:00Z"/>
        <s v="2013-08-16T17:55:00Z"/>
        <s v="2013-08-18T20:55:00Z"/>
        <s v="2013-06-13T21:30:00Z"/>
        <s v="2013-06-29T18:30:00Z"/>
        <s v="2013-08-11T19:15:00Z"/>
        <s v="2013-06-02T16:55:00Z"/>
        <s v="2013-05-23T08:30:00Z"/>
        <s v="2013-09-29T18:15:00Z"/>
        <s v="2013-08-12T09:30:00Z"/>
        <s v="2013-06-13T09:45:00Z"/>
        <s v="2013-09-24T17:30:00Z"/>
        <s v="2013-08-04T14:45:00Z"/>
        <s v="2013-05-20T19:10:00Z"/>
        <s v="2013-05-21T19:30:00Z"/>
        <s v="2013-07-07T22:00:00Z"/>
        <s v="2013-11-22T17:30:00Z"/>
        <s v="2013-09-01T18:00:00Z"/>
        <s v="2013-04-09T15:30:00Z"/>
        <s v="2013-09-15T19:00:00Z"/>
        <s v="2013-07-26T18:15:00Z"/>
        <s v="2013-06-14T16:30:00Z"/>
        <s v="2013-05-15T08:15:00Z"/>
        <s v="2013-05-01T17:15:00Z"/>
        <s v="2013-09-12T08:45:00Z"/>
        <s v="2013-07-08T17:30:00Z"/>
        <s v="2013-05-04T19:00:00Z"/>
        <s v="2013-08-18T18:30:00Z"/>
        <s v="2013-09-05T21:00:00Z"/>
        <s v="2013-11-15T16:00:00Z"/>
        <s v="2013-08-08T09:00:00Z"/>
        <s v="2013-08-04T18:00:00Z"/>
        <s v="2013-08-31T21:30:00Z"/>
        <s v="2013-11-09T17:00:00Z"/>
        <s v="2013-11-24T08:45:00Z"/>
        <s v="2013-08-15T17:00:00Z"/>
        <s v="2013-07-12T17:45:00Z"/>
        <s v="2013-07-04T11:30:00Z"/>
        <s v="2013-05-25T18:45:00Z"/>
        <s v="2013-08-19T07:10:00Z"/>
        <s v="2013-06-19T08:45:00Z"/>
        <s v="2013-07-23T16:00:00Z"/>
        <s v="2013-12-11T17:30:00Z"/>
        <s v="2013-07-09T15:00:00Z"/>
        <s v="2013-06-08T19:00:00Z"/>
        <s v="2013-09-07T20:00:00Z"/>
        <s v="2013-12-31T16:00:00Z"/>
        <s v="2013-10-09T08:00:00Z"/>
        <s v="2013-09-28T09:15:00Z"/>
        <s v="2013-08-16T21:00:00Z"/>
        <s v="2013-07-31T19:25:00Z"/>
        <s v="2013-07-20T19:30:00Z"/>
        <s v="2013-06-15T08:00:00Z"/>
        <s v="2013-05-17T08:30:00Z"/>
        <s v="2013-08-24T11:45:00Z"/>
        <s v="2013-08-07T18:30:00Z"/>
        <s v="2013-07-06T14:30:00Z"/>
        <s v="2013-08-05T08:17:00Z"/>
        <s v="2013-11-07T19:45:00Z"/>
        <s v="2013-07-23T15:10:00Z"/>
        <s v="2013-09-15T17:14:00Z"/>
        <s v="2013-06-06T07:00:00Z"/>
        <s v="2013-04-22T09:00:00Z"/>
        <s v="2013-06-14T15:45:00Z"/>
        <s v="2013-08-14T20:35:00Z"/>
        <s v="2013-07-28T17:50:00Z"/>
        <s v="2013-06-20T13:15:00Z"/>
        <s v="2013-05-20T18:50:00Z"/>
        <s v="2013-11-24T18:45:00Z"/>
        <s v="2013-12-30T20:30:00Z"/>
        <s v="2013-07-19T19:30:00Z"/>
        <s v="2013-05-13T09:00:00Z"/>
        <s v="2013-08-03T15:00:00Z"/>
        <s v="2013-06-09T16:45:00Z"/>
        <s v="2014-10-09T17:20:00Z"/>
        <s v="2014-08-06T10:00:00Z"/>
        <s v="2014-08-15T14:00:00Z"/>
        <s v="2014-08-18T09:45:00Z"/>
        <s v="2014-09-02T13:00:00Z"/>
        <s v="2014-08-25T10:00:00Z"/>
        <s v="2014-05-21T17:00:00Z"/>
        <s v="2014-07-28T14:30:00Z"/>
        <s v="2014-08-13T07:00:00Z"/>
        <s v="2014-07-26T20:00:00Z"/>
        <s v="2014-09-09T19:30:00Z"/>
        <s v="2014-07-12T18:00:00Z"/>
        <s v="2014-11-14T13:00:00Z"/>
        <s v="2014-08-18T10:00:00Z"/>
        <s v="2014-05-19T09:20:00Z"/>
        <s v="2014-06-21T19:00:00Z"/>
        <s v="2014-12-12T13:45:00Z"/>
        <s v="2014-08-10T08:15:00Z"/>
        <s v="2014-07-09T18:00:00Z"/>
        <s v="2014-08-02T19:15:00Z"/>
        <s v="2014-08-27T18:00:00Z"/>
        <s v="2014-06-20T08:30:00Z"/>
        <s v="2014-05-05T17:30:00Z"/>
        <s v="2014-05-22T18:15:00Z"/>
        <s v="2014-01-27T10:00:00Z"/>
        <s v="2014-07-21T14:45:00Z"/>
        <s v="2014-07-03T10:30:00Z"/>
        <s v="2014-05-17T20:14:00Z"/>
        <s v="2014-07-07T07:00:00Z"/>
        <s v="2014-05-20T23:30:00Z"/>
        <s v="2014-09-16T09:30:00Z"/>
        <s v="2014-08-20T19:00:00Z"/>
        <s v="2014-09-22T15:00:00Z"/>
        <s v="2014-01-10T18:30:00Z"/>
        <s v="2014-06-02T18:30:00Z"/>
        <s v="2014-08-25T08:25:00Z"/>
        <s v="2014-05-17T00:00:00Z"/>
        <s v="2014-08-28T19:00:00Z"/>
        <s v="2014-10-11T18:50:00Z"/>
        <s v="2014-06-05T20:00:00Z"/>
        <s v="2014-10-15T07:50:00Z"/>
        <s v="2014-09-17T16:10:00Z"/>
        <s v="2014-03-21T18:00:00Z"/>
        <s v="2014-08-01T17:30:00Z"/>
        <s v="2014-05-15T18:30:00Z"/>
        <s v="2014-03-16T08:30:00Z"/>
        <s v="2014-01-08T19:15:00Z"/>
        <s v="2014-09-22T07:15:00Z"/>
        <s v="2014-10-12T18:00:00Z"/>
        <s v="2014-09-12T09:00:00Z"/>
        <s v="2014-07-25T09:15:00Z"/>
        <s v="2014-12-12T13:30:00Z"/>
        <s v="2014-06-06T09:30:00Z"/>
        <s v="2014-09-18T18:45:00Z"/>
        <s v="2014-06-13T13:50:00Z"/>
        <s v="2014-07-06T09:15:00Z"/>
        <s v="2014-09-15T11:00:00Z"/>
        <s v="2014-12-12T14:00:00Z"/>
        <s v="2014-05-26T08:45:00Z"/>
        <s v="2014-07-10T07:30:00Z"/>
        <s v="2014-06-13T18:30:00Z"/>
        <s v="2014-07-01T08:30:00Z"/>
        <s v="2014-03-11T11:00:00Z"/>
        <s v="2014-01-22T16:35:00Z"/>
        <s v="2014-04-21T19:15:00Z"/>
        <s v="2014-01-26T18:00:00Z"/>
        <s v="2014-08-13T06:15:00Z"/>
        <s v="2014-09-05T18:30:00Z"/>
        <s v="2014-09-01T22:00:00Z"/>
        <s v="2014-09-17T18:45:00Z"/>
        <s v="2014-06-08T19:45:00Z"/>
        <s v="2014-06-24T19:00:00Z"/>
        <s v="2014-08-19T16:45:00Z"/>
        <s v="2014-08-31T08:15:00Z"/>
        <s v="2014-09-09T19:45:00Z"/>
        <s v="2014-07-24T09:00:00Z"/>
        <s v="2014-07-08T18:30:00Z"/>
        <s v="2014-05-01T19:00:00Z"/>
        <s v="2014-07-16T08:00:00Z"/>
        <s v="2014-09-05T09:15:00Z"/>
        <s v="2014-07-06T08:30:00Z"/>
        <s v="2014-06-13T08:00:00Z"/>
        <s v="2014-09-21T09:00:00Z"/>
        <s v="2014-09-22T16:30:00Z"/>
        <s v="2014-01-02T07:30:00Z"/>
        <s v="2014-03-29T17:15:00Z"/>
        <s v="2014-05-20T11:30:00Z"/>
        <s v="2014-05-15T11:30:00Z"/>
        <s v="2014-10-17T18:15:00Z"/>
        <s v="2014-06-11T07:30:00Z"/>
        <s v="2014-07-08T06:56:00Z"/>
        <s v="2014-08-02T08:00:00Z"/>
        <s v="2014-05-29T08:45:00Z"/>
        <s v="2014-06-07T19:00:00Z"/>
        <s v="2014-08-02T11:00:00Z"/>
        <s v="2014-07-09T16:45:00Z"/>
        <s v="2014-05-06T10:20:00Z"/>
        <s v="2014-09-15T14:20:00Z"/>
        <s v="2014-09-30T15:00:00Z"/>
        <s v="2014-08-29T13:15:00Z"/>
        <s v="2014-06-09T19:15:00Z"/>
        <s v="2014-09-25T07:27:00Z"/>
        <s v="2014-08-17T07:45:00Z"/>
        <s v="2014-01-04T18:30:00Z"/>
        <s v="2014-07-03T10:45:00Z"/>
        <s v="2014-07-22T18:00:00Z"/>
        <s v="2014-06-04T16:30:00Z"/>
        <s v="2014-08-31T18:00:00Z"/>
        <s v="2014-08-14T09:30:00Z"/>
        <s v="2015-11-09T12:00:00Z"/>
        <s v="2015-07-31T20:25:00Z"/>
        <s v="2015-08-14T18:15:00Z"/>
        <s v="2015-08-24T10:00:00Z"/>
        <s v="2015-08-01T22:15:00Z"/>
        <s v="2015-08-04T09:00:00Z"/>
        <s v="2015-08-03T14:00:00Z"/>
        <s v="2015-08-25T06:45:00Z"/>
        <s v="2015-08-04T10:37:00Z"/>
        <s v="2015-02-12T07:35:00Z"/>
        <s v="2015-09-05T18:00:00Z"/>
        <s v="2015-08-13T10:30:00Z"/>
        <s v="2015-08-19T19:15:00Z"/>
        <s v="2015-07-31T20:00:00Z"/>
        <s v="2015-07-21T07:00:00Z"/>
        <s v="2015-08-23T17:45:00Z"/>
        <s v="2015-08-22T18:30:00Z"/>
        <s v="2015-08-28T18:15:00Z"/>
        <s v="2015-08-12T19:15:00Z"/>
        <s v="2015-08-18T19:00:00Z"/>
        <s v="2015-06-24T18:30:00Z"/>
        <s v="2015-06-29T09:00:00Z"/>
        <s v="2015-08-01T19:00:00Z"/>
        <s v="2015-07-21T07:15:00Z"/>
        <s v="2015-09-27T18:15:00Z"/>
        <s v="2015-04-24T07:30:00Z"/>
        <s v="2015-09-17T19:30:00Z"/>
        <s v="2015-06-25T18:45:00Z"/>
        <s v="2015-10-04T18:40:00Z"/>
        <s v="2015-09-08T19:28:00Z"/>
        <s v="2015-10-16T18:00:00Z"/>
        <s v="2015-08-15T17:30:00Z"/>
        <s v="2015-02-20T19:00:00Z"/>
        <s v="2015-06-19T08:15:00Z"/>
        <s v="2015-07-26T10:30:00Z"/>
        <s v="2015-09-11T11:00:00Z"/>
        <s v="2015-06-26T17:00:00Z"/>
        <s v="2015-08-03T17:00:00Z"/>
        <s v="2015-08-20T08:10:00Z"/>
        <s v="2015-07-02T06:36:00Z"/>
        <s v="2015-08-16T20:00:00Z"/>
        <s v="2015-06-06T07:15:00Z"/>
        <s v="2015-08-12T08:00:00Z"/>
        <s v="2015-05-11T12:15:00Z"/>
        <s v="2015-05-28T10:30:00Z"/>
        <s v="2015-08-07T21:00:00Z"/>
        <s v="2015-09-10T18:50:00Z"/>
        <s v="2015-08-27T15:15:00Z"/>
        <s v="2015-07-15T18:45:00Z"/>
        <s v="2015-06-29T17:05:00Z"/>
        <s v="2015-08-04T18:00:00Z"/>
        <s v="2015-08-04T08:15:00Z"/>
        <s v="2015-03-02T09:00:00Z"/>
        <s v="2015-07-30T16:00:00Z"/>
        <s v="2015-08-16T12:00:00Z"/>
        <s v="2015-07-14T08:30:00Z"/>
        <s v="2015-06-19T17:45:00Z"/>
        <s v="2015-09-11T19:17:00Z"/>
        <s v="2015-07-04T20:15:00Z"/>
        <s v="2015-08-21T18:45:00Z"/>
        <s v="2015-07-26T06:45:00Z"/>
        <s v="2015-06-25T07:00:00Z"/>
        <s v="2015-08-01T21:45:00Z"/>
        <s v="2015-06-22T11:45:00Z"/>
        <s v="2015-07-08T20:45:00Z"/>
        <s v="2015-07-04T13:00:00Z"/>
        <s v="2015-08-29T07:00:00Z"/>
        <s v="2015-04-18T23:50:00Z"/>
        <s v="2015-06-23T18:25:00Z"/>
        <s v="2015-08-29T18:45:00Z"/>
        <s v="2015-06-18T21:15:00Z"/>
        <s v="2015-07-26T10:10:00Z"/>
        <s v="2015-08-18T07:15:00Z"/>
        <s v="2015-08-16T19:20:00Z"/>
        <s v="2015-07-03T18:00:00Z"/>
        <s v="2015-09-03T14:30:00Z"/>
        <s v="2015-08-09T20:30:00Z"/>
        <s v="2015-06-08T11:45:00Z"/>
        <s v="2015-09-13T10:15:00Z"/>
        <s v="2015-09-15T19:15:00Z"/>
        <s v="2015-10-02T17:50:00Z"/>
        <s v="2015-09-21T18:20:00Z"/>
        <s v="2015-07-15T07:00:00Z"/>
        <s v="2015-07-31T18:30:00Z"/>
        <s v="2015-08-05T17:45:00Z"/>
        <s v="2015-06-26T22:15:00Z"/>
        <s v="2015-06-05T16:32:00Z"/>
        <s v="2015-07-25T22:00:00Z"/>
        <s v="2015-07-31T18:40:00Z"/>
        <s v="2015-07-29T14:15:00Z"/>
        <s v="2015-07-01T20:20:00Z"/>
        <s v="2015-09-03T19:35:00Z"/>
        <s v="2015-08-22T18:00:00Z"/>
        <s v="2015-06-15T18:45:00Z"/>
        <s v="2015-08-05T09:00:00Z"/>
        <s v="2015-07-22T10:00:00Z"/>
        <s v="2015-06-20T19:35:00Z"/>
        <s v="2015-06-21T07:25:00Z"/>
        <s v="2015-06-19T20:05:00Z"/>
        <s v="2015-06-17T06:45:00Z"/>
        <s v="2015-10-10T18:45:00Z"/>
        <s v="2015-09-11T15:00:00Z"/>
        <s v="2015-08-10T15:05:00Z"/>
        <s v="2015-06-17T18:30:00Z"/>
        <s v="2015-07-21T07:20:00Z"/>
        <s v="1969-12-31T16:00:00Z"/>
        <s v="2015-11-07T16:45:00Z"/>
        <s v="2015-08-03T08:55:00Z"/>
        <s v="2015-09-15T19:10:00Z"/>
        <s v="2015-07-03T20:00:00Z"/>
        <s v="2015-06-06T20:00:00Z"/>
        <s v="2015-07-13T11:00:00Z"/>
        <s v="2015-07-03T17:55:00Z"/>
        <s v="2015-09-10T07:49:00Z"/>
        <s v="2015-07-28T15:00:00Z"/>
        <s v="2015-07-10T17:00:00Z"/>
        <s v="2015-06-17T13:10:00Z"/>
        <s v="2015-06-10T09:45:00Z"/>
        <s v="2015-09-10T17:05:00Z"/>
        <s v="2015-07-05T11:30:00Z"/>
        <s v="2015-06-29T07:15:00Z"/>
        <s v="2015-09-21T14:36:00Z"/>
        <s v="2015-08-30T08:00:00Z"/>
        <s v="2015-08-05T07:30:00Z"/>
        <s v="2015-11-12T18:00:00Z"/>
        <s v="2015-07-22T19:50:00Z"/>
        <s v="2015-07-25T16:05:00Z"/>
        <s v="2015-07-20T15:30:00Z"/>
        <s v="2015-07-17T15:15:00Z"/>
        <s v="2015-06-09T09:00:00Z"/>
        <s v="2015-06-06T06:45:00Z"/>
        <s v="2015-06-05T19:00:00Z"/>
        <s v="2015-07-22T17:00:00Z"/>
        <s v="2015-07-05T09:00:00Z"/>
        <s v="2015-08-25T18:30:00Z"/>
        <s v="2015-07-12T19:48:00Z"/>
        <s v="2015-06-11T18:15:00Z"/>
        <s v="2015-06-28T18:00:00Z"/>
        <s v="2015-07-08T16:30:00Z"/>
        <s v="2015-07-31T19:00:00Z"/>
        <s v="2015-08-01T15:25:00Z"/>
        <s v="2015-06-22T12:05:00Z"/>
        <s v="2016-10-13T11:30:00Z"/>
        <s v="2016-07-11T09:40:00Z"/>
        <s v="2016-09-06T07:30:00Z"/>
        <s v="2016-08-23T07:45:00Z"/>
        <s v="2016-08-28T18:15:00Z"/>
        <s v="2016-09-15T15:20:00Z"/>
        <s v="2016-10-01T06:00:00Z"/>
        <s v="2016-09-27T14:00:00Z"/>
        <s v="2016-08-16T08:00:00Z"/>
        <s v="2016-06-30T18:30:00Z"/>
        <s v="2016-07-12T14:30:00Z"/>
        <s v="2016-08-18T19:00:00Z"/>
        <s v="2016-08-12T15:00:00Z"/>
        <s v="2016-07-18T09:50:00Z"/>
        <s v="2016-09-18T08:10:00Z"/>
        <s v="2018-04-23T15:07:00Z"/>
        <s v="2016-11-14T14:00:00Z"/>
        <s v="2017-09-19T10:30:00Z"/>
        <s v="2016-12-19T13:30:00Z"/>
        <s v="2016-08-26T18:00:00Z"/>
        <s v="2016-05-25T18:15:00Z"/>
        <s v="2016-05-20T18:00:00Z"/>
        <s v="2016-07-05T07:05:00Z"/>
        <s v="2016-11-08T10:15:00Z"/>
        <s v="2016-08-07T19:14:00Z"/>
        <s v="2016-09-22T07:00:00Z"/>
        <s v="2016-06-20T08:30:00Z"/>
        <s v="2016-06-30T16:55:00Z"/>
        <s v="2016-08-09T18:30:00Z"/>
        <s v="2016-10-20T07:00:00Z"/>
        <s v="2016-07-08T19:00:00Z"/>
        <s v="2016-09-29T17:00:00Z"/>
        <s v="2016-09-02T18:10:00Z"/>
        <s v="2016-06-26T18:50:00Z"/>
        <s v="2016-07-30T14:15:00Z"/>
        <s v="2016-07-16T12:00:00Z"/>
        <s v="2016-10-04T22:00:00Z"/>
        <s v="2016-09-12T14:51:00Z"/>
        <s v="2016-08-30T06:45:00Z"/>
        <s v="2016-07-09T08:30:00Z"/>
        <s v="2016-09-04T06:55:00Z"/>
        <s v="2016-07-10T19:37:00Z"/>
        <s v="2016-08-03T08:00:00Z"/>
        <s v="2016-08-29T10:30:00Z"/>
        <s v="2016-07-04T07:45:00Z"/>
        <s v="2016-08-31T18:50:00Z"/>
        <s v="2016-07-12T07:00:00Z"/>
        <s v="2016-08-18T21:30:00Z"/>
        <s v="2016-09-14T18:00:00Z"/>
        <s v="2016-06-29T07:30:00Z"/>
        <s v="2016-09-13T14:30:00Z"/>
        <s v="2016-07-16T18:30:00Z"/>
        <s v="2016-07-08T19:32:00Z"/>
        <s v="2016-09-21T09:30:00Z"/>
        <s v="2016-08-28T18:50:00Z"/>
        <s v="2016-09-20T18:00:00Z"/>
        <s v="2016-05-25T08:00:00Z"/>
        <s v="2016-06-27T06:15:00Z"/>
        <s v="2016-10-06T17:15:00Z"/>
        <s v="2016-06-20T06:00:00Z"/>
        <s v="2016-07-14T12:00:00Z"/>
        <s v="2016-06-28T20:00:00Z"/>
        <s v="2016-06-26T07:00:00Z"/>
        <s v="2016-06-21T18:30:00Z"/>
        <s v="2016-07-13T17:30:00Z"/>
        <s v="2016-10-17T11:45:00Z"/>
        <s v="2016-07-15T08:00:00Z"/>
        <s v="2016-05-19T18:00:00Z"/>
        <s v="2016-09-06T18:15:00Z"/>
        <s v="2016-05-25T18:45:00Z"/>
        <s v="2016-04-29T17:15:00Z"/>
        <s v="2016-09-17T18:00:00Z"/>
        <s v="2016-09-05T06:55:00Z"/>
        <s v="2016-05-10T18:45:00Z"/>
        <s v="2016-08-20T18:45:00Z"/>
        <s v="2016-07-07T19:00:00Z"/>
        <s v="2016-08-04T20:00:00Z"/>
        <s v="2016-06-07T18:15:00Z"/>
        <s v="2016-07-16T07:40:00Z"/>
        <s v="2016-05-17T19:10:00Z"/>
        <s v="2016-09-23T10:30:00Z"/>
        <s v="2016-07-16T18:00:00Z"/>
        <s v="2016-08-07T19:33:00Z"/>
        <s v="2016-06-09T17:10:00Z"/>
        <s v="2016-07-31T18:30:00Z"/>
        <s v="2016-06-20T19:50:00Z"/>
        <s v="2016-07-06T20:00:00Z"/>
        <s v="2016-09-25T13:15:00Z"/>
        <s v="2016-08-18T19:50:00Z"/>
        <s v="2016-08-07T20:15:00Z"/>
        <s v="2016-08-04T07:45:00Z"/>
        <s v="2016-07-23T08:45:00Z"/>
        <s v="2016-07-20T13:45:00Z"/>
        <s v="2016-07-10T19:30:00Z"/>
        <s v="2016-05-27T17:00:00Z"/>
        <s v="2016-08-30T18:40:00Z"/>
        <s v="2016-07-01T17:45:00Z"/>
        <s v="2016-06-21T15:45:00Z"/>
        <s v="2016-07-11T06:35:00Z"/>
        <s v="2016-06-29T17:00:00Z"/>
        <s v="2016-08-06T19:50:00Z"/>
        <s v="2016-06-01T19:45:00Z"/>
        <s v="2016-07-15T15:40:00Z"/>
        <s v="2016-06-16T10:00:00Z"/>
        <s v="2016-06-12T15:45:00Z"/>
        <s v="2016-08-04T07:50:00Z"/>
        <s v="2016-07-25T19:20:00Z"/>
        <s v="2016-06-11T16:15:00Z"/>
        <s v="2016-07-15T14:00:00Z"/>
        <s v="2016-09-12T19:00:00Z"/>
        <s v="2016-09-24T20:00:00Z"/>
        <s v="2016-06-20T18:15:00Z"/>
        <s v="2016-06-07T06:45:00Z"/>
        <s v="2016-07-22T18:15:00Z"/>
        <s v="2016-10-12T18:00:00Z"/>
        <s v="2016-06-12T12:30:00Z"/>
        <s v="2016-07-22T16:07:00Z"/>
        <s v="2016-07-22T19:00:00Z"/>
        <s v="2016-05-21T19:00:00Z"/>
        <s v="2016-06-24T18:20:00Z"/>
        <s v="2016-09-15T09:10:00Z"/>
        <s v="2016-09-09T06:00:00Z"/>
        <s v="2016-07-23T18:00:00Z"/>
        <s v="2016-04-30T07:00:00Z"/>
        <s v="2016-06-21T16:30:00Z"/>
        <s v="2016-06-29T18:30:00Z"/>
        <s v="2016-09-25T17:45:00Z"/>
        <s v="2016-08-10T17:00:00Z"/>
        <s v="2016-07-01T19:50:00Z"/>
        <s v="2016-06-21T13:00:00Z"/>
        <s v="2016-06-04T17:00:00Z"/>
        <s v="2016-08-01T19:40:00Z"/>
        <s v="2016-08-29T15:00:00Z"/>
        <s v="2016-07-24T19:00:00Z"/>
        <s v="2016-07-31T18:55:00Z"/>
        <s v="2016-08-31T07:15:00Z"/>
        <s v="2016-08-11T18:30:00Z"/>
        <s v="2016-07-29T15:10:00Z"/>
        <s v="2016-07-13T19:00:00Z"/>
        <s v="2016-06-30T07:00:00Z"/>
        <s v="2016-09-13T18:30:00Z"/>
        <s v="2016-08-01T08:05:00Z"/>
        <s v="2016-06-03T19:55:00Z"/>
        <s v="2016-09-19T18:30:00Z"/>
        <s v="2016-07-02T20:00:00Z"/>
        <s v="2016-06-03T17:30:00Z"/>
        <s v="2016-05-29T19:53:00Z"/>
        <s v="2016-04-24T15:30:00Z"/>
        <s v="2016-11-14T18:00:00Z"/>
        <s v="2016-07-24T14:30:00Z"/>
        <s v="2016-08-06T10:06:00Z"/>
        <s v="2016-07-20T09:00:00Z"/>
        <s v="2016-09-02T06:55:00Z"/>
        <s v="2016-08-14T19:50:00Z"/>
        <s v="2016-08-07T19:18:00Z"/>
        <s v="2016-07-31T18:50:00Z"/>
        <s v="2016-06-04T15:30:00Z"/>
        <s v="2016-05-12T20:45:00Z"/>
        <s v="2016-06-12T15:00:00Z"/>
        <s v="2016-08-16T08:45:00Z"/>
        <s v="2016-07-22T12:00:00Z"/>
        <s v="2016-08-19T08:30:00Z"/>
        <s v="2016-09-04T18:55:00Z"/>
        <s v="2016-08-31T07:05:00Z"/>
        <s v="2016-05-13T22:30:00Z"/>
        <s v="2016-07-12T10:30:00Z"/>
        <s v="2016-07-26T19:25:00Z"/>
        <s v="2016-05-25T20:00:00Z"/>
        <s v="2016-08-30T12:05:00Z"/>
        <s v="2016-08-09T17:15:00Z"/>
        <s v="2016-06-19T08:30:00Z"/>
        <s v="2016-06-13T12:30:00Z"/>
        <s v="2016-06-19T18:00:00Z"/>
        <s v="2016-04-19T15:30:00Z"/>
        <s v="2019-03-14T11:24:00Z"/>
        <s v="2018-01-09T11:52:00Z"/>
        <s v="2018-01-09T12:05:00Z"/>
        <s v="2018-01-09T11:57:00Z"/>
        <s v="2018-01-09T12:43:00Z"/>
        <s v="2018-02-09T09:30:00Z"/>
        <s v="2018-02-09T09:37:00Z"/>
        <s v="2018-01-09T11:51:00Z"/>
        <s v="2018-01-09T12:42:00Z"/>
        <s v="2018-02-09T09:27:00Z"/>
        <s v="2018-01-09T12:47:00Z"/>
        <s v="2018-02-09T08:56:00Z"/>
        <s v="2018-01-09T11:46:00Z"/>
        <s v="2018-01-09T12:07:00Z"/>
        <s v="2018-01-09T12:49:00Z"/>
        <s v="2018-01-09T13:27:00Z"/>
        <s v="2018-01-09T12:48:00Z"/>
        <s v="2018-01-09T11:49:00Z"/>
        <s v="2018-02-09T09:32:00Z"/>
        <s v="2018-01-09T11:01:00Z"/>
        <s v="2018-08-06T10:52:00Z"/>
        <s v="2018-01-09T13:21:00Z"/>
        <s v="2018-01-09T12:46:00Z"/>
        <s v="2018-01-09T10:04:00Z"/>
        <s v="2018-02-09T09:39:00Z"/>
        <s v="2018-04-05T10:47:00Z"/>
        <s v="2018-02-09T09:48:00Z"/>
        <s v="2018-01-09T12:16:00Z"/>
        <s v="2018-01-09T12:18:00Z"/>
        <s v="2018-01-09T12:39:00Z"/>
        <s v="2018-01-09T11:08:00Z"/>
        <s v="2018-02-09T09:50:00Z"/>
        <s v="2018-01-18T09:58:00Z"/>
        <s v="2018-01-09T11:47:00Z"/>
        <s v="2018-01-09T09:51:00Z"/>
        <s v="2018-01-09T12:15:00Z"/>
        <s v="2018-01-09T12:27:00Z"/>
        <s v="2018-01-09T12:08:00Z"/>
        <s v="2018-01-09T13:47:00Z"/>
        <s v="2018-08-30T15:27:00Z"/>
        <s v="2018-01-09T12:50:00Z"/>
        <s v="2018-01-09T12:26:00Z"/>
        <s v="2018-03-28T11:36:00Z"/>
        <s v="2018-01-09T13:18:00Z"/>
        <s v="2018-01-09T12:44:00Z"/>
        <s v="2018-01-09T12:17:00Z"/>
        <s v="2018-01-09T11:45:00Z"/>
        <s v="2018-02-09T09:29:00Z"/>
        <s v="2018-01-09T10:06:00Z"/>
        <s v="2018-01-09T13:33:00Z"/>
        <s v="2018-01-09T11:50:00Z"/>
        <s v="2018-01-09T09:56:00Z"/>
        <s v="2018-01-09T13:34:00Z"/>
        <s v="2018-01-09T11:58:00Z"/>
        <s v="2018-01-09T11:41:00Z"/>
        <s v="2018-01-09T10:41:00Z"/>
        <s v="2018-01-09T11:00:00Z"/>
        <s v="2018-01-09T10:30:00Z"/>
        <s v="2018-01-09T12:14:00Z"/>
        <s v="2018-01-09T09:53:00Z"/>
        <s v="2018-01-09T12:06:00Z"/>
        <s v="2018-01-09T11:16:00Z"/>
        <s v="2018-01-09T13:41:00Z"/>
        <s v="2018-01-09T11:59:00Z"/>
        <s v="2018-01-09T12:38:00Z"/>
        <s v="2018-01-09T12:20:00Z"/>
        <s v="2018-01-09T10:17:00Z"/>
        <s v="2018-01-09T09:52:00Z"/>
        <s v="2018-01-09T11:56:00Z"/>
        <s v="2018-01-09T13:45:00Z"/>
        <s v="2018-01-09T12:21:00Z"/>
        <s v="2018-02-09T09:51:00Z"/>
        <s v="2018-01-09T10:34:00Z"/>
        <s v="2018-01-09T12:36:00Z"/>
        <s v="2018-01-09T12:09:00Z"/>
        <s v="2018-01-09T12:51:00Z"/>
        <s v="2018-01-09T11:09:00Z"/>
        <s v="2018-01-09T11:10:00Z"/>
        <s v="2018-01-09T10:07:00Z"/>
        <s v="2018-01-09T11:44:00Z"/>
        <s v="2018-04-12T14:52:00Z"/>
        <s v="2018-01-09T13:28:00Z"/>
        <s v="2018-01-09T13:36:00Z"/>
        <s v="2018-01-23T08:11:00Z"/>
        <s v="2018-01-09T12:02:00Z"/>
        <s v="2018-01-09T11:54:00Z"/>
        <s v="2018-01-09T09:55:00Z"/>
        <s v="2018-01-09T09:40:00Z"/>
        <s v="2018-01-09T13:46:00Z"/>
        <s v="2018-01-09T11:48:00Z"/>
        <s v="2018-01-09T10:28:00Z"/>
        <s v="2018-01-09T12:31:00Z"/>
        <s v="2018-01-09T12:01:00Z"/>
        <s v="2018-01-09T09:58:00Z"/>
        <s v="2018-01-09T13:23:00Z"/>
        <s v="2018-01-09T11:17:00Z"/>
        <s v="2018-01-09T10:03:00Z"/>
        <s v="2018-01-09T09:57:00Z"/>
        <s v="2018-01-09T10:29:00Z"/>
        <s v="2018-01-09T13:20:00Z"/>
        <s v="2018-04-03T10:46:00Z"/>
        <s v="2018-01-09T12:04:00Z"/>
        <s v="2018-04-05T10:48:00Z"/>
        <s v="2018-01-09T12:12:00Z"/>
        <s v="2018-01-09T10:46:00Z"/>
        <s v="2018-01-09T10:33:00Z"/>
        <s v="2018-01-09T10:01:00Z"/>
        <s v="2018-01-09T13:22:00Z"/>
        <s v="2018-01-09T10:32:00Z"/>
        <s v="2018-01-09T09:54:00Z"/>
        <s v="2018-01-09T12:40:00Z"/>
        <s v="2018-01-09T12:19:00Z"/>
        <s v="2018-01-09T10:16:00Z"/>
        <s v="2018-01-09T12:35:00Z"/>
        <s v="2018-01-09T12:45:00Z"/>
        <s v="2018-01-09T13:26:00Z"/>
        <s v="2018-01-09T11:53:00Z"/>
        <s v="2018-04-05T12:01:00Z"/>
        <s v="2018-01-09T13:38:00Z"/>
        <s v="2018-01-09T13:29:00Z"/>
        <s v="2018-01-09T12:23:00Z"/>
        <s v="2018-01-09T10:27:00Z"/>
        <s v="2018-01-09T12:03:00Z"/>
        <s v="2018-01-09T11:11:00Z"/>
        <s v="2018-01-09T13:49:00Z"/>
        <s v="2018-01-09T10:23:00Z"/>
        <s v="2018-01-09T10:25:00Z"/>
        <s v="2018-02-09T09:52:00Z"/>
        <s v="2018-01-09T10:31:00Z"/>
        <s v="2018-01-09T13:37:00Z"/>
        <s v="2018-01-09T10:05:00Z"/>
        <s v="2018-01-09T10:22:00Z"/>
        <s v="2018-01-09T10:26:00Z"/>
        <s v="2018-01-09T10:59:00Z"/>
        <s v="2018-01-09T12:28:00Z"/>
        <s v="2018-01-09T10:35:00Z"/>
        <s v="2018-01-09T11:43:00Z"/>
        <s v="2018-01-09T13:42:00Z"/>
        <s v="2018-01-09T13:40:00Z"/>
        <s v="2018-01-09T10:21:00Z"/>
        <s v="2018-01-09T09:41:00Z"/>
        <s v="2018-01-09T13:19:00Z"/>
        <s v="2018-01-09T11:07:00Z"/>
        <s v="2018-01-09T10:24:00Z"/>
        <s v="2018-01-09T13:31:00Z"/>
        <s v="2018-03-26T10:49:00Z"/>
        <s v="2018-01-09T11:42:00Z"/>
        <s v="2018-03-22T16:34:00Z"/>
        <s v="2018-01-09T13:35:00Z"/>
        <s v="2018-01-09T13:24:00Z"/>
        <s v="2018-01-09T13:25:00Z"/>
        <s v="2018-01-09T10:10:00Z"/>
        <s v="2018-01-09T13:32:00Z"/>
        <s v="2018-01-09T13:30:00Z"/>
        <s v="2018-01-09T09:59:00Z"/>
        <s v="2018-01-09T09:50:00Z"/>
        <s v="2018-01-09T10:08:00Z"/>
        <s v="2018-01-09T09:24:00Z"/>
        <s v="2019-01-04T09:33:00Z"/>
        <s v="2019-01-04T09:37:00Z"/>
        <s v="2018-11-25T08:00:00Z"/>
        <s v="2019-01-04T08:42:00Z"/>
        <s v="2019-01-04T09:48:00Z"/>
        <s v="2019-01-04T09:57:00Z"/>
        <s v="2019-01-04T09:07:00Z"/>
        <s v="2019-01-04T09:18:00Z"/>
        <s v="2019-01-04T09:21:00Z"/>
        <s v="2019-01-04T09:20:00Z"/>
        <s v="2019-01-04T09:55:00Z"/>
        <s v="2019-01-04T09:26:00Z"/>
        <s v="2019-01-04T09:23:00Z"/>
        <s v="2019-01-04T09:32:00Z"/>
        <s v="2019-01-04T10:01:00Z"/>
        <s v="2019-01-04T09:36:00Z"/>
        <s v="2019-01-04T09:58:00Z"/>
        <s v="2019-01-04T09:09:00Z"/>
        <s v="2019-01-04T10:06:00Z"/>
        <s v="2019-01-04T08:43:00Z"/>
        <s v="2019-01-04T08:57:00Z"/>
        <s v="2019-01-04T10:03:00Z"/>
        <s v="2019-01-04T10:02:00Z"/>
        <s v="2019-01-04T09:17:00Z"/>
        <s v="2019-01-04T09:03:00Z"/>
        <s v="2019-01-04T10:10:00Z"/>
        <s v="2019-01-04T09:54:00Z"/>
        <s v="2019-01-04T09:06:00Z"/>
        <s v="2019-01-04T10:09:00Z"/>
        <s v="2019-01-04T09:46:00Z"/>
        <s v="2019-01-03T09:43:00Z"/>
        <s v="2019-01-04T10:26:00Z"/>
        <s v="2019-01-04T09:08:00Z"/>
        <s v="2019-01-04T08:47:00Z"/>
        <s v="2019-01-04T10:15:00Z"/>
        <s v="2019-01-03T13:09:00Z"/>
        <s v="2019-01-04T10:24:00Z"/>
        <s v="2019-01-04T09:28:00Z"/>
        <s v="2019-01-04T09:10:00Z"/>
        <s v="2019-01-04T09:16:00Z"/>
        <s v="2019-01-04T09:29:00Z"/>
        <s v="2019-01-04T09:52:00Z"/>
        <s v="2019-01-04T09:40:00Z"/>
        <s v="2019-01-04T09:19:00Z"/>
        <s v="2019-01-04T09:53:00Z"/>
        <s v="2019-01-04T08:50:00Z"/>
        <s v="2019-01-04T10:14:00Z"/>
        <s v="2019-01-04T10:20:00Z"/>
        <s v="2019-01-04T09:59:00Z"/>
        <s v="2019-01-04T09:04:00Z"/>
        <s v="2019-06-21T08:51:41Z"/>
        <s v="2019-01-04T09:56:00Z"/>
        <s v="2019-01-04T10:25:00Z"/>
        <s v="2019-01-04T09:15:00Z"/>
        <s v="2019-01-04T09:39:00Z"/>
        <s v="2019-01-04T09:49:00Z"/>
        <s v="2019-01-04T10:11:00Z"/>
        <s v="2019-01-04T08:59:00Z"/>
        <s v="2019-01-04T10:00:00Z"/>
        <s v="2019-01-03T09:44:00Z"/>
        <s v="2019-01-04T09:34:00Z"/>
        <s v="2019-01-04T09:44:00Z"/>
        <s v="2019-01-04T10:07:00Z"/>
        <s v="2019-01-04T09:31:00Z"/>
        <s v="2019-01-04T08:46:00Z"/>
        <s v="2019-01-04T10:04:00Z"/>
        <s v="2019-01-04T10:08:00Z"/>
        <s v="2019-01-04T10:19:00Z"/>
        <s v="2019-01-04T09:12:00Z"/>
        <s v="2019-01-04T08:54:00Z"/>
        <s v="2019-01-04T09:35:00Z"/>
        <s v="2019-01-04T09:05:00Z"/>
        <s v="2019-01-04T08:55:00Z"/>
        <s v="2019-01-04T08:44:00Z"/>
        <s v="2019-01-04T08:45:00Z"/>
        <s v="2019-01-04T09:24:00Z"/>
        <s v="2019-01-04T09:30:00Z"/>
        <s v="2019-01-04T08:51:00Z"/>
        <s v="2019-01-04T09:22:00Z"/>
        <s v="2019-01-04T09:38:00Z"/>
        <s v="2019-01-04T10:22:00Z"/>
        <s v="2019-01-04T09:14:00Z"/>
        <s v="2019-01-04T09:42:00Z"/>
        <s v="2019-01-04T09:13:00Z"/>
        <s v="2019-01-04T08:58:00Z"/>
        <s v="2019-01-04T09:51:00Z"/>
        <s v="2019-01-04T10:21:00Z"/>
        <s v="2019-01-04T09:50:00Z"/>
        <s v="2019-01-04T09:27:00Z"/>
        <s v="2019-01-04T10:13:00Z"/>
        <s v="2019-01-04T10:23:00Z"/>
        <s v="2019-01-04T08:52:00Z"/>
        <s v="2019-01-04T09:00:00Z"/>
        <s v="2019-01-04T10:05:00Z"/>
        <s v="2019-01-04T09:43:00Z"/>
        <s v="2019-01-04T08:53:00Z"/>
        <s v="2019-01-04T10:16:00Z"/>
        <s v="2019-01-04T10:17:00Z"/>
        <s v="2019-01-04T09:11:00Z"/>
        <s v="2019-01-04T08:49:00Z"/>
        <s v="2019-01-04T09:01:00Z"/>
        <s v="2019-01-04T09:47:00Z"/>
        <s v="2019-01-04T09:02:00Z"/>
        <s v="2019-01-04T09:25:00Z"/>
        <s v="2019-01-03T09:46:00Z"/>
        <s v="2019-01-04T09:41:00Z"/>
        <s v="2019-01-04T10:27:00Z"/>
        <s v="2019-01-03T13:10:00Z"/>
        <s v="2019-01-04T09:45:00Z"/>
        <s v="2019-01-04T10:18:00Z"/>
        <s v="2019-01-03T09:45:00Z"/>
        <s v="2019-01-04T10:12:00Z"/>
        <s v="2019-01-03T15:23:00Z"/>
        <s v="2019-11-02T18:57:00Z"/>
        <m/>
        <s v="2019-10-28T07:22:00Z"/>
        <s v="2019-11-02T18:44:00Z"/>
        <s v="2019-10-11T07:30:00Z"/>
        <s v="2019-10-19T15:00:00Z"/>
        <s v="2019-10-12T17:22:00Z"/>
        <s v="2019-10-10T12:00:00Z"/>
        <s v="2019-10-27T18:05:00Z"/>
        <s v="2019-10-27T13:55:00Z"/>
        <s v="2019-07-18T10:29:00Z"/>
        <s v="2019-07-20T08:56:00Z"/>
        <s v="2019-08-04T06:39:00Z"/>
        <s v="2019-07-18T15:58:00Z"/>
        <s v="2019-09-29T21:35:00Z"/>
        <s v="2019-07-12T19:20:00Z"/>
        <s v="2019-08-27T08:54:00Z"/>
        <s v="2019-09-06T19:48:00Z"/>
        <s v="2019-11-06T19:00:00Z"/>
        <s v="2019-08-11T12:16:00Z"/>
        <s v="2019-11-21T16:09:00Z"/>
        <s v="2019-11-06T18:00:00Z"/>
        <s v="2019-09-13T19:00:00Z"/>
        <s v="2019-10-31T09:10:00Z"/>
        <s v="2019-09-13T07:19:00Z"/>
        <s v="2019-12-02T16:12:00Z"/>
        <s v="2019-09-04T16:22:00Z"/>
        <s v="2019-12-14T08:22:00Z"/>
        <s v="2019-06-26T18:02:00Z"/>
        <s v="2019-11-14T18:02:00Z"/>
        <s v="2019-06-17T10:40:00Z"/>
        <s v="2019-05-09T09:37:00Z"/>
        <s v="2019-08-27T09:01:00Z"/>
        <s v="2019-06-27T19:06:00Z"/>
        <s v="2019-11-21T16:08:00Z"/>
        <s v="2019-09-14T19:00:00Z"/>
        <s v="2019-06-24T10:25:00Z"/>
        <s v="2019-08-17T14:30:00Z"/>
        <s v="2019-06-17T15:16:00Z"/>
        <s v="2019-08-18T16:33:00Z"/>
        <s v="2019-07-16T08:50:00Z"/>
        <s v="2019-06-11T14:49:00Z"/>
        <s v="2019-08-11T11:35:00Z"/>
        <s v="2019-07-09T18:22:00Z"/>
        <s v="2019-06-03T08:44:00Z"/>
        <s v="2019-08-06T18:42:00Z"/>
        <s v="2019-11-05T17:30:00Z"/>
        <s v="2019-11-03T18:52:00Z"/>
        <s v="2019-08-26T17:00:00Z"/>
        <s v="2019-06-11T17:14:00Z"/>
        <s v="2019-10-07T18:34:00Z"/>
        <s v="2019-06-24T11:43:00Z"/>
        <s v="2019-08-03T09:10:00Z"/>
        <s v="2019-10-21T06:00:00Z"/>
        <s v="2019-10-13T07:30:00Z"/>
        <s v="2019-11-03T16:15:00Z"/>
        <s v="2019-09-28T18:40:00Z"/>
        <s v="2019-07-05T07:50:00Z"/>
        <s v="2019-09-12T10:08:00Z"/>
        <s v="2019-08-12T08:20:00Z"/>
        <s v="2019-09-05T08:14:00Z"/>
        <s v="2019-07-06T07:49:00Z"/>
        <s v="2019-09-11T18:30:00Z"/>
        <s v="2019-06-11T14:48:00Z"/>
        <s v="2019-09-08T18:00:00Z"/>
        <s v="2019-09-18T12:17:00Z"/>
        <s v="2019-09-26T08:00:00Z"/>
        <s v="2019-08-17T18:15:00Z"/>
        <s v="2019-09-27T18:00:00Z"/>
        <s v="2019-06-30T15:51:00Z"/>
        <s v="2019-07-16T06:49:00Z"/>
        <s v="2019-07-02T15:51:00Z"/>
        <s v="2019-06-11T17:17:00Z"/>
        <s v="2019-06-24T16:56:00Z"/>
        <s v="2019-07-16T06:48:00Z"/>
        <s v="2019-11-05T09:03:00Z"/>
        <s v="2019-10-28T16:26:00Z"/>
        <s v="2019-10-12T18:00:00Z"/>
        <s v="2019-09-14T08:00:00Z"/>
        <s v="2019-07-16T09:00:00Z"/>
        <s v="2019-07-10T16:04:00Z"/>
        <s v="2019-05-08T08:48:00Z"/>
        <s v="2019-09-22T18:00:00Z"/>
        <s v="2019-09-03T07:11:00Z"/>
        <s v="2019-06-24T11:45:00Z"/>
        <s v="2019-08-17T18:43:00Z"/>
        <s v="2019-08-05T12:25:00Z"/>
        <s v="2019-10-28T16:30:00Z"/>
        <s v="2019-06-27T08:26:00Z"/>
        <s v="2019-06-11T14:40:00Z"/>
        <s v="2019-10-28T16:28:00Z"/>
        <s v="2019-08-21T18:27:00Z"/>
        <s v="2019-08-27T10:44:00Z"/>
        <s v="2019-07-15T14:10:00Z"/>
        <s v="2019-05-24T14:23:00Z"/>
        <s v="2019-09-24T18:00:00Z"/>
        <s v="2019-07-20T09:05:00Z"/>
        <s v="2019-06-05T15:07:00Z"/>
        <s v="2019-06-21T14:22:00Z"/>
        <s v="2019-06-11T17:18:00Z"/>
        <s v="2019-05-08T08:47:00Z"/>
        <s v="2019-08-02T21:39:00Z"/>
        <s v="2019-08-05T12:27:00Z"/>
        <s v="2019-07-15T17:10:00Z"/>
        <s v="2019-09-22T17:00:00Z"/>
        <s v="2019-10-28T19:31:00Z"/>
        <s v="2019-07-13T15:13:00Z"/>
        <s v="2019-06-26T06:00:00Z"/>
        <s v="2019-09-06T07:24:00Z"/>
        <s v="2019-08-02T14:03:00Z"/>
        <s v="2019-09-24T10:21:00Z"/>
        <s v="2019-08-13T18:00:00Z"/>
        <s v="2019-07-17T21:29:00Z"/>
        <s v="2019-10-24T17:15:00Z"/>
        <s v="2019-08-25T13:00:00Z"/>
        <s v="2019-08-16T18:44:00Z"/>
        <s v="2019-07-17T10:00:00Z"/>
        <s v="2019-06-25T13:50:00Z"/>
        <s v="2019-06-24T18:30:00Z"/>
        <s v="2019-11-06T18:30:00Z"/>
        <s v="2019-07-02T18:32:00Z"/>
        <s v="2019-06-17T08:34:00Z"/>
        <s v="2019-10-09T12:39:00Z"/>
        <s v="2019-09-02T10:08:00Z"/>
        <s v="2019-05-24T14:28:00Z"/>
        <s v="2019-10-03T12:03:00Z"/>
        <s v="2019-10-27T12:11:00Z"/>
        <s v="2019-09-12T18:49:00Z"/>
        <s v="2019-10-16T13:44:00Z"/>
        <s v="2019-06-24T11:46:00Z"/>
        <s v="2019-09-08T07:00:00Z"/>
        <s v="2019-09-25T20:00:00Z"/>
        <s v="2019-08-02T17:00:00Z"/>
        <s v="2019-06-17T08:46:00Z"/>
        <s v="2019-07-15T18:19:00Z"/>
        <s v="2019-08-13T16:15:00Z"/>
        <s v="2019-06-03T08:48:00Z"/>
        <s v="2019-09-05T19:56:00Z"/>
        <s v="2019-10-31T14:16:00Z"/>
        <s v="2019-10-10T19:05:00Z"/>
        <s v="2019-08-16T10:35:00Z"/>
        <s v="2019-08-23T23:00:00Z"/>
        <s v="2019-08-10T15:07:00Z"/>
        <s v="2019-06-04T16:03:00Z"/>
        <s v="2019-10-11T16:21:00Z"/>
        <s v="2019-07-06T20:03:00Z"/>
        <s v="2019-06-24T11:06:00Z"/>
        <s v="2019-04-10T10:23:00Z"/>
        <s v="2019-01-15T10:38:00Z"/>
        <s v="2019-10-07T09:58:00Z"/>
        <s v="2019-08-06T18:43:00Z"/>
        <s v="2019-09-05T10:03:00Z"/>
        <s v="2019-06-30T16:50:00Z"/>
        <s v="2019-06-11T14:50:00Z"/>
        <s v="2019-08-28T08:54:00Z"/>
        <s v="2019-07-05T03:20:00Z"/>
        <s v="2019-07-05T14:58:00Z"/>
        <s v="2019-06-17T08:49:00Z"/>
        <s v="2019-06-11T14:47:00Z"/>
        <s v="2019-05-19T09:26:00Z"/>
        <s v="2019-08-08T17:12:00Z"/>
        <s v="2019-08-14T18:51:00Z"/>
        <s v="2019-08-12T08:21:00Z"/>
        <s v="2019-08-11T10:28:00Z"/>
        <s v="2019-07-11T08:26:00Z"/>
        <s v="2019-06-27T17:36:00Z"/>
        <s v="2019-11-01T08:55:00Z"/>
        <s v="2019-09-30T09:05:00Z"/>
        <s v="2019-08-31T12:50:00Z"/>
        <s v="2019-10-04T10:39:00Z"/>
        <s v="2019-09-04T20:33:00Z"/>
        <s v="2019-06-27T08:48:00Z"/>
        <s v="2019-06-17T10:39:00Z"/>
        <s v="2019-09-24T14:52:00Z"/>
        <s v="2019-08-14T18:52:00Z"/>
        <s v="2019-09-10T19:27:00Z"/>
        <s v="2019-09-06T08:00:00Z"/>
        <s v="2019-06-24T11:44:00Z"/>
        <s v="2019-07-31T06:47:00Z"/>
        <s v="2019-10-08T17:51:00Z"/>
        <s v="2019-06-29T18:20:00Z"/>
        <s v="2019-10-22T13:30:00Z"/>
        <s v="2019-10-07T11:03:00Z"/>
        <s v="2019-09-13T21:43:00Z"/>
        <s v="2019-09-02T19:13:00Z"/>
        <s v="2019-10-16T13:50:00Z"/>
        <s v="2019-10-08T09:52:00Z"/>
        <s v="2019-09-25T17:00:00Z"/>
        <s v="2019-09-10T10:45:00Z"/>
        <s v="2019-06-21T14:23:00Z"/>
        <s v="2019-10-10T18:11:00Z"/>
        <s v="2019-06-28T17:33:00Z"/>
      </sharedItems>
    </cacheField>
    <cacheField name="Fatalities" numFmtId="0">
      <sharedItems containsString="0" containsBlank="1" containsNumber="1" containsInteger="1">
        <m/>
        <n v="1.0"/>
        <n v="3.0"/>
        <n v="6.0"/>
        <n v="22.0"/>
        <n v="9.0"/>
        <n v="4.0"/>
        <n v="85.0"/>
        <n v="2.0"/>
      </sharedItems>
    </cacheField>
    <cacheField name="Helicopters" numFmtId="0">
      <sharedItems containsString="0" containsBlank="1" containsNumber="1" containsInteger="1">
        <m/>
        <n v="11.0"/>
        <n v="20.0"/>
        <n v="5.0"/>
        <n v="9.0"/>
        <n v="6.0"/>
        <n v="1.0"/>
        <n v="25.0"/>
        <n v="27.0"/>
        <n v="29.0"/>
        <n v="2.0"/>
        <n v="24.0"/>
        <n v="18.0"/>
        <n v="4.0"/>
        <n v="10.0"/>
        <n v="3.0"/>
        <n v="0.0"/>
        <n v="7.0"/>
      </sharedItems>
    </cacheField>
    <cacheField name="Injuries" numFmtId="0">
      <sharedItems containsString="0" containsBlank="1" containsNumber="1" containsInteger="1">
        <m/>
        <n v="10.0"/>
        <n v="26.0"/>
        <n v="5.0"/>
        <n v="6.0"/>
        <n v="12.0"/>
        <n v="4.0"/>
        <n v="2.0"/>
        <n v="1.0"/>
        <n v="11.0"/>
        <n v="7.0"/>
        <n v="21.0"/>
        <n v="15.0"/>
        <n v="3.0"/>
        <n v="9.0"/>
        <n v="14.0"/>
        <n v="0.0"/>
        <n v="8.0"/>
      </sharedItems>
    </cacheField>
    <cacheField name="MajorIncident" numFmtId="0">
      <sharedItems>
        <b v="0"/>
        <b v="1"/>
      </sharedItems>
    </cacheField>
    <cacheField name="Name" numFmtId="0">
      <sharedItems>
        <s v="Rim Fire"/>
        <s v="Powerhouse Fire"/>
        <s v="Mountain Fire"/>
        <s v="American Fire"/>
        <s v="Springs Fire"/>
        <s v="Aspen Fire"/>
        <s v="Silver Fire"/>
        <s v="Salmon River Complex"/>
        <s v="Corral Complex"/>
        <s v="Deer Fire"/>
        <s v="Clover Fire"/>
        <s v="Chariot Fire"/>
        <s v="Panther Fire"/>
        <s v="Grand Fire"/>
        <s v="McCabe Fire"/>
        <s v="Summit Fire"/>
        <s v="Morgan Fire"/>
        <s v="San Felipe Fire"/>
        <s v="Swedes Fire"/>
        <s v="DeLuz Fire"/>
        <s v="Fish Fire"/>
        <s v="White Fire"/>
        <s v="Carstens Fire"/>
        <s v="Falls Fire"/>
        <s v="General Fire"/>
        <s v="Power Fire"/>
        <s v="Pfeiffer Fire"/>
        <s v="Shirley Fire"/>
        <s v="Rancho Fire"/>
        <s v="Lake Fire"/>
        <s v="Water Fire"/>
        <s v="Kyburz Fire"/>
        <s v="Mills Fire"/>
        <s v="Plumas Lightning Complex (Hough)"/>
        <s v="Gorgonio Fire"/>
        <s v="Fox Fire (formally 3-7 Fire)"/>
        <s v="Branch Fire"/>
        <s v="Kirker Fire"/>
        <s v="Rolling Fire"/>
        <s v="Gobblers Fire"/>
        <s v="River Fire"/>
        <s v="Putah Fire"/>
        <s v="Tres Pinos Fire"/>
        <s v="Jurupa Fire"/>
        <s v="Shelton Fire"/>
        <s v="Lone Fire"/>
        <s v="Becks Fire"/>
        <s v="Concord Fire"/>
        <s v="Gold Fire"/>
        <s v="Madre Fire"/>
        <s v="Lyon Fire"/>
        <s v="Sharp Fire"/>
        <s v="Vasco Fire"/>
        <s v="PFE Fire"/>
        <s v="Daves Fire"/>
        <s v="306 Fire"/>
        <s v="Tassajara Fire"/>
        <s v="Sierra Fire"/>
        <s v="Vina Fire"/>
        <s v="Burney Lightning Series (Warner Fire)"/>
        <s v="Paskenta Fire"/>
        <s v="Silverado Fire"/>
        <s v="Olive Fire"/>
        <s v="Capay Fire"/>
        <s v="50 Fire"/>
        <s v="Crane Fire"/>
        <s v="Lakeville Fire"/>
        <s v="Highland Fire"/>
        <s v="Redlands Fire"/>
        <s v="Diablo Fire"/>
        <s v="George Fire"/>
        <s v="Neal Fire"/>
        <s v="Magic Fire"/>
        <s v="Angora Fire"/>
        <s v="Yellow Fire"/>
        <s v="California Fire"/>
        <s v="152 Fire"/>
        <s v="Smiley Fire"/>
        <s v="Cantwell Fire"/>
        <s v="Union Fire"/>
        <s v="Cleghorn Fire"/>
        <s v="Clinton Fire"/>
        <s v="Freeman Fire"/>
        <s v="Bee Fire"/>
        <s v="Murphy Fire"/>
        <s v="Border Fire"/>
        <s v="Davis Creek Complex"/>
        <s v="Little Fire"/>
        <s v="Coyote Fire"/>
        <s v="Roadrunner Fire"/>
        <s v="Creek Fire"/>
        <s v="Lilly 2 Fire"/>
        <s v="Adelaida Fire"/>
        <s v="Retek Fire"/>
        <s v="Centerville Fire"/>
        <s v="Butte Fire"/>
        <s v="Tehama Fire"/>
        <s v="Silverwood Fire"/>
        <s v="Revis Fire"/>
        <s v="Lytle Fire"/>
        <s v="Liveoak Fire"/>
        <s v="McGanney Fire"/>
        <s v="Cedar Fire"/>
        <s v="Double Fire"/>
        <s v="Rail Fire"/>
        <s v="Wheeler Fire"/>
        <s v="Tram Fire"/>
        <s v="Relay Fire"/>
        <s v="Tyler Fire"/>
        <s v="Toro Fire"/>
        <s v="Bruner Fire"/>
        <s v="Cottonwood Fire"/>
        <s v="Uvas Fire"/>
        <s v="Grant Fire"/>
        <s v="Homestead Fire"/>
        <s v="Bridges Fire"/>
        <s v="Pratt Fire"/>
        <s v="Happy Camp Fire"/>
        <s v="Fiddler Fire"/>
        <s v="Viper Fire"/>
        <s v="Chestnut Fire"/>
        <s v="Baker Fire"/>
        <s v="Valley Fire"/>
        <s v="Pierce Fire"/>
        <s v="Trout Fire"/>
        <s v="Heacock Fire"/>
        <s v="Palmyrita Fire"/>
        <s v="54 Fire"/>
        <s v="Empire Fire"/>
        <s v="Indian Fire"/>
        <s v="Fallon Fire"/>
        <s v="Michelle Fire"/>
        <s v="Cottontail Fire"/>
        <s v="Honey Fire"/>
        <s v="Dersch Fire"/>
        <s v="Chuckwagon Fire"/>
        <s v="Lakeshore Fire"/>
        <s v="Fawnskin Fire"/>
        <s v="Sonoma-Lake-Napa Unit Lightning Fires"/>
        <s v="Cloverdale Fire"/>
        <s v="Flume Fire"/>
        <s v="Mount Fire"/>
        <s v="Cherry Fire"/>
        <s v="Dam Fire"/>
        <s v="Refuse Fire"/>
        <s v="Gilman Fire"/>
        <s v="Ranger Fire"/>
        <s v="Orleans Complex"/>
        <s v="Hathaway Fire"/>
        <s v="King Fire"/>
        <s v="July Complex"/>
        <s v="Bald Fire"/>
        <s v="Oregon Gulch Fire (part of the Beaver Complex)"/>
        <s v="Beaver Fire"/>
        <s v="Eiler Fire"/>
        <s v="Pulgas Fire"/>
        <s v="French Fire"/>
        <s v="Day Fire"/>
        <s v="Bully Fire"/>
        <s v="Lodge Lightning Complex"/>
        <s v="Monticello Fire"/>
        <s v="Coffee Fire"/>
        <s v="Little Deer Fire"/>
        <s v="Tomahawk Fire"/>
        <s v="Stoney Fire"/>
        <s v="Meadow Fire"/>
        <s v="El Portal Fire"/>
        <s v="Butts Fire"/>
        <s v="Sand Fire"/>
        <s v="Way Fire"/>
        <s v="Etiwanda Fire"/>
        <s v="Cocos Fire"/>
        <s v="Colby Fire"/>
        <s v="Nicolls Fire"/>
        <s v="Modoc Lightning Complex"/>
        <s v="Bernardo Fire"/>
        <s v="Gulch Fire"/>
        <s v="San Mateo Fire"/>
        <s v="Dark Hole Fire"/>
        <s v="Campbell Fire"/>
        <s v="Hunters Fire"/>
        <s v="Miguelito Fire"/>
        <s v="Junction Fire"/>
        <s v="Poinsettia Fire"/>
        <s v="Oregon Fire"/>
        <s v="Boles Fire"/>
        <s v="59 Fire"/>
        <s v="Applegate Fire"/>
        <s v="Black Fire"/>
        <s v="Encinal Fire"/>
        <s v="Web Fire"/>
        <s v="Highway Fire"/>
        <s v="Red Fire"/>
        <s v="Courtney Fire"/>
        <s v="Dog Rock Fire"/>
        <s v="Bridge Fire"/>
        <s v="Gun Club Fire"/>
        <s v="Tecolote Fire"/>
        <s v="Hetch Hetchy Fire"/>
        <s v="Dog Bar Fire"/>
        <s v="Banner Fire"/>
        <s v="Bald Hill 3 Fire"/>
        <s v="Shoemaker Fire"/>
        <s v="Dry Fire"/>
        <s v="Haigh Fire"/>
        <s v="Curie Fire"/>
        <s v="Gun Fire"/>
        <s v="Reed Fire"/>
        <s v="Brewer Fire"/>
        <s v="Saratoga Fire"/>
        <s v="Interstate Fire"/>
        <s v="Irene Fire"/>
        <s v="Oak Fire"/>
        <s v="Boca Fire"/>
        <s v="Casa Fire"/>
        <s v="Marsh Fire"/>
        <s v="Montgomery Fire"/>
        <s v="Sabina Fire"/>
        <s v="Cassel Fire"/>
        <s v="San Lucas Fire"/>
        <s v="Wildlife Fire"/>
        <s v="Jackson Fire"/>
        <s v="Ranch Fire"/>
        <s v="Norman Fire"/>
        <s v="June Fire"/>
        <s v="Nelson Fire"/>
        <s v="Honcut Fire"/>
        <s v="Van Buren Fire"/>
        <s v="Freeway Fire"/>
        <s v="Bane Fire"/>
        <s v="Interlake Fire"/>
        <s v="Hutto Fire"/>
        <s v="McClellan Fire"/>
        <s v="Bogart Fire"/>
        <s v="Siskiyou County Lightning Fires"/>
        <s v="Bible Fire"/>
        <s v="Jacumba Fire"/>
        <s v="Stage Coach Fire"/>
        <s v="Foothill Fire"/>
        <s v="Leopard Fire"/>
        <s v="Hall Fire"/>
        <s v="Cascade Fire"/>
        <s v="West Fire"/>
        <s v="Iowa Fire"/>
        <s v="Santa Fire"/>
        <s v="Pines Fire"/>
        <s v="South Napa Earthquake"/>
        <s v="Happy Camp Complex"/>
        <s v="Rough Fire"/>
        <s v="River Complex"/>
        <s v="Rocky Fire"/>
        <s v="Fork Complex"/>
        <s v="Gasquet Complex"/>
        <s v="South Complex"/>
        <s v="Jerusalem Fire"/>
        <s v="Dodge Fire"/>
        <s v="Nickowitz Fire"/>
        <s v="Round Fire"/>
        <s v="Cabin Fire"/>
        <s v="Willow Fire"/>
        <s v="Humboldt Lightning Fires"/>
        <s v="Frog Fire"/>
        <s v="North Fire"/>
        <s v="Walker Fire"/>
        <s v="Tesla Fire"/>
        <s v="Cuesta Fire"/>
        <s v="Lowell Fire"/>
        <s v="Horno Fire"/>
        <s v="Park Hill Fire"/>
        <s v="Saddle Fire"/>
        <s v="Lumpkin Fire"/>
        <s v="Corrine Fire"/>
        <s v="Meridian Fire"/>
        <s v="Elk Fire"/>
        <s v="Cienega Fire"/>
        <s v="Anza Fire"/>
        <s v="Van Dyke Fire"/>
        <s v="Sky Fire"/>
        <s v="Triple Fire"/>
        <s v="Tenaya Fire"/>
        <s v="Calgrove Fire"/>
        <s v="Lincoln Fire"/>
        <s v="Ione Fire"/>
        <s v="Warm Fire"/>
        <s v="Site Fire"/>
        <s v="Chorro Fire"/>
        <s v="Forebay Fire"/>
        <s v="Christensen Fire"/>
        <s v="Mendocino National Forest Lightning Complex"/>
        <s v="Pacheco Fire"/>
        <s v="Peterson Fire"/>
        <s v="241 Fire"/>
        <s v="China Fire"/>
        <s v="Mesa Fire"/>
        <s v="Big Creek Fire"/>
        <s v="Stephens Fire"/>
        <s v="Rustic Fire"/>
        <s v="Cooley Fire"/>
        <s v="Wildcat Fire"/>
        <s v="Flat Fire"/>
        <s v="Cutca Fire"/>
        <s v="Queen Fire"/>
        <s v="Cook Fire"/>
        <s v="Merwin Fire"/>
        <s v="Horse Fire"/>
        <s v="Ward Fire"/>
        <s v="Democrat Fire"/>
        <s v="Collier Fire"/>
        <s v="3-11 Fire"/>
        <s v="Mark Fire"/>
        <s v="Tulloch Fire"/>
        <s v="Shinn Fire"/>
        <s v="Apple Fire"/>
        <s v="36 Fire"/>
        <s v="Riosa Fire"/>
        <s v="Munjar Fire"/>
        <s v="Sterling Fire"/>
        <s v="Laureles Fire"/>
        <s v="Sprig Fire"/>
        <s v="Advance Fire"/>
        <s v="Otay Fire"/>
        <s v="Harrison Fire"/>
        <s v="3-12 Fire"/>
        <s v="Fern Fire"/>
        <s v="Mallard Fire"/>
        <s v="Webb Fire"/>
        <s v="Prairie Fire"/>
        <s v="Pass Fire"/>
        <s v="Scales Fire"/>
        <s v="Kerkhoff Fire"/>
        <s v="Dixie Fire"/>
        <s v="Grapefruit Fire"/>
        <s v="Triangle Fire"/>
        <s v="Point Fire"/>
        <s v="Military Fire"/>
        <s v="De Luz Fire"/>
        <s v="Fork Fire"/>
        <s v="Mill 2 Fire"/>
        <s v="Potrero Fire"/>
        <s v="Mendocino Lightning Fires"/>
        <s v="Antelope Fire"/>
        <s v="Geary Fire"/>
        <s v="FKU Lightning Fires"/>
        <s v="Mason Fire"/>
        <s v="Center Fire"/>
        <s v="Sullivan Fire"/>
        <s v="Ascot Fire"/>
        <s v="Chiles Fire"/>
        <s v="Garage Fire"/>
        <s v="Browns Fire"/>
        <s v="Covelo Fire"/>
        <s v="McCourtney Fire"/>
        <s v="Kramer Fire"/>
        <s v="Francis Fire"/>
        <s v="Banister Fire"/>
        <s v="Baxter Fire"/>
        <s v="Park Fire"/>
        <s v="Betabel Fire"/>
        <s v="Buckaroo Fire"/>
        <s v="Fox Fire"/>
        <s v="Oasis Fire"/>
        <s v="Snow Fire"/>
        <s v="Dorris Fire"/>
        <s v="Soda Fire"/>
        <s v="Grade Fire"/>
        <s v="Gibraltar Fire"/>
        <s v="Spider Fire"/>
        <s v="Pleasure Fire"/>
        <s v="Keswick Fire"/>
        <s v="Buck Fire"/>
        <s v="Mad River Complex"/>
        <s v="Washington Fire"/>
        <s v="Soberanes Fire"/>
        <s v="Erskine Fire"/>
        <s v="Chimney Fire"/>
        <s v="Blue Cut Fire"/>
        <s v="Gap Fire"/>
        <s v="Rey Fire"/>
        <s v="Canyon Fire"/>
        <s v="Pilot Fire"/>
        <s v="Sherpa Fire"/>
        <s v="Mineral Fire"/>
        <s v="Cold Fire"/>
        <s v="Trailhead Fire"/>
        <s v="Owens River Fire"/>
        <s v="San Gabriel Complex (Formerly Fish &amp; Reservoir Fires)"/>
        <s v="Marek Fire"/>
        <s v="Loma Fire"/>
        <s v="Clayton Fire"/>
        <s v="Metz Fire"/>
        <s v="Roberts Fire"/>
        <s v="Curry Fire"/>
        <s v="Pony Fire"/>
        <s v="Clark Fire"/>
        <s v="Soup Complex"/>
        <s v="Willard Fire"/>
        <s v="Coleman Fire"/>
        <s v="Pine Fire"/>
        <s v="Goose Fire"/>
        <s v="Sacata Fire"/>
        <s v="Sawmill Fire"/>
        <s v="Dinosaur Fire"/>
        <s v="Roblar Fire"/>
        <s v="Sage Fire"/>
        <s v="Marshes Fire"/>
        <s v="Marina Fire"/>
        <s v="Tully Fire"/>
        <s v="Fort Fire"/>
        <s v="99 Fire"/>
        <s v="Range Fire"/>
        <s v="Colyear Fire"/>
        <s v="Beale Fire"/>
        <s v="Tule Fire"/>
        <s v="Howard Fire"/>
        <s v="Hog Fire"/>
        <s v="Appaloosa Fire"/>
        <s v="Havilah Fire"/>
        <s v="DeWolf Fire"/>
        <s v="Tobin Fire"/>
        <s v="Onyx Fire"/>
        <s v="Reservoir Fire"/>
        <s v="Camanche Fire"/>
        <s v="Big Fire"/>
        <s v="Emerald Fire"/>
        <s v="Briggs Fire"/>
        <s v="Athens Fire"/>
        <s v="Sunny Fire"/>
        <s v="Wheatland Fire"/>
        <s v="Hills Fire"/>
        <s v="Old Fire"/>
        <s v="Holy Fire"/>
        <s v="Shedd Fire"/>
        <s v="Bird Fire"/>
        <s v="Frame Fire"/>
        <s v="Maze Fire"/>
        <s v="Temecula Fire"/>
        <s v="Famoso Fire"/>
        <s v="Avocado Fire"/>
        <s v="Bangor Fire"/>
        <s v="Green Fire"/>
        <s v="Rock Creek Fire"/>
        <s v="Coe Fire"/>
        <s v="Coal Fire"/>
        <s v="Broken Fire"/>
        <s v="Cow Fire"/>
        <s v="Bailey Fire"/>
        <s v="Hart Fire"/>
        <s v="Bradley Fire"/>
        <s v="Feather Fire"/>
        <s v="Mercury Fire"/>
        <s v="Dunstone Fire"/>
        <s v="Santos Fire"/>
        <s v="Flores Fire"/>
        <s v="Moore Fire"/>
        <s v="Scott Fire"/>
        <s v="Frazier Fire"/>
        <s v="Grub Fire"/>
        <s v="Dunnigan Fire"/>
        <s v="Cheyenne Fire"/>
        <s v="Serpa Fire"/>
        <s v="Hoag Fire"/>
        <s v="Sherwood Fire"/>
        <s v="Newmark Fire"/>
        <s v="Arroyo Fire"/>
        <s v="Pala Fire"/>
        <s v="Cotton Fire"/>
        <s v="Mill Fire"/>
        <s v="Lowe Fire"/>
        <s v="Ruff Fire"/>
        <s v="Spring Fire"/>
        <s v="Storksbill Fire"/>
        <s v="Casitas Fire"/>
        <s v="70 Fire"/>
        <s v="Auburn Fire"/>
        <s v="Laguna Fire"/>
        <s v="Bell Fire"/>
        <s v="Kugelman Fire"/>
        <s v="Kuehner Fire"/>
        <s v="Dockery Fire"/>
        <s v="Boys Fire"/>
        <s v="Evergreen Fire"/>
        <s v="Franklin Fire"/>
        <s v="Phoenix Fire"/>
        <s v="Mina Fire"/>
        <s v="Knoxville Fire"/>
        <s v="Gopher Fire"/>
        <s v="Stagecoach Fire"/>
        <s v="Campo Fire"/>
        <s v="Moffett Fire"/>
        <s v="Frymire Fire"/>
        <s v="Clay Fire"/>
        <s v="Lone Pine Fire"/>
        <s v="Hidden Fire"/>
        <s v="Taglio Fire"/>
        <s v="Rock Fire"/>
        <s v="Alder Fire"/>
        <s v="North Branch Extension Fire"/>
        <s v="Aukum Fire"/>
        <s v="Bryson Fire"/>
        <s v="Stafford Fire"/>
        <s v="Table Fire"/>
        <s v="Ken Fire"/>
        <s v="Mockingbird Fire"/>
        <s v="Edison Fire"/>
        <s v="Shelter Fire"/>
        <s v="Jacobson Fire"/>
        <s v="Mokelumne Fire"/>
        <s v="Gorman Fire"/>
        <s v="Thomas Fire"/>
        <s v="Long Valley Fire"/>
        <s v="Modoc July Complex"/>
        <s v="Detwiler Fire"/>
        <s v="Eclipse Complex"/>
        <s v="Nuns / Adobe / Norrbom/ Pressley / Partrick Fires / Oakmont (Central LNU Complex)"/>
        <s v="Atlas Fire (Southern LNU Complex)"/>
        <s v="Garza Fire"/>
        <s v="Miller Complex"/>
        <s v="Tubbs Fire (Central LNU Complex)"/>
        <s v="Pier Fire"/>
        <s v="Redwood Valley Fire (Mendocino Lake Complex)"/>
        <s v="Alamo Fire"/>
        <s v="Helena - Fork Fire"/>
        <s v="Lion Fire"/>
        <s v="R-4 Fire"/>
        <s v="Whittier Fire"/>
        <s v="Pocket Fire (Central LNU Complex)"/>
        <s v="Schaeffer Fire"/>
        <s v="Railroad Fire"/>
        <s v="Elm Fire"/>
        <s v="Cascade Fire (Wind Complex)"/>
        <s v="Canyon 2 Fire"/>
        <s v="Slinkard Fire"/>
        <s v="Cherokee Fire"/>
        <s v="Parker 2 Fire"/>
        <s v="La Tuna Fire"/>
        <s v="South Fork Fire"/>
        <s v="Manzanita Fire"/>
        <s v="LaPorte Fire (Wind Complex)"/>
        <s v="Rye Fire"/>
        <s v="Mud Fire"/>
        <s v="Wall Fire"/>
        <s v="Jayne Fire"/>
        <s v="Summit Complex"/>
        <s v="Ruth Complex"/>
        <s v="Minerva Fire"/>
        <s v="Lilac Fire"/>
        <s v="Ponderosa Fire"/>
        <s v="Palmer Fire"/>
        <s v="Young Fire"/>
        <s v="Hawk Fire"/>
        <s v="Eureka Fire"/>
        <s v="I-5 Fire"/>
        <s v="Winters Fire"/>
        <s v="Sulphur Fire (Mendocino Lake Complex)"/>
        <s v="Gate Fire"/>
        <s v="Adobe Fire (Central LNU Complex)"/>
        <s v="Parkfield Fire"/>
        <s v="Wright Fire"/>
        <s v="37 Fire"/>
        <s v="Quail Fire"/>
        <s v="Hill Fire"/>
        <s v="Derrick Fire"/>
        <s v="Holcomb Fire"/>
        <s v="Oakwood Fire"/>
        <s v="Garden Fire"/>
        <s v="Opera Fire"/>
        <s v="Caldwell Fire"/>
        <s v="Latrobe Fire"/>
        <s v="Tarina Fire"/>
        <s v="Buffalo Fire"/>
        <s v="Hudson Fire"/>
        <s v="Blaine Fire"/>
        <s v="Mission Fire"/>
        <s v="Chilcoot Fire"/>
        <s v="Berry Fire"/>
        <s v="El Dorado Fire"/>
        <s v="Wildomar Fire"/>
        <s v="Poslin Fire"/>
        <s v="Lobo Fire (Wind Complex)"/>
        <s v="Yankee Fire"/>
        <s v="Placerita Fire"/>
        <s v="Farad Fire"/>
        <s v="Jacksonville Fire"/>
        <s v="Peak Fire"/>
        <s v="Mart Fire"/>
        <s v="Ben Fire"/>
        <s v="Battle Fire"/>
        <s v="Mias Fire"/>
        <s v="W-2 Fire"/>
        <s v="Ming Fire"/>
        <s v="Fay Fire"/>
        <s v="Monterey Fire"/>
        <s v="Rucker Fire"/>
        <s v="Eastman Fire"/>
        <s v="Skirball Fire"/>
        <s v="Elephant Fire"/>
        <s v="Dode Fire"/>
        <s v="Jennings Fire"/>
        <s v="Sonoma Fire"/>
        <s v="Pleasant Fire"/>
        <s v="Bear Fire"/>
        <s v="Chris Fire"/>
        <s v="Stone Fire"/>
        <s v="Dinely Fire"/>
        <s v="Rose Fire"/>
        <s v="Bryant Fire"/>
        <s v="Marble Fire"/>
        <s v="Liberty Fire"/>
        <s v="Bravo Fire"/>
        <s v="Little Mountain Fire"/>
        <s v="Lost Fire"/>
        <s v="Huasna Fire"/>
        <s v="Largo Fire"/>
        <s v="Deer Complex"/>
        <s v="Camp Fire"/>
        <s v="Arrow Fire"/>
        <s v="Bodfish Fire"/>
        <s v="Eagle Fire"/>
        <s v="Skeleton Fire"/>
        <s v="Eclipse Fire"/>
        <s v="Wasioja Fire"/>
        <s v="Toll Fire"/>
        <s v="Wild Fire"/>
        <s v="Quarry Fire"/>
        <s v="Laverne Fire"/>
        <s v="High Fire"/>
        <s v="Evans Fire"/>
        <s v="Peg Fire"/>
        <s v="26 Fire"/>
        <s v="Corral Fire"/>
        <s v="Lucy Fire"/>
        <s v="41 Fire"/>
        <s v="Tower Fire"/>
        <s v="Grape Fire"/>
        <s v="Skyway Fire"/>
        <s v="Tumey Fire"/>
        <s v="Coronado Fire"/>
        <s v="Twist Fire"/>
        <s v="Stewart Fire"/>
        <s v="Margarita Fire"/>
        <s v="Lamb Fire"/>
        <s v="Maria Fire"/>
        <s v="Poly Fire"/>
        <s v="Humboldt Fire"/>
        <s v="Coalinga Fire"/>
        <s v="Lariat Fire"/>
        <s v="Church Fire"/>
        <s v="Oakmont Fire (Central LNU Complex)"/>
        <s v="Long Fire"/>
        <s v="Timm Fire"/>
        <s v="Bally Fire"/>
        <s v="Tilton Fire"/>
        <s v="Mile Fire"/>
        <s v="Auberry Fire"/>
        <s v="Wilbur Fire"/>
        <s v="Daulton Fire"/>
        <s v="Ridge Fire"/>
        <s v="Vista Fire"/>
        <s v="Marlborough Fire"/>
        <s v="Saw Fire"/>
        <s v="Dollar Fire"/>
        <s v="Country Fire"/>
        <s v="Holiday Fire"/>
        <s v="Mills File"/>
        <s v="Fountain Fire"/>
        <s v="Castro Fire"/>
        <s v="McCourtney Fire (Wind Complex)"/>
        <s v="Tivy Fire"/>
        <s v="Linne Fire"/>
        <s v="Axel Fire"/>
        <s v="Lynch Fire"/>
        <s v="Ellis Fire"/>
        <s v="Camatta Fire"/>
        <s v="Felipe Fire"/>
        <s v="Manning Fire"/>
        <s v="Orange Fire"/>
        <s v="Placentia Fire"/>
        <s v="Westfall Fire"/>
        <s v="Montezuma Fire"/>
        <s v="Bottle Fire"/>
        <s v="Bolla Fire"/>
        <s v="Slides Fire"/>
        <s v="Hogback Fire"/>
        <s v="Live Fire"/>
        <s v="Freedom Fire"/>
        <s v="Bogus Fire"/>
        <s v="Estate Fire"/>
        <s v="Owens Fire"/>
        <s v="Topanga Fire"/>
        <s v="Quimby Fire"/>
        <s v="Weller Fire"/>
        <s v="Tank Fire"/>
        <s v="Extension Fire"/>
        <s v="Wilson Fire"/>
        <s v="Skeggs Fire"/>
        <s v="Calgary Fire"/>
        <s v="Lago Fire"/>
        <s v="Douglas Fire"/>
        <s v="Serenas Fire"/>
        <s v="Bitterwater Fire"/>
        <s v="Zenon Fire"/>
        <s v="Whitepine Fire"/>
        <s v="Riverbottom Fire"/>
        <s v="Pozo Fire"/>
        <s v="Grace Fire"/>
        <s v="Mines Fire"/>
        <s v="Roser Fire"/>
        <s v="Lockwood Fire"/>
        <s v="Jones Fire"/>
        <s v="Stokes Fire"/>
        <s v="Feed Fire"/>
        <s v="Riverdale Fire"/>
        <s v="Palm Fire"/>
        <s v="Lakewood Fire"/>
        <s v="Hole Fire"/>
        <s v="Translator Fire"/>
        <s v="Vestal Fire"/>
        <s v="Reservation Fire"/>
        <s v="Spenceville Fire"/>
        <s v="Banderilla Fire"/>
        <s v="Melba Fire"/>
        <s v="Spaletta Fire"/>
        <s v="Breckenridge Fire"/>
        <s v="Meyers Fire"/>
        <s v="Ellie Fire"/>
        <s v="Miller Fire"/>
        <s v="Christmas Fire"/>
        <s v="Sandy Fire"/>
        <s v="Shore Fire"/>
        <s v="Pleyto Fire"/>
        <s v="York Fire"/>
        <s v="Juniper Fire"/>
        <s v="Hub Fire"/>
        <s v="Castaic Fire"/>
        <s v="Blocksburg Fire"/>
        <s v="Timber Fire"/>
        <s v="Ice Fire"/>
        <s v="Benson Fire"/>
        <s v="32 Fire"/>
        <s v="4-4 Fire"/>
        <s v="Nuevo Fire"/>
        <s v="4-10 Fire"/>
        <s v="Vernon Fire"/>
        <s v="Jasper Fire"/>
        <s v="Trellis Fire"/>
        <s v="Fairview Fire"/>
        <s v="Cove Fire"/>
        <s v="Border 9 Fire"/>
        <s v="Hopper Fire"/>
        <s v="Sloane Fire"/>
        <s v="Road Fire"/>
        <s v="5 Fire"/>
        <s v="Ribbonwood Fire"/>
        <s v="Portola Fire"/>
        <s v="Edwards Fire"/>
        <s v="Refuge Fire"/>
        <s v="Mule Fire"/>
        <s v="Globe Fire"/>
        <s v="Platina Fire"/>
        <s v="Blue Fire"/>
        <s v="Seine Fire"/>
        <s v="City Fire"/>
        <s v="Nacimiento Fire"/>
        <s v="Longhorn Fire"/>
        <s v="Sway Fire"/>
        <s v="Willms Fire"/>
        <s v="Bodega Fire"/>
        <s v="Lakeland Fire"/>
        <s v="Panoche Fire"/>
        <s v="Ramblin Fire"/>
        <s v="Corner Fire"/>
        <s v="Lonoak Fire"/>
        <s v="Matz Fire"/>
        <s v="Rusty Fire"/>
        <s v="Greenhorn Fire"/>
        <s v="Alvarado Fire"/>
        <s v="Lombardi Fire"/>
        <s v="66 Fire"/>
        <s v="Drum Fire"/>
        <s v="Coast Fire"/>
        <s v="Desabla Fire"/>
        <s v="Moraga Fire"/>
        <s v="Milton Fire"/>
        <s v="Woodland Fire"/>
        <s v="Rosado Fire"/>
        <s v="Pacific Fire"/>
        <s v="Dehesa Fire"/>
        <s v="Shandon Fire"/>
        <s v="Jameson Fire"/>
        <s v="Independence Fire"/>
        <s v="Lisa Fire"/>
        <s v="Dexter Fire"/>
        <s v="Shaver Fire"/>
        <s v="Sandra Fire"/>
        <s v="Rincon Fire"/>
        <s v="Grizzly Fire"/>
        <s v="Navajo Fire"/>
        <s v="Rebie Fire"/>
        <s v="Lambs Fire"/>
        <s v="Shirleon Fire"/>
        <s v="Twenty Fire"/>
        <s v="Champagne Fire"/>
        <s v="Moreno Fire"/>
        <s v="Soledad Fire"/>
        <s v="Pressley Fire (Central LNU Complex)"/>
        <s v="Partrick Fire (Central LNU Complex)"/>
        <s v="Rattlesnake Fire"/>
        <s v="Clear Complex (merged into Eclipse Complex)"/>
        <s v="Warner Mountain Lightning"/>
        <s v="Klamath Fire"/>
        <s v="Cristianitos Fire"/>
        <s v="Salmon-August Complex"/>
        <s v="King Incident"/>
        <s v="Oroville Spillway"/>
        <s v="Ranch Fire (Mendocino Complex)"/>
        <s v="Carr Fire"/>
        <s v="Woolsey Fire"/>
        <s v="Ferguson Fire"/>
        <s v="County Fire"/>
        <s v="Delta Fire"/>
        <s v="River Fire (Mendocino Complex)"/>
        <s v="Hirz Fire"/>
        <s v="Klamathon Fire"/>
        <s v="Donnell Fire"/>
        <s v="Whaleback Fire"/>
        <s v="Pawnee Fire"/>
        <s v="Cranston Fire"/>
        <s v="Waverly Fire"/>
        <s v="Boot Fire"/>
        <s v="Planada Fire"/>
        <s v="Branscombe Fire"/>
        <s v="Lions Fire"/>
        <s v="Sun Fire"/>
        <s v="Lane Fire"/>
        <s v="Mill Creek 1 Fire"/>
        <s v="Charlie Fire"/>
        <s v="Five Fire"/>
        <s v="Georges Fire"/>
        <s v="Snell Fire"/>
        <s v="Chrome Fire"/>
        <s v="Turkey Fire"/>
        <s v="Hat Fire"/>
        <s v="Nees Fire"/>
        <s v="Kerlin Fire"/>
        <s v="Nurse Fire"/>
        <s v="Airline Fire"/>
        <s v="Moffat Fire"/>
        <s v="Patterson Fire"/>
        <s v="Front Fire"/>
        <s v="Eel Fire"/>
        <s v="Dale Fire"/>
        <s v="Irish Fire"/>
        <s v="Eighty Eight Fire"/>
        <s v="Sunset Fire"/>
        <s v="Tumbleweed Fire"/>
        <s v="Eastern Fire"/>
        <s v="Hyatt Fire"/>
        <s v="San Ardo"/>
        <s v="Call Fire"/>
        <s v="Pasqual Fire"/>
        <s v="Shippee Fire"/>
        <s v="Bascom Fire"/>
        <s v="Shingle Fire"/>
        <s v="ONeals Fire"/>
        <s v="Alpha Fire"/>
        <s v="Twisselman Fire"/>
        <s v="South Fire"/>
        <s v="Skyline Fire"/>
        <s v="Stoll Fire"/>
        <s v="Recycle Fire"/>
        <s v="Santa Cruz Fire"/>
        <s v="Rangeland Fire"/>
        <s v="Steamboat Fire"/>
        <s v="Petersburg Fire"/>
        <s v="Ribbon Fire"/>
        <s v="Par Fire"/>
        <s v="Aliso Fire"/>
        <s v="Ogilvy Fire"/>
        <s v="Priest Fire"/>
        <s v="Roxie Fire (Formerly 1-1 Fire)"/>
        <s v="Gorge Fire"/>
        <s v="Santiago Fire"/>
        <s v="Euclid Fire"/>
        <s v="Irving Fire"/>
        <s v="Sliger Fire"/>
        <s v="Parrots Fire"/>
        <s v="Steele Fire"/>
        <s v="Pico Fire"/>
        <s v="Open Fire"/>
        <s v="Shastina Fire"/>
        <s v="Sterling"/>
        <s v="Market Fire"/>
        <s v="Idria Fire"/>
        <s v="Bridle Fire"/>
        <s v="Windmill Fire"/>
        <s v="Cobble Fire"/>
        <s v="Western Fire"/>
        <s v="Cache Fire"/>
        <s v="Jelly Fire"/>
        <s v="Balch Fire"/>
        <s v="Box Fire"/>
        <s v="Sam Fire"/>
        <s v="Sheep Fire"/>
        <s v="Peach Fire"/>
        <s v="3-16 Fire"/>
        <s v="Horn Fire"/>
        <s v="Redinger Fire"/>
        <s v="Plaza Fire"/>
        <s v="Spring 2 Fire"/>
        <s v="Cruces Fire"/>
        <s v="Anchor Fire"/>
        <s v="Stony Fire"/>
        <s v="Main Fire"/>
        <s v="Tornado Fire"/>
        <s v="Romero Fire"/>
        <s v="Bumper Fire"/>
        <s v="Heart Fire"/>
        <s v="Omega Fire"/>
        <s v="Benton Fire"/>
        <s v="Stuhr Fire"/>
        <s v="Lebec Fire"/>
        <s v="Adams Fire"/>
        <s v="Raymond Fire"/>
        <s v="Creston FIre"/>
        <s v="Happy Fire"/>
        <s v="Agua Fire"/>
        <s v="Camino Fire"/>
        <s v="3-10 Fire"/>
        <s v="Bruce Fire"/>
        <s v="Experimental Fire"/>
        <s v="Keenbrook Fire"/>
        <s v="Copper Fire"/>
        <s v="Boyer Fire"/>
        <s v="Kelley Fire"/>
        <s v="Crestline Fire"/>
        <s v="Hale Fire"/>
        <s v="Carder Fire"/>
        <s v="Tuscan Fire"/>
        <s v="Haycamp Fire"/>
        <s v="Buckingham Fire"/>
        <s v="Simmons Fire"/>
        <s v="Martinez Fire"/>
        <s v="Iron Fire"/>
        <s v="Masonic Fire"/>
        <s v="Adobe Fire"/>
        <s v="Mustang Fire"/>
        <s v="Martin Fire"/>
        <s v="Winchester Fire"/>
        <s v="Brushy Fire"/>
        <s v="Terra Fire"/>
        <s v="Marcel Fire"/>
        <s v="Horse Creek Fire"/>
        <s v="Nimshew Fire"/>
        <s v="Wilcox Fire"/>
        <s v="3-18 Fire"/>
        <s v="Alhambra Fire"/>
        <s v="Sobrante Fire"/>
        <s v="Aqueduct Fire"/>
        <s v="Ager Fire"/>
        <s v="Soboba Fire"/>
        <s v="Vineyard Fire"/>
        <s v="Kelsey Fire"/>
        <s v="Land Fire"/>
        <s v="Glen Fire"/>
        <s v="Plymire Fire"/>
        <s v="Wagner Fire"/>
        <s v="Niles Fire"/>
        <s v="Vallecitos Fire"/>
        <s v="Jacques Fire"/>
        <s v="Ethanac Fire"/>
        <s v="Johnson Fire"/>
        <s v="Keeler Fire"/>
        <s v="Iron Gate Fire"/>
        <s v="Essex Fire"/>
        <s v="Woodchuck Fire"/>
        <s v="Casner Fire"/>
        <s v="3-2 Fire"/>
        <s v="Madison FIre"/>
        <s v="Ranchera Fire"/>
        <s v="Cinnamon Fire"/>
        <s v="Coldwell Fire"/>
        <s v="Gray Fire"/>
        <s v="School Fire"/>
        <s v="Meamber Fire"/>
        <s v="Resort Fire"/>
        <s v="Bellagio Fire"/>
        <s v="Volcan Fire"/>
        <s v="Dark Fire"/>
        <s v="Cornerstone Fire"/>
        <s v="Grande Fire"/>
        <s v="Green Hill Fire"/>
        <s v="Powellton Fire"/>
        <s v="Keller Fire"/>
        <s v="Syar Fire"/>
        <s v="Lott Fire"/>
        <s v="Building Fire"/>
        <s v="Llano Fire"/>
        <s v="Ranchita Fire"/>
        <s v="Pallet Fire"/>
        <s v="Jardin Fire"/>
        <s v="70th Fire"/>
        <s v="Honey Flooding"/>
        <s v="Montecito Flooding / Mudflows"/>
        <s v="Easy Fire"/>
        <s v="Gaines Fire"/>
        <s v="Sandalwood Fire"/>
        <s v="Rawson Fire"/>
        <s v="Foothills Fire"/>
        <s v="Cross Fire"/>
        <s v="3-2 Willow (Previously H-1 Fire)"/>
        <s v="Wolf Fire"/>
        <s v="Merrill Fire"/>
        <s v="Rains Fire"/>
        <s v="Whiskey Fire"/>
        <s v="La Barisa Fire"/>
        <s v="Chaparral Fire"/>
        <s v="Mid Fire"/>
        <s v="Nustar Fire"/>
        <s v="Kincade Fire"/>
        <s v="Tucker Fire"/>
        <s v="Taboose Fire"/>
        <s v="Red Bank Fire"/>
        <s v="Saddle Ridge Fire"/>
        <s v="Briceburg Fire"/>
        <s v="Tick Fire"/>
        <s v="Caples Fire"/>
        <s v="R-1 Fire"/>
        <s v="Cave Fire (No Longer a CAL FIRE Incident)"/>
        <s v="Tenaja"/>
        <s v="Lime Fire"/>
        <s v="McMillan Fire"/>
        <s v="Border 8 Fire"/>
        <s v="West Butte Fire"/>
        <s v="Boulder Fire"/>
        <s v="W1 McDonald Fire"/>
        <s v="Gillis Fire"/>
        <s v="Belmont Fire"/>
        <s v="Marsh Complex"/>
        <s v="Getty Fire"/>
        <s v="Burris Fire"/>
        <s v="Baseline Fire"/>
        <s v="Jerry Fire"/>
        <s v="Horseshoe Fire"/>
        <s v="Caliente Fire"/>
        <s v="Hunter Fire"/>
        <s v="Real Fire"/>
        <s v="Broder Fire"/>
        <s v="Reche Fire"/>
        <s v="46 Fire"/>
        <s v="Hwy Fire"/>
        <s v="Hollow Fire"/>
        <s v="Rams Horn Fire"/>
        <s v="Snail Fire"/>
        <s v="Snowstorm Fire"/>
        <s v="R-6 Fire"/>
        <s v="Citrus Fire"/>
        <s v="Sycamore Fire"/>
        <s v="Henthorne Fire"/>
        <s v="Harte Fire"/>
        <s v="Kidder 2 Fire"/>
        <s v="Moose Fire"/>
        <s v="Lopez Fire"/>
        <s v="Madera Fire"/>
        <s v="Merced Fire"/>
        <s v="Malech Fire"/>
        <s v="Tejon Fire"/>
        <s v="Lumgrey Fire"/>
        <s v="Hillside Fire"/>
        <s v="Cypress Complex"/>
        <s v="Olivas Fire"/>
        <s v="McMurray Fire"/>
        <s v="Doyle Fire"/>
        <s v="Sargent Fire"/>
        <s v="Marshview Fire"/>
        <s v="Vulcan Fire"/>
        <s v="Bautista Fire"/>
        <s v="Cottage Fire"/>
        <s v="Star Fire"/>
        <s v="Spruce Fire"/>
        <s v="Dyer Fire"/>
        <s v="Old Water Fire"/>
        <s v="Glencove Fire"/>
        <s v="Usal Fire"/>
        <s v="Shady Fire"/>
        <s v="Goose 2 Fire"/>
        <s v="Weisgarber Fire"/>
        <s v="Bitter Fire"/>
        <s v="Woody Fire"/>
        <s v="Meadow Fire (Not a CAL FIRE incident)"/>
        <s v="Kennedy Fire"/>
        <s v="Sawday Fire"/>
        <s v="Thompson Fire"/>
        <s v="Wendy Fire"/>
        <s v="Bar Fire"/>
        <s v="Trinity Fire"/>
        <s v="Tree Fire"/>
        <s v="Milpas Fire"/>
        <s v="Ivy Fire"/>
        <s v="Sweigert Fire"/>
        <s v="Levee Fire"/>
        <s v="Corning Fire"/>
        <s v="Muir Fire"/>
        <s v="Lynette Fire"/>
        <s v="Jolon Fire"/>
        <s v="Sugar Fire"/>
        <s v="Cabrillo Fire"/>
        <s v="Bayliss Fire"/>
        <s v="Forbestown Fire"/>
        <s v="Sellers Fire"/>
        <s v="Forest Fire"/>
        <s v="Ink Fire"/>
        <s v="Aborn Fire"/>
        <s v="Lower Fire"/>
        <s v="Diversion Fire"/>
        <s v="Flood Fire"/>
        <s v="Ardo Fire"/>
        <s v="Palisades Fire"/>
        <s v="Plains Fire"/>
        <s v="Far Fire"/>
        <s v="Jamieson Fire"/>
        <s v="Community Fire"/>
        <s v="Calaveras Fire"/>
        <s v="Redwood Fire"/>
        <s v="Yucca Fire"/>
        <s v="Heavy Range Fire"/>
        <s v="Yokohl Fire"/>
        <s v="Mare Fire"/>
        <s v="Gilbert Fire"/>
        <s v="Girasol Fire"/>
        <s v="Glass Fire"/>
        <s v="Watt Fire"/>
        <s v="Grove Fire"/>
        <s v="Border 10 Fire"/>
        <s v="Bikeway Fire"/>
        <s v="Fellow Fire"/>
        <s v="Preston Fire"/>
        <s v="Radio Fire"/>
        <s v="Golf Fire"/>
        <s v="Gibbel Fire"/>
        <s v="Warren Fire"/>
        <s v="Carroll Fire"/>
        <s v="Del Fire"/>
        <s v="Foster Fire"/>
        <s v="Greenstone Fire"/>
        <s v="Duzel Fire"/>
        <s v="Telephone Fire"/>
        <s v="Pauma Fire"/>
        <s v="Carson Fire"/>
        <s v="Mayberry Fire"/>
        <s v="Beaumont Fire"/>
        <s v="Dales Fire"/>
        <s v="Fairmont Fire"/>
        <s v="Inghram Fire"/>
        <s v="Electra Fire"/>
        <s v="Moms Fire"/>
        <s v="IronGate Fire"/>
        <s v="Cana Fire"/>
        <s v="Cashe Fire"/>
      </sharedItems>
    </cacheField>
    <cacheField name="PersonnelInvolved" numFmtId="0">
      <sharedItems containsString="0" containsBlank="1" containsNumber="1" containsInteger="1">
        <m/>
        <n v="2167.0"/>
        <n v="2106.0"/>
        <n v="898.0"/>
        <n v="342.0"/>
        <n v="2147.0"/>
        <n v="1811.0"/>
        <n v="847.0"/>
        <n v="188.0"/>
        <n v="726.0"/>
        <n v="231.0"/>
        <n v="911.0"/>
        <n v="1484.0"/>
        <n v="112.0"/>
        <n v="1217.0"/>
        <n v="502.0"/>
        <n v="282.0"/>
        <n v="476.0"/>
        <n v="4.0"/>
        <n v="259.0"/>
        <n v="294.0"/>
        <n v="221.0"/>
        <n v="347.0"/>
        <n v="150.0"/>
        <n v="60.0"/>
        <n v="249.0"/>
        <n v="285.0"/>
        <n v="80.0"/>
        <n v="35.0"/>
        <n v="292.0"/>
        <n v="44.0"/>
        <n v="219.0"/>
        <n v="169.0"/>
        <n v="65.0"/>
        <n v="78.0"/>
        <n v="297.0"/>
        <n v="87.0"/>
        <n v="0.0"/>
        <n v="40.0"/>
        <n v="583.0"/>
        <n v="514.0"/>
        <n v="211.0"/>
        <n v="427.0"/>
        <n v="32.0"/>
        <n v="548.0"/>
        <n v="46.0"/>
        <n v="453.0"/>
        <n v="15.0"/>
        <n v="835.0"/>
        <n v="90.0"/>
        <n v="53.0"/>
        <n v="91.0"/>
        <n v="10.0"/>
        <n v="256.0"/>
        <n v="356.0"/>
        <n v="108.0"/>
        <n v="42.0"/>
        <n v="51.0"/>
        <n v="227.0"/>
        <n v="100.0"/>
        <n v="1392.0"/>
        <n v="215.0"/>
        <n v="18.0"/>
        <n v="692.0"/>
        <n v="27.0"/>
        <n v="13.0"/>
        <n v="55.0"/>
        <n v="54.0"/>
        <n v="613.0"/>
        <n v="43.0"/>
        <n v="102.0"/>
        <n v="270.0"/>
        <n v="8.0"/>
        <n v="120.0"/>
        <n v="115.0"/>
        <n v="57.0"/>
        <n v="250.0"/>
        <n v="275.0"/>
        <n v="45.0"/>
        <n v="20.0"/>
        <n v="59.0"/>
        <n v="379.0"/>
        <n v="190.0"/>
        <n v="70.0"/>
        <n v="103.0"/>
        <n v="49.0"/>
        <n v="195.0"/>
        <n v="914.0"/>
        <n v="960.0"/>
        <n v="58.0"/>
        <n v="62.0"/>
        <n v="22.0"/>
        <n v="167.0"/>
        <n v="14.0"/>
        <n v="92.0"/>
        <n v="133.0"/>
        <n v="174.0"/>
        <n v="241.0"/>
        <n v="168.0"/>
        <n v="350.0"/>
        <n v="86.0"/>
        <n v="1728.0"/>
        <n v="153.0"/>
        <n v="432.0"/>
        <n v="677.0"/>
        <n v="97.0"/>
        <n v="652.0"/>
        <n v="148.0"/>
        <n v="123.0"/>
        <n v="665.0"/>
        <n v="727.0"/>
        <n v="317.0"/>
        <n v="380.0"/>
        <n v="48.0"/>
        <n v="435.0"/>
        <n v="498.0"/>
        <n v="212.0"/>
        <n v="220.0"/>
        <n v="76.0"/>
        <n v="85.0"/>
        <n v="596.0"/>
        <n v="456.0"/>
        <n v="1065.0"/>
        <n v="3100.0"/>
        <n v="196.0"/>
        <n v="564.0"/>
        <n v="180.0"/>
        <n v="325.0"/>
        <n v="98.0"/>
        <n v="192.0"/>
        <n v="83.0"/>
        <n v="105.0"/>
        <n v="247.0"/>
        <n v="126.0"/>
        <n v="468.0"/>
        <n v="269.0"/>
        <n v="626.0"/>
        <n v="1936.0"/>
        <n v="206.0"/>
        <n v="19.0"/>
        <n v="509.0"/>
        <n v="69.0"/>
        <n v="515.0"/>
        <n v="185.0"/>
        <n v="187.0"/>
        <n v="163.0"/>
        <n v="235.0"/>
        <n v="16.0"/>
        <n v="9.0"/>
        <n v="328.0"/>
        <n v="25.0"/>
        <n v="74.0"/>
      </sharedItems>
    </cacheField>
    <cacheField name="Started" numFmtId="0">
      <sharedItems>
        <s v="2013-08-17T15:25:00Z"/>
        <s v="2013-05-30T15:28:00Z"/>
        <s v="2013-07-15T13:43:00Z"/>
        <s v="2013-08-10T16:30:00Z"/>
        <s v="2013-05-02T07:01:00Z"/>
        <s v="2013-07-22T22:15:00Z"/>
        <s v="2013-08-07T14:05:00Z"/>
        <s v="2013-07-31T22:00:00Z"/>
        <s v="2013-08-10T11:40:00Z"/>
        <s v="2013-08-23T14:15:00Z"/>
        <s v="2013-09-09T12:32:00Z"/>
        <s v="2013-07-06T12:55:00Z"/>
        <s v="2013-05-01T09:12:00Z"/>
        <s v="2013-05-15T12:50:00Z"/>
        <s v="2013-11-22T02:04:00Z"/>
        <s v="2013-05-01T12:38:00Z"/>
        <s v="2013-09-08T13:08:00Z"/>
        <s v="2013-05-23T12:20:00Z"/>
        <s v="2013-08-16T16:37:00Z"/>
        <s v="2013-10-05T12:45:00Z"/>
        <s v="2013-08-24T14:31:00Z"/>
        <s v="2013-05-27T14:45:00Z"/>
        <s v="2013-06-16T14:12:00Z"/>
        <s v="2013-08-05T10:10:00Z"/>
        <s v="2013-05-26T12:04:00Z"/>
        <s v="2013-08-05T06:00:00Z"/>
        <s v="2013-12-16T00:20:00Z"/>
        <s v="2013-08-18T23:12:00Z"/>
        <s v="2013-07-19T12:00:00Z"/>
        <s v="2013-05-17T13:23:00Z"/>
        <s v="2013-07-23T09:15:00Z"/>
        <s v="2013-07-08T12:45:00Z"/>
        <s v="2013-06-28T14:30:00Z"/>
        <s v="2013-08-18T18:30:00Z"/>
        <s v="2013-05-04T11:43:00Z"/>
        <s v="2013-07-03T22:56:00Z"/>
        <s v="2013-06-01T17:27:00Z"/>
        <s v="2013-07-01T13:19:00Z"/>
        <s v="2013-06-16T18:17:00Z"/>
        <s v="2013-08-20T13:32:00Z"/>
        <s v="2013-02-24T08:16:00Z"/>
        <s v="2013-10-03T20:33:00Z"/>
        <s v="2013-05-03T11:42:00Z"/>
        <s v="2013-02-28T16:43:00Z"/>
        <s v="2013-10-04T17:37:00Z"/>
        <s v="2013-05-30T11:20:00Z"/>
        <s v="2013-06-03T13:49:00Z"/>
        <s v="2013-01-22T11:08:00Z"/>
        <s v="2013-07-01T15:41:00Z"/>
        <s v="2013-04-30T12:59:00Z"/>
        <s v="2013-09-23T18:00:00Z"/>
        <s v="2013-09-09T13:09:00Z"/>
        <s v="2013-08-08T12:15:00Z"/>
        <s v="2013-06-08T10:16:00Z"/>
        <s v="2013-06-13T11:28:00Z"/>
        <s v="2013-06-12T15:17:00Z"/>
        <s v="2013-05-01T19:00:00Z"/>
        <s v="2013-07-17T13:23:00Z"/>
        <s v="2013-09-24T15:51:00Z"/>
        <s v="2013-07-04T07:30:00Z"/>
        <s v="2013-08-19T17:48:00Z"/>
        <s v="2013-07-19T13:32:00Z"/>
        <s v="2013-11-21T21:39:00Z"/>
        <s v="2013-05-28T15:24:00Z"/>
        <s v="2013-11-04T11:41:00Z"/>
        <s v="2013-07-19T14:12:00Z"/>
        <s v="2013-10-04T12:25:00Z"/>
        <s v="2013-07-26T13:45:00Z"/>
        <s v="2013-10-04T07:35:00Z"/>
        <s v="2013-07-16T17:48:00Z"/>
        <s v="2013-07-12T15:35:00Z"/>
        <s v="2013-06-25T13:36:00Z"/>
        <s v="2013-05-22T00:56:00Z"/>
        <s v="2013-05-28T11:30:00Z"/>
        <s v="2013-09-08T11:53:00Z"/>
        <s v="2013-05-01T02:01:00Z"/>
        <s v="2013-06-18T15:18:00Z"/>
        <s v="2013-06-04T15:42:00Z"/>
        <s v="2013-05-25T14:59:00Z"/>
        <s v="2013-11-08T13:42:00Z"/>
        <s v="2013-08-16T13:55:00Z"/>
        <s v="2013-08-17T17:25:00Z"/>
        <s v="2013-06-13T11:54:00Z"/>
        <s v="2013-06-29T14:09:00Z"/>
        <s v="2013-08-09T17:15:00Z"/>
        <s v="2013-06-02T13:30:00Z"/>
        <s v="2013-05-22T16:14:00Z"/>
        <s v="2013-09-28T13:57:00Z"/>
        <s v="2013-09-05T15:57:00Z"/>
        <s v="2013-08-24T15:09:00Z"/>
        <s v="2013-08-09T15:51:00Z"/>
        <s v="2013-06-12T16:43:00Z"/>
        <s v="2013-09-24T03:20:00Z"/>
        <s v="2013-08-01T16:01:00Z"/>
        <s v="2013-05-19T15:07:00Z"/>
        <s v="2013-05-21T14:16:00Z"/>
        <s v="2013-07-07T13:16:00Z"/>
        <s v="2013-11-22T10:06:00Z"/>
        <s v="2013-08-31T17:23:00Z"/>
        <s v="2013-04-09T12:35:00Z"/>
        <s v="2013-09-15T17:39:00Z"/>
        <s v="2013-07-25T15:09:00Z"/>
        <s v="2013-06-12T16:40:00Z"/>
        <s v="2013-05-13T13:30:00Z"/>
        <s v="2013-04-30T23:44:00Z"/>
        <s v="2013-09-11T16:57:00Z"/>
        <s v="2013-07-08T09:59:00Z"/>
        <s v="2013-05-01T04:16:00Z"/>
        <s v="2013-08-16T17:57:00Z"/>
        <s v="2013-09-07T17:30:00Z"/>
        <s v="2013-11-14T11:05:00Z"/>
        <s v="2013-08-06T13:39:00Z"/>
        <s v="2013-08-04T16:29:00Z"/>
        <s v="2013-08-31T14:42:00Z"/>
        <s v="2013-11-08T10:30:00Z"/>
        <s v="2013-11-23T12:04:00Z"/>
        <s v="2013-08-15T14:40:00Z"/>
        <s v="2013-07-12T13:09:00Z"/>
        <s v="2013-07-04T10:00:00Z"/>
        <s v="2013-05-25T17:35:00Z"/>
        <s v="2013-08-17T10:11:00Z"/>
        <s v="2013-06-17T14:41:00Z"/>
        <s v="2013-07-23T13:29:00Z"/>
        <s v="2013-12-10T02:26:00Z"/>
        <s v="2013-07-09T11:59:00Z"/>
        <s v="2013-06-08T15:37:00Z"/>
        <s v="2013-09-07T13:55:00Z"/>
        <s v="2013-12-31T05:30:00Z"/>
        <s v="2013-10-06T10:52:00Z"/>
        <s v="2013-09-26T17:29:00Z"/>
        <s v="2013-08-16T13:31:00Z"/>
        <s v="2013-07-31T15:25:00Z"/>
        <s v="2013-07-19T16:21:00Z"/>
        <s v="2013-06-14T13:47:00Z"/>
        <s v="2013-05-16T13:48:00Z"/>
        <s v="2013-08-24T14:54:00Z"/>
        <s v="2013-08-07T12:35:00Z"/>
        <s v="2013-07-06T13:09:00Z"/>
        <s v="2013-06-13T15:54:00Z"/>
        <s v="2013-05-20T15:45:00Z"/>
        <s v="2013-08-04T18:00:00Z"/>
        <s v="2013-11-07T16:10:00Z"/>
        <s v="2013-07-22T12:34:00Z"/>
        <s v="2013-09-15T19:45:00Z"/>
        <s v="2013-06-05T16:05:00Z"/>
        <s v="2013-04-20T17:30:00Z"/>
        <s v="2013-06-10T00:46:00Z"/>
        <s v="2013-08-14T15:37:00Z"/>
        <s v="2013-07-28T09:43:00Z"/>
        <s v="2013-06-20T14:29:00Z"/>
        <s v="2013-05-20T13:47:00Z"/>
        <s v="2013-11-23T14:17:00Z"/>
        <s v="2013-12-30T11:00:00Z"/>
        <s v="2013-07-19T17:31:00Z"/>
        <s v="2013-05-12T13:02:00Z"/>
        <s v="2013-08-03T08:00:00Z"/>
        <s v="2013-06-09T12:30:00Z"/>
        <s v="2014-09-13T16:32:00Z"/>
        <s v="2014-08-02T09:00:00Z"/>
        <s v="2014-07-30T20:15:00Z"/>
        <s v="2014-07-30T23:00:00Z"/>
        <s v="2014-07-30T00:00:00Z"/>
        <s v="2014-07-31T18:04:00Z"/>
        <s v="2014-05-15T14:45:00Z"/>
        <s v="2014-07-28T05:45:00Z"/>
        <s v="2014-07-30T19:01:00Z"/>
        <s v="2014-07-11T15:37:00Z"/>
        <s v="2014-07-30T06:27:00Z"/>
        <s v="2014-07-04T21:32:00Z"/>
        <s v="2014-07-30T20:30:00Z"/>
        <s v="2014-07-31T17:45:00Z"/>
        <s v="2014-05-14T09:45:00Z"/>
        <s v="2014-06-19T15:14:00Z"/>
        <s v="2014-08-16T00:00:00Z"/>
        <s v="2014-07-26T17:00:00Z"/>
        <s v="2014-07-01T12:08:00Z"/>
        <s v="2014-07-25T16:34:00Z"/>
        <s v="2014-08-18T14:30:00Z"/>
        <s v="2014-06-13T17:00:00Z"/>
        <s v="2014-04-30T08:00:00Z"/>
        <s v="2014-05-14T16:00:00Z"/>
        <s v="2014-01-16T05:50:00Z"/>
        <s v="2014-07-11T13:46:00Z"/>
        <s v="2014-07-01T19:00:00Z"/>
        <s v="2014-05-13T11:00:00Z"/>
        <s v="2014-07-03T15:46:00Z"/>
        <s v="2014-05-16T11:24:00Z"/>
        <s v="2014-09-10T00:30:00Z"/>
        <s v="2014-07-17T01:00:00Z"/>
        <s v="2014-09-12T10:30:00Z"/>
        <s v="2014-01-02T20:00:00Z"/>
        <s v="2014-05-26T15:33:00Z"/>
        <s v="2014-05-13T14:00:00Z"/>
        <s v="2014-08-18T13:50:00Z"/>
        <s v="2014-05-14T10:30:00Z"/>
        <s v="2014-08-24T16:36:00Z"/>
        <s v="2014-09-15T13:38:00Z"/>
        <s v="2014-06-04T11:45:00Z"/>
        <s v="2014-10-08T13:33:00Z"/>
        <s v="2014-09-13T15:48:00Z"/>
        <s v="2014-03-19T16:45:00Z"/>
        <s v="2014-07-28T13:11:00Z"/>
        <s v="2014-05-14T13:00:00Z"/>
        <s v="2014-03-15T16:37:00Z"/>
        <s v="2014-01-04T12:00:00Z"/>
        <s v="2014-09-14T13:36:00Z"/>
        <s v="2014-10-07T15:05:00Z"/>
        <s v="2014-09-05T12:39:00Z"/>
        <s v="2014-07-24T12:06:00Z"/>
        <s v="2014-08-17T14:30:00Z"/>
        <s v="2014-06-05T13:04:00Z"/>
        <s v="2014-09-13T14:07:00Z"/>
        <s v="2014-06-13T12:23:00Z"/>
        <s v="2014-07-03T10:43:00Z"/>
        <s v="2014-09-12T15:00:00Z"/>
        <s v="2014-08-14T12:48:00Z"/>
        <s v="2014-05-25T12:20:00Z"/>
        <s v="2014-07-09T13:45:00Z"/>
        <s v="2014-06-10T15:11:00Z"/>
        <s v="2014-06-30T14:10:00Z"/>
        <s v="2014-03-08T12:30:00Z"/>
        <s v="2014-06-20T15:27:00Z"/>
        <s v="2014-01-22T13:10:00Z"/>
        <s v="2014-04-19T15:54:00Z"/>
        <s v="2014-01-25T06:37:00Z"/>
        <s v="2014-05-14T12:12:00Z"/>
        <s v="2014-08-12T15:00:00Z"/>
        <s v="2014-09-03T16:03:00Z"/>
        <s v="2014-09-01T14:03:00Z"/>
        <s v="2014-09-14T09:15:00Z"/>
        <s v="2014-06-06T17:29:00Z"/>
        <s v="2014-06-22T12:37:00Z"/>
        <s v="2014-08-18T10:00:00Z"/>
        <s v="2014-08-28T15:10:00Z"/>
        <s v="2014-07-11T21:57:00Z"/>
        <s v="2014-09-07T16:46:00Z"/>
        <s v="2014-07-23T10:47:00Z"/>
        <s v="2014-07-05T18:44:00Z"/>
        <s v="2014-04-30T14:25:00Z"/>
        <s v="2014-07-14T18:00:00Z"/>
        <s v="2014-09-04T11:51:00Z"/>
        <s v="2014-07-01T18:15:00Z"/>
        <s v="2014-06-12T14:29:00Z"/>
        <s v="2014-09-16T19:07:00Z"/>
        <s v="2014-09-21T16:13:00Z"/>
        <s v="2014-01-01T10:46:00Z"/>
        <s v="2014-03-28T14:31:00Z"/>
        <s v="2014-05-14T17:43:00Z"/>
        <s v="2014-05-14T14:00:00Z"/>
        <s v="2014-10-16T14:34:00Z"/>
        <s v="2014-07-07T16:12:00Z"/>
        <s v="2014-06-09T15:15:00Z"/>
        <s v="2014-07-07T16:35:00Z"/>
        <s v="2014-08-01T15:47:00Z"/>
        <s v="2014-05-27T11:23:00Z"/>
        <s v="2014-06-06T17:32:00Z"/>
        <s v="2014-07-29T13:00:00Z"/>
        <s v="2014-07-09T14:34:00Z"/>
        <s v="2014-05-05T16:36:00Z"/>
        <s v="2014-09-11T15:14:00Z"/>
        <s v="2014-09-29T19:35:00Z"/>
        <s v="2014-08-29T12:21:00Z"/>
        <s v="2014-06-11T07:30:00Z"/>
        <s v="2014-09-25T18:00:00Z"/>
        <s v="2014-08-16T16:22:00Z"/>
        <s v="2014-01-03T10:30:00Z"/>
        <s v="2014-07-01T03:45:00Z"/>
        <s v="2014-07-21T14:49:00Z"/>
        <s v="2014-06-04T15:18:00Z"/>
        <s v="2014-08-26T16:23:00Z"/>
        <s v="2014-08-24T03:20:00Z"/>
        <s v="2014-08-11T22:00:00Z"/>
        <s v="2015-07-31T19:00:00Z"/>
        <s v="2015-07-30T22:30:00Z"/>
        <s v="2015-07-29T15:29:00Z"/>
        <s v="2015-07-30T21:30:00Z"/>
        <s v="2015-06-17T15:52:00Z"/>
        <s v="2015-07-31T21:00:00Z"/>
        <s v="2015-07-30T16:00:00Z"/>
        <s v="2015-08-09T15:34:00Z"/>
        <s v="2015-08-03T14:15:00Z"/>
        <s v="2015-08-01T23:23:00Z"/>
        <s v="2015-02-06T14:07:00Z"/>
        <s v="2015-07-19T08:00:00Z"/>
        <s v="2015-07-25T14:30:00Z"/>
        <s v="2015-07-30T16:02:00Z"/>
        <s v="2015-07-30T17:45:00Z"/>
        <s v="2015-07-17T14:33:00Z"/>
        <s v="2015-08-14T21:31:00Z"/>
        <s v="2015-08-19T14:45:00Z"/>
        <s v="2015-08-16T18:13:00Z"/>
        <s v="2015-07-25T14:37:00Z"/>
        <s v="2015-08-13T13:03:00Z"/>
        <s v="2015-06-20T14:41:00Z"/>
        <s v="2015-06-10T15:00:00Z"/>
        <s v="2015-07-31T21:37:00Z"/>
        <s v="2015-07-18T22:27:00Z"/>
        <s v="2015-09-19T15:00:00Z"/>
        <s v="2015-04-18T18:12:00Z"/>
        <s v="2015-09-11T14:15:00Z"/>
        <s v="2015-06-18T21:00:00Z"/>
        <s v="2015-10-03T21:15:00Z"/>
        <s v="2015-09-02T14:57:00Z"/>
        <s v="2015-10-12T16:00:00Z"/>
        <s v="2015-08-10T11:44:00Z"/>
        <s v="2015-02-06T16:52:00Z"/>
        <s v="2015-06-18T14:31:00Z"/>
        <s v="2015-07-21T12:35:00Z"/>
        <s v="2015-09-07T21:23:00Z"/>
        <s v="2015-06-24T13:22:00Z"/>
        <s v="2015-07-29T11:25:00Z"/>
        <s v="2015-08-16T13:30:00Z"/>
        <s v="2015-07-02T01:58:00Z"/>
        <s v="2015-08-16T15:30:00Z"/>
        <s v="2015-06-05T20:22:00Z"/>
        <s v="2015-08-02T13:15:00Z"/>
        <s v="2015-05-11T10:26:00Z"/>
        <s v="2015-05-28T17:00:00Z"/>
        <s v="2015-07-30T14:00:00Z"/>
        <s v="2015-09-09T15:58:00Z"/>
        <s v="2015-08-22T17:30:00Z"/>
        <s v="2015-07-13T10:47:00Z"/>
        <s v="2015-07-29T17:55:00Z"/>
        <s v="2015-06-29T13:11:00Z"/>
        <s v="2015-07-29T16:30:00Z"/>
        <s v="2015-07-17T21:30:00Z"/>
        <s v="2015-02-24T12:15:00Z"/>
        <s v="2015-07-30T11:18:00Z"/>
        <s v="2015-08-14T15:22:00Z"/>
        <s v="2015-07-13T17:56:00Z"/>
        <s v="2015-06-17T17:03:00Z"/>
        <s v="2015-09-09T14:30:00Z"/>
        <s v="2015-07-04T16:33:00Z"/>
        <s v="2015-08-20T15:57:00Z"/>
        <s v="2015-07-24T16:18:00Z"/>
        <s v="2015-06-22T07:00:00Z"/>
        <s v="2015-07-24T23:00:00Z"/>
        <s v="2015-06-18T13:07:00Z"/>
        <s v="2015-07-06T10:47:00Z"/>
        <s v="2015-07-01T20:38:00Z"/>
        <s v="2015-08-18T18:30:00Z"/>
        <s v="2015-04-13T05:30:00Z"/>
        <s v="2015-06-21T12:08:00Z"/>
        <s v="2015-08-25T14:08:00Z"/>
        <s v="2015-06-18T14:09:00Z"/>
        <s v="2015-07-23T16:40:00Z"/>
        <s v="2015-08-13T16:15:00Z"/>
        <s v="2015-08-15T16:11:00Z"/>
        <s v="2015-06-30T18:00:00Z"/>
        <s v="2015-09-03T12:12:00Z"/>
        <s v="2015-08-08T14:55:00Z"/>
        <s v="2015-06-08T10:33:00Z"/>
        <s v="2015-09-11T15:08:00Z"/>
        <s v="2015-09-08T13:23:00Z"/>
        <s v="2015-10-02T14:38:00Z"/>
        <s v="2015-06-25T18:30:00Z"/>
        <s v="2015-09-19T15:25:00Z"/>
        <s v="2015-07-10T12:41:00Z"/>
        <s v="2015-07-30T12:57:00Z"/>
        <s v="2015-07-30T12:40:00Z"/>
        <s v="2015-06-26T16:06:00Z"/>
        <s v="2015-06-01T10:16:00Z"/>
        <s v="2015-07-23T17:30:00Z"/>
        <s v="2015-08-02T03:00:00Z"/>
        <s v="2015-07-23T14:00:00Z"/>
        <s v="2015-07-01T13:05:00Z"/>
        <s v="2015-09-02T13:18:00Z"/>
        <s v="2015-08-20T16:00:00Z"/>
        <s v="2015-06-15T15:46:00Z"/>
        <s v="2015-08-01T13:04:00Z"/>
        <s v="2015-07-18T16:31:00Z"/>
        <s v="2015-06-19T16:15:00Z"/>
        <s v="2015-06-18T14:16:00Z"/>
        <s v="2015-06-18T12:03:00Z"/>
        <s v="2015-06-16T16:42:00Z"/>
        <s v="2015-08-03T14:28:00Z"/>
        <s v="2015-10-10T12:00:00Z"/>
        <s v="2015-08-23T12:25:00Z"/>
        <s v="2015-08-09T08:22:00Z"/>
        <s v="2015-06-17T12:50:00Z"/>
        <s v="2015-07-12T14:46:00Z"/>
        <s v="2015-06-25T16:10:00Z"/>
        <s v="2015-08-01T14:32:00Z"/>
        <s v="2015-11-07T01:45:00Z"/>
        <s v="2015-07-30T13:36:00Z"/>
        <s v="2015-09-09T11:45:00Z"/>
        <s v="2015-07-02T04:40:00Z"/>
        <s v="2015-06-05T17:00:00Z"/>
        <s v="2015-07-09T15:00:00Z"/>
        <s v="2015-06-30T15:23:00Z"/>
        <s v="2015-09-09T14:12:00Z"/>
        <s v="2015-07-28T12:10:00Z"/>
        <s v="2015-07-10T13:36:00Z"/>
        <s v="2015-06-16T14:27:00Z"/>
        <s v="2015-06-09T15:23:00Z"/>
        <s v="2015-09-08T15:56:00Z"/>
        <s v="2015-07-03T09:28:00Z"/>
        <s v="2015-06-28T13:30:00Z"/>
        <s v="2015-09-22T07:00:00Z"/>
        <s v="2015-08-29T16:06:00Z"/>
        <s v="2015-08-03T18:07:00Z"/>
        <s v="2015-11-11T17:40:00Z"/>
        <s v="2015-07-22T18:17:00Z"/>
        <s v="2015-07-24T12:43:00Z"/>
        <s v="2015-07-20T13:23:00Z"/>
        <s v="2015-07-16T11:30:00Z"/>
        <s v="2015-07-02T17:10:00Z"/>
        <s v="2015-06-07T12:06:00Z"/>
        <s v="2015-06-05T19:57:00Z"/>
        <s v="2015-06-05T13:32:00Z"/>
        <s v="2015-07-21T17:00:00Z"/>
        <s v="2015-07-04T15:30:00Z"/>
        <s v="2015-08-24T12:12:00Z"/>
        <s v="2015-10-29T05:30:00Z"/>
        <s v="2015-07-12T13:52:00Z"/>
        <s v="2015-06-10T07:42:00Z"/>
        <s v="2015-06-27T12:51:00Z"/>
        <s v="2015-07-07T12:34:00Z"/>
        <s v="2015-07-28T17:19:00Z"/>
        <s v="2015-06-19T19:00:00Z"/>
        <s v="2016-07-22T08:48:00Z"/>
        <s v="2016-06-23T15:51:00Z"/>
        <s v="2016-08-13T16:03:00Z"/>
        <s v="2016-08-16T10:44:00Z"/>
        <s v="2016-08-27T18:00:00Z"/>
        <s v="2016-08-18T17:57:00Z"/>
        <s v="2016-08-16T16:35:00Z"/>
        <s v="2016-09-17T17:20:00Z"/>
        <s v="2016-08-07T12:18:00Z"/>
        <s v="2016-06-19T11:03:00Z"/>
        <s v="2016-06-15T15:21:00Z"/>
        <s v="2016-08-09T13:08:00Z"/>
        <s v="2016-08-02T16:36:00Z"/>
        <s v="2016-06-28T13:55:00Z"/>
        <s v="2016-09-17T13:49:00Z"/>
        <s v="2016-06-20T13:59:00Z"/>
        <s v="2016-11-14T05:45:00Z"/>
        <s v="2016-09-26T14:42:00Z"/>
        <s v="2016-10-29T11:15:00Z"/>
        <s v="2016-08-13T18:03:00Z"/>
        <s v="2016-05-22T15:27:00Z"/>
        <s v="2016-05-18T14:27:00Z"/>
        <s v="2016-07-01T17:16:00Z"/>
        <s v="2016-06-07T02:45:00Z"/>
        <s v="2016-08-04T14:09:00Z"/>
        <s v="2016-09-17T14:37:00Z"/>
        <s v="2016-09-11T11:33:00Z"/>
        <s v="2016-06-04T14:33:00Z"/>
        <s v="2016-06-30T16:55:00Z"/>
        <s v="2016-07-30T16:40:00Z"/>
        <s v="2016-10-11T12:58:00Z"/>
        <s v="2016-07-01T14:05:00Z"/>
        <s v="2016-09-25T10:43:00Z"/>
        <s v="2016-08-30T12:25:00Z"/>
        <s v="2016-06-25T23:45:00Z"/>
        <s v="2016-07-21T16:06:00Z"/>
        <s v="2016-07-09T12:04:00Z"/>
        <s v="2016-09-26T12:20:00Z"/>
        <s v="2016-09-05T16:28:00Z"/>
        <s v="2016-08-24T14:55:00Z"/>
        <s v="2016-06-25T06:30:00Z"/>
        <s v="2016-08-22T16:03:00Z"/>
        <s v="2016-07-08T11:15:00Z"/>
        <s v="2016-08-02T14:35:00Z"/>
        <s v="2016-08-26T10:10:00Z"/>
        <s v="2016-06-30T13:32:00Z"/>
        <s v="2016-08-28T13:07:00Z"/>
        <s v="2016-07-08T22:45:00Z"/>
        <s v="2016-08-18T15:35:00Z"/>
        <s v="2016-08-22T22:00:00Z"/>
        <s v="2016-09-11T14:15:00Z"/>
        <s v="2016-06-28T19:02:00Z"/>
        <s v="2016-09-13T23:10:00Z"/>
        <s v="2016-07-12T13:14:00Z"/>
        <s v="2016-07-02T14:55:00Z"/>
        <s v="2016-09-19T14:13:00Z"/>
        <s v="2016-08-28T18:50:00Z"/>
        <s v="2016-09-20T09:30:00Z"/>
        <s v="2016-05-25T01:03:00Z"/>
        <s v="2016-06-26T15:45:00Z"/>
        <s v="2016-09-26T13:23:00Z"/>
        <s v="2016-06-17T14:30:00Z"/>
        <s v="2016-07-13T17:08:00Z"/>
        <s v="2016-09-22T14:20:00Z"/>
        <s v="2016-06-26T16:00:00Z"/>
        <s v="2016-06-25T16:11:00Z"/>
        <s v="2016-06-17T14:54:00Z"/>
        <s v="2016-07-11T14:30:00Z"/>
        <s v="2016-10-14T01:28:00Z"/>
        <s v="2016-07-12T15:20:00Z"/>
        <s v="2016-05-17T15:06:00Z"/>
        <s v="2016-09-03T14:44:00Z"/>
        <s v="2016-05-23T14:15:00Z"/>
        <s v="2016-04-28T17:45:00Z"/>
        <s v="2016-09-13T13:55:00Z"/>
        <s v="2016-08-31T04:10:00Z"/>
        <s v="2016-05-10T16:11:00Z"/>
        <s v="2016-08-20T08:35:00Z"/>
        <s v="2016-07-04T17:15:00Z"/>
        <s v="2016-08-04T15:45:00Z"/>
        <s v="2016-06-04T11:40:00Z"/>
        <s v="2016-07-15T23:55:00Z"/>
        <s v="2016-05-15T16:38:00Z"/>
        <s v="2016-09-22T11:45:00Z"/>
        <s v="2016-07-15T16:45:00Z"/>
        <s v="2016-08-05T15:45:00Z"/>
        <s v="2016-06-07T16:30:00Z"/>
        <s v="2016-07-30T17:25:00Z"/>
        <s v="2016-06-20T16:38:00Z"/>
        <s v="2016-07-04T11:53:00Z"/>
        <s v="2016-09-25T07:15:00Z"/>
        <s v="2016-08-17T15:19:00Z"/>
        <s v="2016-08-04T17:10:00Z"/>
        <s v="2016-08-03T16:08:00Z"/>
        <s v="2016-07-22T15:15:00Z"/>
        <s v="2016-07-18T13:08:00Z"/>
        <s v="2016-07-09T12:43:00Z"/>
        <s v="2016-05-27T13:43:00Z"/>
        <s v="2016-08-26T15:30:00Z"/>
        <s v="2016-07-01T13:54:00Z"/>
        <s v="2016-06-21T12:24:00Z"/>
        <s v="2016-07-10T15:30:00Z"/>
        <s v="2016-06-27T12:07:00Z"/>
        <s v="2016-08-04T14:13:00Z"/>
        <s v="2016-05-30T15:10:00Z"/>
        <s v="2016-07-15T14:00:00Z"/>
        <s v="2016-06-15T12:46:00Z"/>
        <s v="2016-06-12T12:45:00Z"/>
        <s v="2016-08-03T17:27:00Z"/>
        <s v="2016-07-21T12:53:00Z"/>
        <s v="2016-06-11T14:30:00Z"/>
        <s v="2016-07-13T15:52:00Z"/>
        <s v="2016-09-10T15:45:00Z"/>
        <s v="2016-09-23T12:40:00Z"/>
        <s v="2016-06-18T16:47:00Z"/>
        <s v="2016-05-31T13:48:00Z"/>
        <s v="2016-07-19T17:16:00Z"/>
        <s v="2016-10-10T16:13:00Z"/>
        <s v="2016-06-11T15:04:00Z"/>
        <s v="2016-07-22T13:01:00Z"/>
        <s v="2016-07-21T15:06:00Z"/>
        <s v="2016-05-19T15:37:00Z"/>
        <s v="2016-06-23T17:57:00Z"/>
        <s v="2016-09-10T14:06:00Z"/>
        <s v="2016-09-07T16:53:00Z"/>
        <s v="2016-07-22T13:15:00Z"/>
        <s v="2016-04-28T19:00:00Z"/>
        <s v="2016-06-21T15:09:00Z"/>
        <s v="2016-09-17T13:40:00Z"/>
        <s v="2016-06-26T13:10:00Z"/>
        <s v="2016-09-23T13:12:00Z"/>
        <s v="2016-08-09T17:30:00Z"/>
        <s v="2016-07-01T14:00:00Z"/>
        <s v="2016-06-21T10:26:00Z"/>
        <s v="2016-05-30T17:57:00Z"/>
        <s v="2016-07-30T16:25:00Z"/>
        <s v="2016-09-11T11:25:00Z"/>
        <s v="2016-08-28T15:23:00Z"/>
        <s v="2016-07-24T16:30:00Z"/>
        <s v="2016-09-07T15:09:00Z"/>
        <s v="2016-07-29T17:55:00Z"/>
        <s v="2016-08-30T13:35:00Z"/>
        <s v="2016-08-09T18:50:00Z"/>
        <s v="2016-08-10T09:14:00Z"/>
        <s v="2016-08-09T12:14:00Z"/>
        <s v="2016-07-28T14:27:00Z"/>
        <s v="2016-07-12T15:19:00Z"/>
        <s v="2016-06-27T18:00:00Z"/>
        <s v="2016-09-12T16:28:00Z"/>
        <s v="2016-06-03T16:57:00Z"/>
        <s v="2016-09-16T23:28:00Z"/>
        <s v="2016-07-01T12:56:00Z"/>
        <s v="2016-06-03T17:39:00Z"/>
        <s v="2016-05-29T16:51:00Z"/>
        <s v="2016-04-24T11:10:00Z"/>
        <s v="2016-11-13T11:14:00Z"/>
        <s v="2016-07-22T14:47:00Z"/>
        <s v="2016-08-05T13:49:00Z"/>
        <s v="2016-07-19T14:09:00Z"/>
        <s v="2016-09-01T14:36:00Z"/>
        <s v="2016-08-12T16:00:00Z"/>
        <s v="2016-08-06T15:00:00Z"/>
        <s v="2016-07-29T14:55:00Z"/>
        <s v="2016-06-03T12:41:00Z"/>
        <s v="2016-05-12T14:13:00Z"/>
        <s v="2016-06-11T16:02:00Z"/>
        <s v="2016-08-11T14:57:00Z"/>
        <s v="2016-07-21T20:30:00Z"/>
        <s v="2016-08-12T17:23:00Z"/>
        <s v="2016-09-03T21:51:00Z"/>
        <s v="2016-08-30T16:54:00Z"/>
        <s v="2016-08-30T16:52:00Z"/>
        <s v="2016-07-11T12:58:00Z"/>
        <s v="2016-07-25T16:55:00Z"/>
        <s v="2016-05-25T16:51:00Z"/>
        <s v="2016-10-20T17:00:00Z"/>
        <s v="2016-08-18T12:05:00Z"/>
        <s v="2016-07-22T14:11:00Z"/>
        <s v="2016-06-04T17:46:00Z"/>
        <s v="2016-06-04T16:09:00Z"/>
        <s v="2016-06-01T15:35:00Z"/>
        <s v="2016-04-19T13:09:00Z"/>
        <s v="2017-12-04T18:28:00Z"/>
        <s v="2017-07-11T14:15:00Z"/>
        <s v="2017-07-24T12:00:00Z"/>
        <s v="2017-07-16T15:56:00Z"/>
        <s v="2017-08-15T07:55:00Z"/>
        <s v="2017-10-08T22:00:00Z"/>
        <s v="2017-10-08T21:52:00Z"/>
        <s v="2017-07-09T15:10:00Z"/>
        <s v="2017-08-14T14:00:00Z"/>
        <s v="2017-10-08T21:45:00Z"/>
        <s v="2017-08-29T08:29:00Z"/>
        <s v="2017-10-08T23:36:00Z"/>
        <s v="2017-07-06T15:44:00Z"/>
        <s v="2017-07-26T18:00:00Z"/>
        <s v="2017-08-30T18:00:00Z"/>
        <s v="2017-09-27T14:00:00Z"/>
        <s v="2017-08-30T08:30:00Z"/>
        <s v="2017-07-08T13:43:00Z"/>
        <s v="2017-10-09T03:30:00Z"/>
        <s v="2017-06-24T16:16:00Z"/>
        <s v="2017-12-05T03:44:00Z"/>
        <s v="2017-09-12T17:42:00Z"/>
        <s v="2017-08-29T12:19:00Z"/>
        <s v="2017-05-18T13:11:00Z"/>
        <s v="2017-10-08T23:03:00Z"/>
        <s v="2017-10-09T09:51:00Z"/>
        <s v="2017-08-29T15:15:00Z"/>
        <s v="2017-08-01T08:45:00Z"/>
        <s v="2017-08-03T14:00:00Z"/>
        <s v="2017-09-01T13:26:00Z"/>
        <s v="2017-08-14T14:28:00Z"/>
        <s v="2017-06-26T15:10:00Z"/>
        <s v="2017-10-09T00:57:00Z"/>
        <s v="2017-12-05T11:31:00Z"/>
        <s v="2017-08-29T14:36:00Z"/>
        <s v="2017-07-07T14:52:00Z"/>
        <s v="2017-04-20T15:40:00Z"/>
        <s v="2017-07-31T13:44:00Z"/>
        <s v="2017-08-07T22:30:00Z"/>
        <s v="2017-07-29T18:55:00Z"/>
        <s v="2017-12-07T11:15:00Z"/>
        <s v="2017-08-29T13:16:00Z"/>
        <s v="2017-09-02T13:33:00Z"/>
        <s v="2017-08-07T17:45:00Z"/>
        <s v="2017-07-07T09:18:00Z"/>
        <s v="2017-09-25T13:03:00Z"/>
        <s v="2017-09-05T18:38:00Z"/>
        <s v="2017-08-24T18:13:00Z"/>
        <s v="2017-08-02T18:00:00Z"/>
        <s v="2017-07-30T17:43:00Z"/>
        <s v="2017-07-06T12:41:00Z"/>
        <s v="2017-10-08T23:59:00Z"/>
        <s v="2017-05-20T23:19:00Z"/>
        <s v="2017-10-09T01:00:00Z"/>
        <s v="2017-07-08T18:30:00Z"/>
        <s v="2017-05-12T15:30:00Z"/>
        <s v="2017-09-03T16:23:00Z"/>
        <s v="2017-10-09T14:00:00Z"/>
        <s v="2017-07-17T13:15:00Z"/>
        <s v="2017-07-06T12:29:00Z"/>
        <s v="2017-06-26T15:27:00Z"/>
        <s v="2017-07-02T22:28:00Z"/>
        <s v="2017-06-18T14:22:00Z"/>
        <s v="2017-06-19T15:05:00Z"/>
        <s v="2017-06-10T13:19:00Z"/>
        <s v="2017-07-30T16:17:00Z"/>
        <s v="2017-04-30T15:23:00Z"/>
        <s v="2017-09-01T14:37:00Z"/>
        <s v="2017-07-26T14:45:00Z"/>
        <s v="2017-06-30T13:49:00Z"/>
        <s v="2017-10-17T10:19:00Z"/>
        <s v="2017-07-18T11:45:00Z"/>
        <s v="2017-08-13T16:10:00Z"/>
        <s v="2017-09-03T13:06:00Z"/>
        <s v="2017-08-06T15:32:00Z"/>
        <s v="2017-05-25T18:15:00Z"/>
        <s v="2017-09-12T06:58:00Z"/>
        <s v="2017-04-28T15:40:00Z"/>
        <s v="2017-07-16T14:51:00Z"/>
        <s v="2017-08-20T14:44:00Z"/>
        <s v="2017-10-26T12:34:00Z"/>
        <s v="2017-08-06T19:52:00Z"/>
        <s v="2017-10-09T00:01:00Z"/>
        <s v="2017-06-17T13:55:00Z"/>
        <s v="2017-08-11T16:06:00Z"/>
        <s v="2017-06-25T12:47:00Z"/>
        <s v="2017-07-10T13:02:00Z"/>
        <s v="2017-07-29T13:50:00Z"/>
        <s v="2017-09-03T13:10:00Z"/>
        <s v="2017-06-27T15:22:00Z"/>
        <s v="2017-06-28T15:49:00Z"/>
        <s v="2017-06-28T13:50:00Z"/>
        <s v="2017-08-14T15:45:00Z"/>
        <s v="2017-08-06T15:29:00Z"/>
        <s v="2017-05-20T14:23:00Z"/>
        <s v="2017-05-19T14:45:00Z"/>
        <s v="2017-07-05T11:05:00Z"/>
        <s v="2017-08-02T10:15:00Z"/>
        <s v="2017-07-14T14:23:00Z"/>
        <s v="2017-06-11T17:15:00Z"/>
        <s v="2017-09-29T14:42:00Z"/>
        <s v="2017-09-18T16:04:00Z"/>
        <s v="2017-10-13T13:16:00Z"/>
        <s v="2017-12-06T06:31:00Z"/>
        <s v="2017-07-20T19:16:00Z"/>
        <s v="2017-07-13T15:23:00Z"/>
        <s v="2017-07-11T13:45:00Z"/>
        <s v="2017-05-10T15:27:00Z"/>
        <s v="2017-08-30T15:38:00Z"/>
        <s v="2017-10-16T22:30:00Z"/>
        <s v="2017-04-03T16:00:00Z"/>
        <s v="2017-11-13T11:28:00Z"/>
        <s v="2017-07-08T15:26:00Z"/>
        <s v="2017-06-23T16:00:00Z"/>
        <s v="2017-07-09T13:49:00Z"/>
        <s v="2017-06-07T11:55:00Z"/>
        <s v="2017-08-10T14:32:00Z"/>
        <s v="2017-08-03T15:35:00Z"/>
        <s v="2017-07-19T14:00:00Z"/>
        <s v="2017-12-07T13:14:00Z"/>
        <s v="2017-05-15T14:05:00Z"/>
        <s v="2017-12-05T13:35:00Z"/>
        <s v="2017-07-22T15:00:00Z"/>
        <s v="2017-09-20T13:41:00Z"/>
        <s v="2017-09-19T19:47:00Z"/>
        <s v="2017-07-30T01:45:00Z"/>
        <s v="2017-07-08T02:20:00Z"/>
        <s v="2017-07-02T13:36:00Z"/>
        <s v="2017-05-18T08:48:00Z"/>
        <s v="2017-05-15T13:58:00Z"/>
        <s v="2017-06-10T12:17:00Z"/>
        <s v="2017-07-04T16:55:00Z"/>
        <s v="2017-09-12T14:36:00Z"/>
        <s v="2017-08-22T14:00:00Z"/>
        <s v="2017-08-21T14:00:00Z"/>
        <s v="2017-07-31T14:22:00Z"/>
        <s v="2017-10-26T20:00:00Z"/>
        <s v="2017-05-20T17:54:00Z"/>
        <s v="2017-08-20T16:26:00Z"/>
        <s v="2017-06-11T10:46:00Z"/>
        <s v="2017-10-15T17:11:00Z"/>
        <s v="2017-10-12T10:42:00Z"/>
        <s v="2017-07-18T12:39:00Z"/>
        <s v="2017-07-23T15:53:00Z"/>
        <s v="2017-08-19T16:31:00Z"/>
        <s v="2017-06-19T21:41:00Z"/>
        <s v="2017-07-10T14:45:00Z"/>
        <s v="2017-08-26T12:35:00Z"/>
        <s v="2017-06-07T21:00:00Z"/>
        <s v="2017-09-19T14:05:00Z"/>
        <s v="2017-07-29T16:33:00Z"/>
        <s v="2017-06-18T15:10:00Z"/>
        <s v="2017-10-09T15:05:00Z"/>
        <s v="2017-07-24T14:43:00Z"/>
        <s v="2017-06-14T11:44:00Z"/>
        <s v="2017-05-17T15:30:00Z"/>
        <s v="2017-04-30T16:03:00Z"/>
        <s v="2017-10-14T16:00:00Z"/>
        <s v="2017-09-19T13:02:00Z"/>
        <s v="2017-09-28T14:46:00Z"/>
        <s v="2017-07-26T13:58:00Z"/>
        <s v="2017-09-17T15:18:00Z"/>
        <s v="2017-07-28T15:25:00Z"/>
        <s v="2017-06-13T17:00:00Z"/>
        <s v="2017-06-16T09:27:00Z"/>
        <s v="2017-10-09T01:10:00Z"/>
        <s v="2017-09-01T04:20:00Z"/>
        <s v="2017-05-02T14:32:00Z"/>
        <s v="2017-07-01T00:48:00Z"/>
        <s v="2017-04-29T17:15:00Z"/>
        <s v="2017-08-13T16:23:00Z"/>
        <s v="2017-07-30T16:28:00Z"/>
        <s v="2017-08-04T14:25:00Z"/>
        <s v="2017-09-03T16:59:00Z"/>
        <s v="2017-05-25T14:48:00Z"/>
        <s v="2017-07-17T12:55:00Z"/>
        <s v="2017-10-17T14:00:00Z"/>
        <s v="2017-08-11T12:57:00Z"/>
        <s v="2017-08-26T14:31:00Z"/>
        <s v="2017-06-22T11:10:00Z"/>
        <s v="2017-09-26T15:30:00Z"/>
        <s v="2017-06-15T11:36:00Z"/>
        <s v="2017-07-19T16:02:00Z"/>
        <s v="2017-08-30T16:51:00Z"/>
        <s v="2017-07-11T16:51:00Z"/>
        <s v="2017-10-21T13:04:00Z"/>
        <s v="2017-10-14T20:35:00Z"/>
        <s v="2017-10-14T05:00:00Z"/>
        <s v="2017-10-02T09:37:00Z"/>
        <s v="2017-09-03T19:17:00Z"/>
        <s v="2017-09-03T09:23:00Z"/>
        <s v="2017-08-11T14:55:00Z"/>
        <s v="2017-07-31T14:44:00Z"/>
        <s v="2017-11-29T12:19:00Z"/>
        <s v="2017-08-07T14:14:00Z"/>
        <s v="2017-07-05T15:40:00Z"/>
        <s v="2017-06-06T12:43:00Z"/>
        <s v="2017-07-07T10:00:00Z"/>
        <s v="2017-10-06T14:38:00Z"/>
        <s v="2017-10-24T14:44:00Z"/>
        <s v="2017-08-31T10:13:00Z"/>
        <s v="2017-08-03T11:58:00Z"/>
        <s v="2017-07-22T13:35:00Z"/>
        <s v="2017-06-29T13:56:00Z"/>
        <s v="2017-08-07T18:08:00Z"/>
        <s v="2017-10-13T15:40:00Z"/>
        <s v="2017-12-28T20:51:00Z"/>
        <s v="2017-09-03T20:32:00Z"/>
        <s v="2017-05-31T11:30:00Z"/>
        <s v="2017-07-23T16:07:00Z"/>
        <s v="2017-06-04T16:22:00Z"/>
        <s v="2017-10-09T00:00:00Z"/>
        <s v="2017-06-11T22:45:00Z"/>
        <s v="2017-09-26T16:45:00Z"/>
        <s v="2017-07-08T16:38:00Z"/>
        <s v="2017-07-07T15:45:00Z"/>
        <s v="2017-10-13T12:14:00Z"/>
        <s v="2017-07-18T15:34:00Z"/>
        <s v="2017-08-02T10:33:00Z"/>
        <s v="2017-07-17T13:17:00Z"/>
        <s v="2017-07-10T15:54:00Z"/>
        <s v="2017-05-19T23:28:00Z"/>
        <s v="2017-08-27T18:47:00Z"/>
        <s v="2017-06-01T15:38:00Z"/>
        <s v="2017-06-04T16:12:00Z"/>
        <s v="2017-06-21T14:45:00Z"/>
        <s v="2017-07-28T18:11:00Z"/>
        <s v="2017-06-15T07:30:00Z"/>
        <s v="2017-08-26T11:30:00Z"/>
        <s v="2017-08-08T16:40:00Z"/>
        <s v="2017-07-08T11:00:00Z"/>
        <s v="2017-06-18T07:15:00Z"/>
        <s v="2017-07-17T15:32:00Z"/>
        <s v="2017-07-12T13:10:00Z"/>
        <s v="2017-10-11T15:59:00Z"/>
        <s v="2017-09-12T16:08:00Z"/>
        <s v="2017-07-18T15:50:00Z"/>
        <s v="2017-07-07T16:23:00Z"/>
        <s v="2017-07-28T13:24:00Z"/>
        <s v="2017-07-04T13:21:00Z"/>
        <s v="2017-06-18T15:45:00Z"/>
        <s v="2017-09-23T11:05:00Z"/>
        <s v="2017-08-29T15:39:00Z"/>
        <s v="2017-06-29T15:09:00Z"/>
        <s v="2017-08-28T22:00:00Z"/>
        <s v="2017-08-28T21:38:00Z"/>
        <s v="2017-06-21T18:02:00Z"/>
        <s v="2017-07-26T23:19:00Z"/>
        <s v="2017-10-26T11:55:00Z"/>
        <s v="2017-10-23T10:31:00Z"/>
        <s v="2017-10-17T03:43:00Z"/>
        <s v="2017-09-11T19:41:00Z"/>
        <s v="2017-08-05T13:16:00Z"/>
        <s v="2017-07-17T14:55:00Z"/>
        <s v="2017-07-08T16:47:00Z"/>
        <s v="2017-07-04T14:45:00Z"/>
        <s v="2017-07-03T15:14:00Z"/>
        <s v="2017-06-13T14:31:00Z"/>
        <s v="2017-09-20T21:07:00Z"/>
        <s v="2017-05-28T15:27:00Z"/>
        <s v="2017-11-25T16:46:00Z"/>
        <s v="2017-07-20T14:43:00Z"/>
        <s v="2017-08-27T14:51:00Z"/>
        <s v="2017-07-12T15:29:00Z"/>
        <s v="2017-06-06T16:38:00Z"/>
        <s v="2017-12-21T11:16:00Z"/>
        <s v="2017-10-09T14:30:00Z"/>
        <s v="2017-08-27T17:45:00Z"/>
        <s v="2017-11-02T14:40:00Z"/>
        <s v="2017-09-11T15:11:00Z"/>
        <s v="2017-06-29T20:44:00Z"/>
        <s v="2017-06-24T11:15:00Z"/>
        <s v="2017-06-03T13:09:00Z"/>
        <s v="2017-08-13T12:41:00Z"/>
        <s v="2017-06-29T15:45:00Z"/>
        <s v="2017-05-14T14:00:00Z"/>
        <s v="2017-12-04T12:26:00Z"/>
        <s v="2017-11-14T16:11:00Z"/>
        <s v="2017-10-24T10:27:00Z"/>
        <s v="2017-10-08T04:53:00Z"/>
        <s v="2017-09-29T15:58:00Z"/>
        <s v="2017-09-12T12:45:00Z"/>
        <s v="2017-08-28T08:01:00Z"/>
        <s v="2017-08-26T15:03:00Z"/>
        <s v="2017-07-17T14:44:00Z"/>
        <s v="2017-07-16T11:17:00Z"/>
        <s v="2017-09-19T00:22:00Z"/>
        <s v="2017-07-24T14:56:00Z"/>
        <s v="2017-06-22T13:08:00Z"/>
        <s v="2017-06-27T10:39:00Z"/>
        <s v="2017-06-11T18:49:00Z"/>
        <s v="2017-10-31T11:22:00Z"/>
        <s v="2017-07-07T15:50:00Z"/>
        <s v="2017-06-25T12:09:00Z"/>
        <s v="2017-09-29T18:01:00Z"/>
        <s v="2017-07-12T16:15:00Z"/>
        <s v="2017-07-04T15:20:00Z"/>
        <s v="2017-06-27T07:39:00Z"/>
        <s v="2017-06-09T04:53:00Z"/>
        <s v="2017-05-21T16:12:00Z"/>
        <s v="2017-12-05T13:28:00Z"/>
        <s v="2017-09-10T13:49:00Z"/>
        <s v="2017-08-31T13:57:00Z"/>
        <s v="2017-07-07T12:56:00Z"/>
        <s v="2017-06-13T12:00:00Z"/>
        <s v="2017-06-04T22:11:00Z"/>
        <s v="2017-08-02T11:13:00Z"/>
        <s v="2017-08-02T08:30:00Z"/>
        <s v="2017-07-13T10:28:00Z"/>
        <s v="2017-06-16T15:49:00Z"/>
        <s v="2017-06-11T18:12:00Z"/>
        <s v="2017-10-15T14:55:00Z"/>
        <s v="2017-08-23T13:28:00Z"/>
        <s v="2017-05-12T05:05:00Z"/>
        <s v="2017-08-31T16:32:00Z"/>
        <s v="2017-08-03T16:41:00Z"/>
        <s v="2017-07-03T19:31:00Z"/>
        <s v="2017-10-10T15:36:00Z"/>
        <s v="2017-07-08T18:58:00Z"/>
        <s v="2017-09-25T11:03:00Z"/>
        <s v="2017-08-30T11:38:00Z"/>
        <s v="2017-06-26T21:30:00Z"/>
        <s v="2017-06-15T15:51:00Z"/>
        <s v="2017-08-30T14:50:00Z"/>
        <s v="2017-06-03T12:09:00Z"/>
        <s v="2017-09-26T15:20:00Z"/>
        <s v="2017-06-18T16:03:00Z"/>
        <s v="2017-06-01T16:12:00Z"/>
        <s v="2017-10-15T14:05:00Z"/>
        <s v="2017-09-23T15:40:00Z"/>
        <s v="2017-09-07T15:41:00Z"/>
        <s v="2017-09-01T11:21:00Z"/>
        <s v="2017-06-27T09:38:00Z"/>
        <s v="2017-06-18T14:04:00Z"/>
        <s v="2017-06-03T15:39:00Z"/>
        <s v="2017-05-24T15:30:00Z"/>
        <s v="2017-10-10T14:57:00Z"/>
        <s v="2017-09-26T12:22:00Z"/>
        <s v="2017-07-05T16:56:00Z"/>
        <s v="2017-06-13T10:18:00Z"/>
        <s v="2017-10-20T12:13:00Z"/>
        <s v="2017-09-05T14:55:00Z"/>
        <s v="2017-07-05T08:24:00Z"/>
        <s v="2017-06-22T09:49:00Z"/>
        <s v="2017-06-13T12:47:00Z"/>
        <s v="2017-05-22T04:50:00Z"/>
        <s v="2017-10-08T16:40:00Z"/>
        <s v="2017-10-07T20:00:00Z"/>
        <s v="2017-10-03T16:22:00Z"/>
        <s v="2017-08-01T16:33:00Z"/>
        <s v="2017-07-22T15:49:00Z"/>
        <s v="2017-07-17T12:37:00Z"/>
        <s v="2017-06-13T17:21:00Z"/>
        <s v="2017-06-05T13:17:00Z"/>
        <s v="2017-05-18T12:54:00Z"/>
        <s v="2017-05-14T12:00:00Z"/>
        <s v="2017-12-13T15:27:00Z"/>
        <s v="2017-10-10T12:30:00Z"/>
        <s v="2017-08-13T13:34:00Z"/>
        <s v="2017-08-01T10:23:00Z"/>
        <s v="2017-07-18T22:39:00Z"/>
        <s v="2017-06-26T12:30:00Z"/>
        <s v="2017-05-01T12:44:00Z"/>
        <s v="2017-08-27T13:30:00Z"/>
        <s v="2017-07-04T15:45:00Z"/>
        <s v="2017-05-28T16:16:00Z"/>
        <s v="2017-05-16T16:10:00Z"/>
        <s v="2017-10-03T11:44:00Z"/>
        <s v="2017-08-17T14:15:00Z"/>
        <s v="2017-07-29T17:29:00Z"/>
        <s v="2017-05-20T13:11:00Z"/>
        <s v="2017-05-17T15:18:00Z"/>
        <s v="2017-05-14T12:51:00Z"/>
        <s v="2017-06-02T18:55:00Z"/>
        <s v="2017-05-29T01:20:00Z"/>
        <s v="2017-05-28T07:49:00Z"/>
        <s v="2017-08-10T17:24:00Z"/>
        <s v="2017-07-27T14:49:00Z"/>
        <s v="2017-07-17T13:38:00Z"/>
        <s v="2017-06-28T09:30:00Z"/>
        <s v="2017-05-28T15:30:00Z"/>
        <s v="2017-04-13T02:30:00Z"/>
        <s v="2017-12-16T12:21:00Z"/>
        <s v="2017-12-14T12:59:00Z"/>
        <s v="2017-07-02T13:43:00Z"/>
        <s v="2017-06-09T16:15:00Z"/>
        <s v="2017-05-18T17:25:00Z"/>
        <s v="2017-10-18T12:53:00Z"/>
        <s v="2017-07-25T14:13:00Z"/>
        <s v="2017-07-12T13:51:00Z"/>
        <s v="2017-07-04T13:15:00Z"/>
        <s v="2017-09-12T17:24:00Z"/>
        <s v="2017-06-04T11:04:00Z"/>
        <s v="2017-05-07T16:41:00Z"/>
        <s v="2017-04-30T19:43:00Z"/>
        <s v="1969-12-31T16:00:00Z"/>
        <s v="2017-07-31T23:17:00Z"/>
        <s v="2017-07-02T13:04:00Z"/>
        <s v="2017-10-08T12:15:00Z"/>
        <s v="2017-09-20T14:53:00Z"/>
        <s v="2017-09-11T10:00:00Z"/>
        <s v="2017-08-28T17:06:00Z"/>
        <s v="2017-08-03T16:21:00Z"/>
        <s v="2017-07-21T16:50:00Z"/>
        <s v="2017-07-15T18:10:00Z"/>
        <s v="2017-07-13T14:14:00Z"/>
        <s v="2017-07-12T13:55:00Z"/>
        <s v="2017-07-03T13:34:00Z"/>
        <s v="2017-07-02T12:41:00Z"/>
        <s v="2017-06-18T12:28:00Z"/>
        <s v="2017-06-16T14:51:00Z"/>
        <s v="2017-06-05T14:02:00Z"/>
        <s v="2017-06-04T16:48:00Z"/>
        <s v="2017-05-29T15:31:00Z"/>
        <s v="2017-05-28T10:59:00Z"/>
        <s v="2017-05-23T13:13:00Z"/>
        <s v="2017-04-24T12:06:00Z"/>
        <s v="2017-10-09T01:30:00Z"/>
        <s v="2017-10-08T23:48:00Z"/>
        <s v="2017-09-07T15:00:00Z"/>
        <s v="2017-07-25T12:45:00Z"/>
        <s v="2017-07-23T00:00:00Z"/>
        <s v="2017-07-19T17:30:00Z"/>
        <s v="2017-07-06T13:00:00Z"/>
        <s v="2017-07-04T15:21:00Z"/>
        <s v="2017-06-28T17:56:00Z"/>
        <s v="2017-06-25T17:00:00Z"/>
        <s v="2017-06-23T22:32:00Z"/>
        <s v="2017-05-19T13:10:00Z"/>
        <s v="2017-02-07T14:00:00Z"/>
        <s v="2018-07-27T12:05:00Z"/>
        <s v="2018-07-23T13:15:00Z"/>
        <s v="2018-11-08T06:33:00Z"/>
        <s v="2018-11-08T14:24:00Z"/>
        <s v="2018-07-13T21:36:00Z"/>
        <s v="2018-06-30T14:12:00Z"/>
        <s v="2018-09-05T12:51:00Z"/>
        <s v="2018-07-27T13:01:00Z"/>
        <s v="2018-08-09T01:55:00Z"/>
        <s v="2018-08-15T18:05:00Z"/>
        <s v="2018-07-05T12:31:00Z"/>
        <s v="2018-08-01T17:48:00Z"/>
        <s v="2018-08-06T13:20:00Z"/>
        <s v="2018-07-27T13:32:00Z"/>
        <s v="2018-06-23T17:21:00Z"/>
        <s v="2018-07-25T11:41:00Z"/>
        <s v="2018-06-29T15:11:00Z"/>
        <s v="2018-09-04T14:26:00Z"/>
        <s v="2018-06-15T10:34:00Z"/>
        <s v="2018-11-08T14:03:00Z"/>
        <s v="2018-10-07T13:00:00Z"/>
        <s v="2018-06-11T12:00:00Z"/>
        <s v="2018-10-07T12:51:00Z"/>
        <s v="2018-06-23T11:38:00Z"/>
        <s v="2018-08-16T09:18:00Z"/>
        <s v="2018-09-22T14:30:00Z"/>
        <s v="2018-08-06T17:29:00Z"/>
        <s v="2018-06-09T14:10:00Z"/>
        <s v="2018-08-03T14:48:00Z"/>
        <s v="2018-07-08T13:36:00Z"/>
        <s v="2018-09-08T14:29:00Z"/>
        <s v="2018-06-09T15:32:00Z"/>
        <s v="2018-08-06T12:59:00Z"/>
        <s v="2018-08-10T16:57:00Z"/>
        <s v="2018-07-13T22:03:00Z"/>
        <s v="2018-02-18T14:12:00Z"/>
        <s v="2018-08-09T14:34:00Z"/>
        <s v="2018-05-02T16:00:00Z"/>
        <s v="2018-09-04T15:20:00Z"/>
        <s v="2018-06-24T12:29:00Z"/>
        <s v="2018-11-08T13:28:00Z"/>
        <s v="2018-06-20T18:22:00Z"/>
        <s v="2018-06-04T12:40:00Z"/>
        <s v="2018-07-06T13:29:00Z"/>
        <s v="2018-06-04T17:01:00Z"/>
        <s v="2018-04-19T10:28:00Z"/>
        <s v="2018-05-17T14:19:00Z"/>
        <s v="2018-07-31T17:34:00Z"/>
        <s v="2018-09-03T16:38:00Z"/>
        <s v="2018-08-19T13:37:00Z"/>
        <s v="2018-07-27T16:12:00Z"/>
        <s v="2018-07-31T15:28:00Z"/>
        <s v="2018-07-12T22:45:00Z"/>
        <s v="2018-07-09T18:30:00Z"/>
        <s v="2018-07-06T14:42:00Z"/>
        <s v="2018-07-18T14:24:00Z"/>
        <s v="2018-08-01T13:11:00Z"/>
        <s v="2018-08-15T17:14:00Z"/>
        <s v="2018-08-11T14:12:00Z"/>
        <s v="2018-06-14T17:45:00Z"/>
        <s v="2018-07-08T17:38:00Z"/>
        <s v="2018-09-08T13:34:00Z"/>
        <s v="2018-10-30T14:46:00Z"/>
        <s v="2018-06-04T17:30:00Z"/>
        <s v="2018-07-06T23:39:00Z"/>
        <s v="2018-05-30T13:21:00Z"/>
        <s v="2018-06-27T15:09:00Z"/>
        <s v="2018-09-13T15:37:00Z"/>
        <s v="2018-06-26T07:11:00Z"/>
        <s v="2018-08-18T15:17:00Z"/>
        <s v="2018-07-27T13:28:00Z"/>
        <s v="2018-09-22T15:44:00Z"/>
        <s v="2018-06-26T12:56:00Z"/>
        <s v="2018-07-31T15:07:00Z"/>
        <s v="2018-06-23T12:54:00Z"/>
        <s v="2018-07-22T13:06:00Z"/>
        <s v="2018-07-04T17:09:00Z"/>
        <s v="2018-06-28T18:01:00Z"/>
        <s v="2018-06-04T17:44:00Z"/>
        <s v="2018-05-04T11:44:00Z"/>
        <s v="2018-05-16T16:30:00Z"/>
        <s v="2018-08-06T16:26:00Z"/>
        <s v="2018-08-23T15:40:00Z"/>
        <s v="2018-07-19T17:22:00Z"/>
        <s v="2018-07-11T16:40:00Z"/>
        <s v="2018-06-29T16:06:00Z"/>
        <s v="2018-06-23T12:52:00Z"/>
        <s v="2018-06-06T09:46:00Z"/>
        <s v="2018-09-28T13:08:00Z"/>
        <s v="2018-06-26T11:16:00Z"/>
        <s v="2018-03-27T14:45:00Z"/>
        <s v="2018-08-09T13:09:00Z"/>
        <s v="2018-07-25T14:41:00Z"/>
        <s v="2018-07-15T09:58:00Z"/>
        <s v="2018-07-01T18:13:00Z"/>
        <s v="2018-06-12T15:06:00Z"/>
        <s v="2018-07-28T15:14:00Z"/>
        <s v="2018-07-26T10:12:00Z"/>
        <s v="2018-09-12T11:25:00Z"/>
        <s v="2018-06-07T18:04:00Z"/>
        <s v="2018-07-04T13:30:00Z"/>
        <s v="2018-11-12T10:06:00Z"/>
        <s v="2018-06-17T15:09:00Z"/>
        <s v="2018-06-09T14:45:00Z"/>
        <s v="2018-06-02T13:07:00Z"/>
        <s v="2018-09-01T14:22:00Z"/>
        <s v="2018-06-23T13:15:00Z"/>
        <s v="2018-10-13T14:43:00Z"/>
        <s v="2018-07-24T16:02:00Z"/>
        <s v="2018-09-09T12:10:00Z"/>
        <s v="2018-06-24T13:54:00Z"/>
        <s v="2018-10-12T11:21:00Z"/>
        <s v="2018-08-19T07:32:00Z"/>
        <s v="2018-06-11T17:04:00Z"/>
        <s v="2018-06-12T14:22:00Z"/>
        <s v="2018-09-10T19:00:00Z"/>
        <s v="2018-11-15T01:39:00Z"/>
        <s v="2018-10-02T12:32:00Z"/>
        <s v="2018-09-04T15:03:00Z"/>
        <s v="2018-11-13T08:19:00Z"/>
        <s v="2018-08-05T04:19:00Z"/>
        <s v="2018-07-28T16:30:00Z"/>
        <s v="2018-07-23T12:55:00Z"/>
        <s v="2018-06-01T15:20:00Z"/>
        <s v="2018-05-09T18:11:00Z"/>
        <s v="2018-08-31T17:58:00Z"/>
        <s v="2018-10-24T12:18:00Z"/>
        <s v="2018-08-07T02:11:00Z"/>
        <s v="2018-07-12T12:57:00Z"/>
        <s v="2018-07-06T10:40:00Z"/>
        <s v="2018-06-18T12:30:00Z"/>
        <s v="2018-08-16T16:06:00Z"/>
        <s v="2018-07-06T20:40:00Z"/>
        <s v="2018-07-20T14:23:00Z"/>
        <s v="2018-05-26T14:52:00Z"/>
        <s v="2018-08-01T15:53:00Z"/>
        <s v="2018-08-26T18:04:00Z"/>
        <s v="2018-05-18T16:37:00Z"/>
        <s v="2018-08-13T14:58:00Z"/>
        <s v="2018-07-27T12:14:00Z"/>
        <s v="2018-07-06T09:36:00Z"/>
        <s v="2018-05-24T10:43:00Z"/>
        <s v="2018-06-09T15:31:00Z"/>
        <s v="2018-06-29T17:53:00Z"/>
        <s v="2018-07-05T15:12:00Z"/>
        <s v="2018-07-15T18:54:00Z"/>
        <s v="2018-11-08T11:25:00Z"/>
        <s v="2018-08-27T23:19:00Z"/>
        <s v="2018-05-20T13:07:00Z"/>
        <s v="2018-09-29T09:30:00Z"/>
        <s v="2018-07-09T16:46:00Z"/>
        <s v="2018-06-24T15:28:00Z"/>
        <s v="2018-07-18T11:55:00Z"/>
        <s v="2018-09-28T14:44:00Z"/>
        <s v="2018-06-27T12:39:00Z"/>
        <s v="2018-07-04T13:14:00Z"/>
        <s v="2018-05-28T17:33:00Z"/>
        <s v="2018-04-28T14:26:00Z"/>
        <s v="2018-07-10T15:08:00Z"/>
        <s v="2018-06-29T20:59:00Z"/>
        <s v="2018-06-13T21:06:00Z"/>
        <s v="2018-05-04T14:48:00Z"/>
        <s v="2018-06-24T16:11:00Z"/>
        <s v="2018-08-01T13:57:00Z"/>
        <s v="2018-07-21T16:22:00Z"/>
        <s v="2018-08-01T14:40:00Z"/>
        <s v="2018-06-04T23:17:00Z"/>
        <s v="2018-10-07T12:57:00Z"/>
        <s v="2018-07-20T13:26:00Z"/>
        <s v="2018-07-04T14:20:00Z"/>
        <s v="2018-06-27T19:46:00Z"/>
        <s v="2018-05-29T12:58:00Z"/>
        <s v="2018-07-08T13:38:00Z"/>
        <s v="2018-06-23T19:39:00Z"/>
        <s v="2018-06-11T12:16:00Z"/>
        <s v="2018-11-05T10:17:00Z"/>
        <s v="2018-08-30T15:44:00Z"/>
        <s v="2018-06-15T11:46:00Z"/>
        <s v="2018-06-14T17:23:00Z"/>
        <s v="2018-06-13T12:38:00Z"/>
        <s v="2018-05-17T12:53:00Z"/>
        <s v="2018-05-22T14:13:00Z"/>
        <s v="2018-10-19T14:10:00Z"/>
        <s v="2018-07-15T11:55:00Z"/>
        <s v="2018-07-08T16:45:00Z"/>
        <s v="2018-05-23T14:30:00Z"/>
        <s v="2018-09-26T10:56:00Z"/>
        <s v="2018-09-22T14:41:00Z"/>
        <s v="2018-06-15T13:37:00Z"/>
        <s v="2018-07-14T20:46:00Z"/>
        <s v="2018-09-16T08:34:00Z"/>
        <s v="2018-07-24T15:24:00Z"/>
        <s v="2018-07-10T16:45:00Z"/>
        <s v="2018-07-21T14:40:00Z"/>
        <s v="2018-07-15T17:15:00Z"/>
        <s v="2018-02-07T15:53:00Z"/>
        <s v="2018-08-26T14:23:00Z"/>
        <s v="2018-07-02T14:25:00Z"/>
        <s v="2018-07-19T12:00:00Z"/>
        <s v="2018-07-23T14:55:00Z"/>
        <s v="2018-07-19T13:07:00Z"/>
        <s v="2018-06-19T15:19:00Z"/>
        <s v="2018-06-16T11:47:00Z"/>
        <s v="2018-07-25T14:11:00Z"/>
        <s v="2018-10-14T11:33:00Z"/>
        <s v="2018-06-03T16:16:00Z"/>
        <s v="2018-07-21T15:01:00Z"/>
        <s v="2018-06-03T16:14:00Z"/>
        <s v="2018-09-02T14:02:00Z"/>
        <s v="2018-08-27T10:49:00Z"/>
        <s v="2018-11-08T11:58:00Z"/>
        <s v="2018-08-06T14:19:00Z"/>
        <s v="2018-07-29T16:22:00Z"/>
        <s v="2018-06-03T15:09:00Z"/>
        <s v="2018-08-17T18:47:00Z"/>
        <s v="2018-07-25T16:05:00Z"/>
        <s v="2018-07-19T16:25:00Z"/>
        <s v="2018-09-24T00:41:00Z"/>
        <s v="2018-07-14T20:40:00Z"/>
        <s v="2018-06-30T12:12:00Z"/>
        <s v="2018-02-18T13:45:00Z"/>
        <s v="2018-10-02T15:45:00Z"/>
        <s v="2018-08-25T11:58:00Z"/>
        <s v="2018-07-15T16:45:00Z"/>
        <s v="2018-06-16T14:04:00Z"/>
        <s v="2018-07-08T14:41:00Z"/>
        <s v="2018-09-23T16:23:00Z"/>
        <s v="2018-08-17T19:19:00Z"/>
        <s v="2018-08-04T17:32:00Z"/>
        <s v="2018-07-28T15:38:00Z"/>
        <s v="2018-07-21T15:50:00Z"/>
        <s v="2018-06-29T15:46:00Z"/>
        <s v="2018-04-12T14:30:00Z"/>
        <s v="2018-07-17T14:05:00Z"/>
        <s v="2018-05-19T13:04:00Z"/>
        <s v="2018-05-18T11:00:00Z"/>
        <s v="2018-09-14T19:32:00Z"/>
        <s v="2018-06-16T15:10:00Z"/>
        <s v="2018-05-29T13:11:00Z"/>
        <s v="2018-09-03T13:58:00Z"/>
        <s v="2018-08-22T13:45:00Z"/>
        <s v="2018-06-02T12:42:00Z"/>
        <s v="2018-06-01T16:07:00Z"/>
        <s v="2018-08-04T13:57:00Z"/>
        <s v="2018-04-09T18:18:00Z"/>
        <s v="2018-11-15T13:31:00Z"/>
        <s v="2018-11-14T14:56:00Z"/>
        <s v="2018-07-25T16:14:00Z"/>
        <s v="2018-06-17T15:56:00Z"/>
        <s v="2018-06-14T17:02:00Z"/>
        <s v="2018-06-14T15:18:00Z"/>
        <s v="2018-06-12T14:56:00Z"/>
        <s v="2018-04-26T15:00:00Z"/>
        <s v="2018-05-09T22:00:00Z"/>
        <s v="2018-04-22T13:35:00Z"/>
        <s v="2018-11-03T21:28:00Z"/>
        <s v="2018-06-17T13:58:00Z"/>
        <s v="2018-06-03T14:17:00Z"/>
        <s v="2018-08-12T14:20:00Z"/>
        <s v="2018-07-15T16:14:00Z"/>
        <s v="2018-05-27T17:05:00Z"/>
        <s v="2018-10-10T21:50:00Z"/>
        <s v="2018-09-02T14:53:00Z"/>
        <s v="2018-05-04T18:53:00Z"/>
        <s v="2018-04-15T04:38:00Z"/>
        <s v="2018-08-06T10:31:00Z"/>
        <s v="2018-07-17T11:13:00Z"/>
        <s v="2018-07-14T15:00:00Z"/>
        <s v="2018-06-01T13:31:00Z"/>
        <s v="2018-09-04T14:43:00Z"/>
        <s v="2018-07-20T13:07:00Z"/>
        <s v="2018-06-02T09:55:00Z"/>
        <s v="2018-10-14T06:45:00Z"/>
        <s v="2018-09-20T12:39:00Z"/>
        <s v="2018-07-13T14:32:00Z"/>
        <s v="2018-07-10T17:31:00Z"/>
        <s v="2018-06-09T15:30:00Z"/>
        <s v="2018-06-05T13:45:00Z"/>
        <s v="2018-06-04T15:08:00Z"/>
        <s v="2018-06-03T16:11:00Z"/>
        <s v="2018-05-21T11:56:00Z"/>
        <s v="2018-05-14T13:06:00Z"/>
        <s v="2018-05-10T20:41:00Z"/>
        <s v="2018-07-10T12:42:00Z"/>
        <s v="2018-07-09T17:54:00Z"/>
        <s v="2018-06-03T13:38:00Z"/>
        <s v="2018-03-27T16:20:00Z"/>
        <s v="2018-11-16T11:01:00Z"/>
        <s v="2018-11-12T17:39:00Z"/>
        <s v="2018-10-15T11:57:00Z"/>
        <s v="2018-08-19T15:55:00Z"/>
        <s v="2018-08-09T14:21:00Z"/>
        <s v="2018-07-17T19:03:00Z"/>
        <s v="2018-07-06T10:11:00Z"/>
        <s v="2018-06-29T11:44:00Z"/>
        <s v="2018-06-21T16:45:00Z"/>
        <s v="2018-06-19T16:06:00Z"/>
        <s v="2018-06-05T13:03:00Z"/>
        <s v="2018-06-03T18:23:00Z"/>
        <s v="2018-06-03T08:55:00Z"/>
        <s v="2018-06-02T15:53:00Z"/>
        <s v="2018-05-28T07:23:00Z"/>
        <s v="2018-11-29T23:30:00Z"/>
        <s v="2018-04-24T16:59:00Z"/>
        <s v="2018-01-09T04:00:00Z"/>
        <s v="2019-10-30T07:45:14Z"/>
        <s v="2019-08-16T14:11:02Z"/>
        <s v="2019-10-10T15:38:44Z"/>
        <s v="2019-10-27T02:47:20Z"/>
        <s v="2019-10-30T11:19:00Z"/>
        <s v="2019-11-25T12:39:44Z"/>
        <s v="2019-10-09T06:52:14Z"/>
        <s v="2019-07-21T12:01:40Z"/>
        <s v="2019-10-18T12:17:32Z"/>
        <s v="2019-08-07T18:48:57Z"/>
        <s v="2019-10-10T18:36:46Z"/>
        <s v="2019-10-10T06:42:19Z"/>
        <s v="2019-10-25T15:05:52Z"/>
        <s v="2019-10-24T23:16:18Z"/>
        <s v="2019-07-18T09:07:57Z"/>
        <s v="2019-07-12T19:08:54Z"/>
        <s v="2019-07-18T18:31:00Z"/>
        <s v="2019-08-03T17:22:51Z"/>
        <s v="2019-07-17T17:42:04Z"/>
        <s v="2019-09-29T21:44:45Z"/>
        <s v="2019-07-12T18:40:09Z"/>
        <s v="2019-10-15T16:17:18Z"/>
        <s v="2019-08-27T11:33:56Z"/>
        <s v="2019-10-04T18:38:09Z"/>
        <s v="2019-09-03T15:36:45Z"/>
        <s v="2019-10-23T21:27:00Z"/>
        <s v="2019-09-04T15:17:31Z"/>
        <s v="2019-07-28T15:58:00Z"/>
        <s v="2019-09-06T12:43:35Z"/>
        <s v="2019-10-31T20:58:28Z"/>
        <s v="2019-09-05T13:19:56Z"/>
        <s v="2019-10-10T21:02:00Z"/>
        <s v="2019-09-06T11:34:27Z"/>
        <s v="2019-10-06T16:15:12Z"/>
        <s v="2019-09-05T19:59:46Z"/>
        <s v="2019-09-06T11:24:11Z"/>
        <s v="2019-10-24T14:51:46Z"/>
        <s v="2019-10-11T12:47:59Z"/>
        <s v="2019-08-28T19:48:14Z"/>
        <s v="2019-11-25T19:59:12Z"/>
        <s v="2019-06-26T09:18:22Z"/>
        <s v="2019-11-03T14:16:17Z"/>
        <s v="2019-06-08T14:50:00Z"/>
        <s v="2019-05-07T15:47:00Z"/>
        <s v="2019-08-24T17:25:04Z"/>
        <s v="2019-06-26T08:54:24Z"/>
        <s v="2019-09-06T12:23:00Z"/>
        <s v="2019-09-04T16:43:36Z"/>
        <s v="2019-09-07T08:36:32Z"/>
        <s v="2019-06-12T12:48:00Z"/>
        <s v="2019-08-16T06:14:55Z"/>
        <s v="2019-06-08T14:37:00Z"/>
        <s v="2019-08-09T23:08:25Z"/>
        <s v="2019-07-13T18:42:22Z"/>
        <s v="2019-06-05T10:49:00Z"/>
        <s v="2019-08-08T18:42:41Z"/>
        <s v="2019-07-08T16:44:08Z"/>
        <s v="2019-05-29T17:10:00Z"/>
        <s v="2019-08-03T03:16:00Z"/>
        <s v="2019-08-31T15:31:59Z"/>
        <s v="2019-10-28T06:46:55Z"/>
        <s v="2019-10-27T14:54:40Z"/>
        <s v="2019-09-20T15:02:08Z"/>
        <s v="2019-08-22T11:02:09Z"/>
        <s v="2019-06-07T16:55:00Z"/>
        <s v="2019-10-06T16:36:50Z"/>
        <s v="2019-06-21T13:02:00Z"/>
        <s v="2019-09-14T17:53:00Z"/>
        <s v="2019-09-07T15:06:00Z"/>
        <s v="2019-08-01T14:53:15Z"/>
        <s v="2019-07-31T17:13:53Z"/>
        <s v="2019-08-15T15:15:56Z"/>
        <s v="2019-10-17T16:31:00Z"/>
        <s v="2019-09-06T12:39:18Z"/>
        <s v="2019-10-10T14:18:17Z"/>
        <s v="2019-10-31T06:22:34Z"/>
        <s v="2019-07-29T15:43:48Z"/>
        <s v="2019-09-28T17:48:10Z"/>
        <s v="2019-07-03T15:34:12Z"/>
        <s v="2019-09-07T08:49:58Z"/>
        <s v="2019-07-30T13:28:17Z"/>
        <s v="2019-09-01T17:37:43Z"/>
        <s v="2019-07-05T16:37:04Z"/>
        <s v="2019-09-06T13:20:00Z"/>
        <s v="2019-06-02T16:12:00Z"/>
        <s v="2019-09-07T20:31:46Z"/>
        <s v="2019-09-05T09:25:00Z"/>
        <s v="2019-07-08T15:30:14Z"/>
        <s v="2019-08-09T15:09:50Z"/>
        <s v="2019-09-07T08:47:46Z"/>
        <s v="2019-08-12T17:10:00Z"/>
        <s v="2019-09-21T14:26:00Z"/>
        <s v="2019-06-29T12:54:13Z"/>
        <s v="2019-07-15T18:19:31Z"/>
        <s v="2019-06-29T15:09:52Z"/>
        <s v="2019-06-09T14:29:00Z"/>
        <s v="2019-07-21T15:30:17Z"/>
        <s v="2019-06-17T17:50:00Z"/>
        <s v="2019-07-15T10:49:00Z"/>
        <s v="2019-10-31T06:53:47Z"/>
        <s v="2019-10-27T08:50:23Z"/>
        <s v="2019-10-11T15:57:10Z"/>
        <s v="2019-09-24T15:00:00Z"/>
        <s v="2019-09-09T17:42:43Z"/>
        <s v="2019-07-14T14:02:31Z"/>
        <s v="2019-09-11T11:25:43Z"/>
        <s v="2019-07-09T21:43:36Z"/>
        <s v="2019-07-24T12:28:45Z"/>
        <s v="2019-05-03T15:04:00Z"/>
        <s v="2019-09-15T20:13:05Z"/>
        <s v="2019-09-02T15:40:37Z"/>
        <s v="2019-04-28T22:20:00Z"/>
        <s v="2019-08-15T15:09:55Z"/>
        <s v="2019-08-03T17:01:15Z"/>
        <s v="2019-07-28T13:20:11Z"/>
        <s v="2019-06-01T15:49:00Z"/>
        <s v="2019-10-27T11:29:03Z"/>
        <s v="2019-07-28T19:51:55Z"/>
        <s v="2019-06-26T22:43:07Z"/>
        <s v="2019-10-24T04:53:17Z"/>
        <s v="2019-05-30T16:19:00Z"/>
        <s v="2019-10-27T11:52:15Z"/>
        <s v="2019-08-21T17:56:05Z"/>
        <s v="2019-08-24T16:33:58Z"/>
        <s v="2019-07-14T11:45:00Z"/>
        <s v="2019-08-07T17:21:13Z"/>
        <s v="2019-07-27T23:36:00Z"/>
        <s v="2019-05-18T22:53:00Z"/>
        <s v="2019-09-21T11:49:00Z"/>
        <s v="2019-07-17T16:13:41Z"/>
        <s v="2019-05-29T17:18:00Z"/>
        <s v="2019-06-20T14:56:00Z"/>
        <s v="2019-06-10T11:55:00Z"/>
        <s v="2019-04-30T18:37:00Z"/>
        <s v="2019-08-13T14:37:54Z"/>
        <s v="2019-08-02T16:53:18Z"/>
        <s v="2019-07-28T22:39:05Z"/>
        <s v="2019-07-12T13:20:39Z"/>
        <s v="2019-09-21T17:22:00Z"/>
        <s v="2019-10-25T10:52:04Z"/>
        <s v="2019-07-13T10:36:00Z"/>
        <s v="2019-07-24T20:09:59Z"/>
        <s v="2019-08-05T15:36:23Z"/>
        <s v="2019-10-10T21:28:58Z"/>
        <s v="2019-09-15T15:52:00Z"/>
        <s v="2019-07-16T18:44:15Z"/>
        <s v="2019-06-26T15:35:00Z"/>
        <s v="2019-09-03T14:57:31Z"/>
        <s v="2019-08-02T09:23:00Z"/>
        <s v="2019-09-23T15:55:57Z"/>
        <s v="2019-07-27T10:15:00Z"/>
        <s v="2019-08-13T15:41:24Z"/>
        <s v="2019-07-22T19:45:27Z"/>
        <s v="2019-07-16T13:45:43Z"/>
        <s v="2019-10-24T14:43:10Z"/>
        <s v="2019-08-25T10:58:28Z"/>
        <s v="2019-08-15T16:24:24Z"/>
        <s v="2019-07-24T20:01:44Z"/>
        <s v="2019-07-12T17:15:31Z"/>
        <s v="2019-06-25T13:51:09Z"/>
        <s v="2019-06-24T11:57:00Z"/>
        <s v="2019-11-05T06:52:14Z"/>
        <s v="2019-07-02T16:10:02Z"/>
        <s v="2019-06-08T13:07:00Z"/>
        <s v="2019-10-09T08:31:40Z"/>
        <s v="2019-10-24T12:15:33Z"/>
        <s v="2019-09-22T18:25:56Z"/>
        <s v="2019-09-01T16:35:55Z"/>
        <s v="2019-05-10T14:14:00Z"/>
        <s v="2019-07-22T15:05:34Z"/>
        <s v="2019-10-04T12:03:48Z"/>
        <s v="2019-05-20T10:57:00Z"/>
        <s v="2019-10-24T20:15:36Z"/>
        <s v="2019-08-15T13:44:02Z"/>
        <s v="2019-09-06T15:18:52Z"/>
        <s v="2019-08-07T15:13:52Z"/>
        <s v="2019-10-13T14:45:37Z"/>
        <s v="2019-05-29T21:06:00Z"/>
        <s v="2019-09-07T14:00:00Z"/>
        <s v="2019-10-01T22:35:52Z"/>
        <s v="2019-09-25T14:17:25Z"/>
        <s v="2019-10-31T06:39:56Z"/>
        <s v="2019-10-27T17:36:15Z"/>
        <s v="2019-08-02T14:45:00Z"/>
        <s v="2019-05-01T16:46:00Z"/>
        <s v="2019-07-15T11:12:00Z"/>
        <s v="2019-06-10T17:51:00Z"/>
        <s v="2019-08-12T14:16:53Z"/>
        <s v="2019-06-22T03:12:00Z"/>
        <s v="2019-05-30T12:41:00Z"/>
        <s v="2019-09-05T14:33:01Z"/>
        <s v="2019-06-12T17:23:00Z"/>
        <s v="2019-10-21T11:52:52Z"/>
        <s v="2019-10-10T15:49:07Z"/>
        <s v="2019-07-06T20:21:25Z"/>
        <s v="2019-08-25T13:06:49Z"/>
        <s v="2019-08-15T17:47:43Z"/>
        <s v="2019-06-10T15:16:00Z"/>
        <s v="2019-09-12T20:30:41Z"/>
        <s v="2019-08-22T19:31:10Z"/>
        <s v="2019-08-10T18:47:02Z"/>
        <s v="2019-06-03T12:18:00Z"/>
        <s v="2019-10-11T12:30:19Z"/>
        <s v="2019-09-26T15:29:06Z"/>
        <s v="2019-08-04T17:18:21Z"/>
        <s v="2019-07-05T14:46:33Z"/>
        <s v="2019-06-21T14:42:00Z"/>
        <s v="2019-04-09T22:18:00Z"/>
        <s v="2019-01-01T14:14:00Z"/>
        <s v="2019-10-07T09:58:51.763Z"/>
        <s v="2019-08-05T13:56:02Z"/>
        <s v="2019-09-04T16:26:00Z"/>
        <s v="2019-06-29T11:11:55Z"/>
        <s v="2019-06-07T12:59:00Z"/>
        <s v="2019-05-20T13:50:00Z"/>
        <s v="2019-10-17T20:06:00Z"/>
        <s v="2019-09-30T17:39:00Z"/>
        <s v="2019-08-25T16:15:15Z"/>
        <s v="2019-07-05T09:46:01.973Z"/>
        <s v="2019-07-05T13:33:56Z"/>
        <s v="2019-06-06T14:24:00Z"/>
        <s v="2019-05-13T18:46:00Z"/>
        <s v="2019-08-08T16:16:40Z"/>
        <s v="2019-08-14T12:52:00Z"/>
        <s v="2019-08-12T10:53:10Z"/>
        <s v="2019-08-08T14:55:59Z"/>
        <s v="2019-07-11T16:27:17Z"/>
        <s v="2019-06-27T16:14:25Z"/>
        <s v="2019-11-01T13:04:34Z"/>
        <s v="2019-09-30T07:07:00Z"/>
        <s v="2019-08-31T12:55:15Z"/>
        <s v="2019-10-03T13:36:04Z"/>
        <s v="2019-09-04T20:33:59Z"/>
        <s v="2019-06-26T18:06:54Z"/>
        <s v="2019-06-15T15:29:00Z"/>
        <s v="2019-06-14T16:14:00Z"/>
        <s v="2019-09-24T08:40:45Z"/>
        <s v="2019-08-14T16:07:49Z"/>
        <s v="2019-09-07T18:19:16Z"/>
        <s v="2019-09-02T20:27:29Z"/>
        <s v="2019-06-10T14:25:00Z"/>
        <s v="2019-07-30T19:27:46Z"/>
        <s v="2019-10-08T17:25:12Z"/>
        <s v="2019-06-29T22:07:59Z"/>
        <s v="2019-10-21T08:16:33Z"/>
        <s v="2019-10-07T11:03:29.963Z"/>
        <s v="2019-09-13T20:00:29Z"/>
        <s v="2019-09-02T14:36:35Z"/>
        <s v="2019-10-15T17:41:57Z"/>
        <s v="2019-10-09T09:52:52.477Z"/>
        <s v="2019-09-25T13:13:41Z"/>
        <s v="2019-09-10T10:43:58Z"/>
        <s v="2019-07-23T14:41:00Z"/>
        <s v="2019-06-16T20:33:00Z"/>
        <s v="2019-04-30T12:20:00Z"/>
        <s v="2019-10-10T12:08:00Z"/>
        <s v="2019-06-28T15:03:04Z"/>
        <s v="2019-11-25T12:02:02Z"/>
        <s v="2019-10-22T19:20:44Z"/>
        <s v="2019-10-14T15:32:20Z"/>
      </sharedItems>
    </cacheField>
    <cacheField name="StructuresDamaged" numFmtId="0">
      <sharedItems containsString="0" containsBlank="1" containsNumber="1" containsInteger="1">
        <m/>
        <n v="6.0"/>
        <n v="8.0"/>
        <n v="10.0"/>
        <n v="9.0"/>
        <n v="1.0"/>
        <n v="7.0"/>
        <n v="2.0"/>
        <n v="5.0"/>
        <n v="4.0"/>
        <n v="3.0"/>
        <n v="28.0"/>
        <n v="280.0"/>
        <n v="21.0"/>
        <n v="172.0"/>
        <n v="783.0"/>
        <n v="317.0"/>
        <n v="44.0"/>
        <n v="26.0"/>
        <n v="55.0"/>
        <n v="60.0"/>
        <n v="64.0"/>
        <n v="61.0"/>
        <n v="341.0"/>
        <n v="12.0"/>
        <n v="16.0"/>
        <n v="88.0"/>
        <n v="27.0"/>
        <n v="0.0"/>
      </sharedItems>
    </cacheField>
    <cacheField name="StructuresDestroyed" numFmtId="0">
      <sharedItems containsString="0" containsBlank="1" containsNumber="1" containsInteger="1">
        <m/>
        <n v="10.0"/>
        <n v="40.0"/>
        <n v="201.0"/>
        <n v="149.0"/>
        <n v="1.0"/>
        <n v="7.0"/>
        <n v="0.0"/>
        <n v="4.0"/>
        <n v="9.0"/>
        <n v="80.0"/>
        <n v="21.0"/>
        <n v="6.0"/>
        <n v="20.0"/>
        <n v="67.0"/>
        <n v="3.0"/>
        <n v="47.0"/>
        <n v="165.0"/>
        <n v="11.0"/>
        <n v="69.0"/>
        <n v="96.0"/>
        <n v="27.0"/>
        <n v="68.0"/>
        <n v="2.0"/>
        <n v="23.0"/>
        <n v="16.0"/>
        <n v="5.0"/>
        <n v="70.0"/>
        <n v="321.0"/>
        <n v="28.0"/>
        <n v="300.0"/>
        <n v="1063.0"/>
        <n v="131.0"/>
        <n v="1355.0"/>
        <n v="120.0"/>
        <n v="5636.0"/>
        <n v="546.0"/>
        <n v="37.0"/>
        <n v="264.0"/>
        <n v="25.0"/>
        <n v="74.0"/>
        <n v="41.0"/>
        <n v="157.0"/>
        <n v="54.0"/>
        <n v="162.0"/>
        <n v="48.0"/>
        <n v="13.0"/>
        <n v="246.0"/>
        <n v="1614.0"/>
        <n v="18804.0"/>
        <n v="1643.0"/>
        <n v="29.0"/>
        <n v="42.0"/>
        <n v="35.0"/>
        <n v="83.0"/>
        <n v="24.0"/>
        <n v="22.0"/>
        <n v="12.0"/>
        <n v="8.0"/>
        <n v="374.0"/>
        <n v="19.0"/>
        <n v="14.0"/>
      </sharedItems>
    </cacheField>
    <cacheField name="StructuresEvacuated" numFmtId="0">
      <sharedItems containsString="0" containsBlank="1">
        <m/>
      </sharedItems>
    </cacheField>
    <cacheField name="StructuresThreatened" numFmtId="0">
      <sharedItems containsString="0" containsBlank="1" containsNumber="1" containsInteger="1">
        <m/>
        <n v="0.0"/>
        <n v="176.0"/>
        <n v="50.0"/>
        <n v="1200.0"/>
        <n v="1100.0"/>
        <n v="40.0"/>
        <n v="54.0"/>
        <n v="2600.0"/>
        <n v="540.0"/>
        <n v="5.0"/>
        <n v="1050.0"/>
        <n v="1025.0"/>
        <n v="10.0"/>
        <n v="24.0"/>
      </sharedItems>
    </cacheField>
    <cacheField name="Year" numFmtId="0">
      <sharedItems>
        <s v="2013"/>
        <s v="2014"/>
        <s v="2015"/>
        <s v="2016"/>
        <s v="2017"/>
        <s v="1969"/>
        <s v="2018"/>
        <s v="201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547" sheet="What Time did most fires start"/>
  </cacheSource>
  <cacheFields>
    <cacheField name="Start Time" numFmtId="0">
      <sharedItems>
        <s v="16:00:00"/>
        <s v="13:59:00"/>
        <s v="18:28:00"/>
        <s v="13:16:00"/>
        <s v="07:11:00"/>
        <s v="04:00:00"/>
        <s v="14:42:00"/>
        <s v="14:00:00"/>
        <s v="15:53:00"/>
        <s v="13:45:00"/>
        <s v="14:12:00"/>
        <s v="14:45:00"/>
        <s v="16:20:00"/>
        <s v="14:23:00"/>
        <s v="02:30:00"/>
        <s v="18:18:00"/>
        <s v="16:02:00"/>
        <s v="14:30:00"/>
        <s v="15:00:00"/>
        <s v="15:40:00"/>
        <s v="04:38:00"/>
        <s v="12:06:00"/>
        <s v="10:28:00"/>
        <s v="13:35:00"/>
        <s v="17:15:00"/>
        <s v="16:59:00"/>
        <s v="15:23:00"/>
        <s v="16:03:00"/>
        <s v="19:43:00"/>
        <s v="12:44:00"/>
        <s v="14:32:00"/>
        <s v="14:26:00"/>
        <s v="16:41:00"/>
        <s v="11:44:00"/>
        <s v="14:48:00"/>
        <s v="18:53:00"/>
        <s v="03:44:00"/>
        <s v="15:27:00"/>
        <s v="05:05:00"/>
        <s v="15:30:00"/>
        <s v="12:00:00"/>
        <s v="12:51:00"/>
        <s v="18:11:00"/>
        <s v="22:00:00"/>
        <s v="13:58:00"/>
        <s v="14:05:00"/>
        <s v="20:41:00"/>
        <s v="16:10:00"/>
        <s v="15:18:00"/>
        <s v="08:48:00"/>
        <s v="12:54:00"/>
        <s v="13:11:00"/>
        <s v="17:25:00"/>
        <s v="13:06:00"/>
        <s v="13:10:00"/>
        <s v="23:28:00"/>
        <s v="17:54:00"/>
        <s v="23:19:00"/>
        <s v="16:30:00"/>
        <s v="16:12:00"/>
        <s v="04:50:00"/>
        <s v="12:53:00"/>
        <s v="14:19:00"/>
        <s v="11:00:00"/>
        <s v="13:13:00"/>
        <s v="16:37:00"/>
        <s v="13:04:00"/>
        <s v="13:07:00"/>
        <s v="18:15:00"/>
        <s v="11:56:00"/>
        <s v="14:13:00"/>
        <s v="07:49:00"/>
        <s v="10:59:00"/>
        <s v="16:16:00"/>
        <s v="01:20:00"/>
        <s v="10:43:00"/>
        <s v="15:31:00"/>
        <s v="11:30:00"/>
        <s v="14:52:00"/>
        <s v="15:38:00"/>
        <s v="17:05:00"/>
        <s v="07:23:00"/>
        <s v="17:33:00"/>
        <s v="18:55:00"/>
        <s v="12:09:00"/>
        <s v="12:58:00"/>
        <s v="13:09:00"/>
        <s v="15:39:00"/>
        <s v="11:04:00"/>
        <s v="13:21:00"/>
        <s v="16:22:00"/>
        <s v="16:48:00"/>
        <s v="22:11:00"/>
        <s v="13:17:00"/>
        <s v="14:02:00"/>
        <s v="12:43:00"/>
        <s v="13:31:00"/>
        <s v="15:20:00"/>
        <s v="16:07:00"/>
        <s v="16:38:00"/>
        <s v="09:55:00"/>
        <s v="11:55:00"/>
        <s v="12:42:00"/>
        <s v="21:00:00"/>
        <s v="08:55:00"/>
        <s v="13:38:00"/>
        <s v="14:17:00"/>
        <s v="15:09:00"/>
        <s v="16:11:00"/>
        <s v="16:14:00"/>
        <s v="18:23:00"/>
        <s v="04:53:00"/>
        <s v="12:40:00"/>
        <s v="15:08:00"/>
        <s v="16:15:00"/>
        <s v="17:01:00"/>
        <s v="17:30:00"/>
        <s v="17:44:00"/>
        <s v="23:17:00"/>
        <s v="12:17:00"/>
        <s v="13:19:00"/>
        <s v="13:03:00"/>
        <s v="09:46:00"/>
        <s v="10:46:00"/>
        <s v="18:12:00"/>
        <s v="18:49:00"/>
        <s v="22:45:00"/>
        <s v="18:04:00"/>
        <s v="10:18:00"/>
        <s v="12:47:00"/>
        <s v="14:31:00"/>
        <s v="17:00:00"/>
        <s v="17:21:00"/>
        <s v="14:10:00"/>
        <s v="15:32:00"/>
        <s v="07:30:00"/>
        <s v="11:36:00"/>
        <s v="15:51:00"/>
        <s v="09:27:00"/>
        <s v="12:16:00"/>
        <s v="14:51:00"/>
        <s v="15:49:00"/>
        <s v="17:04:00"/>
        <s v="13:55:00"/>
        <s v="14:22:00"/>
        <s v="14:56:00"/>
        <s v="15:06:00"/>
        <s v="07:15:00"/>
        <s v="12:28:00"/>
        <s v="12:38:00"/>
        <s v="14:04:00"/>
        <s v="15:10:00"/>
        <s v="15:45:00"/>
        <s v="21:06:00"/>
        <s v="15:05:00"/>
        <s v="17:02:00"/>
        <s v="17:23:00"/>
        <s v="17:45:00"/>
        <s v="21:41:00"/>
        <s v="16:32:00"/>
        <s v="10:34:00"/>
        <s v="11:46:00"/>
        <s v="13:37:00"/>
        <s v="11:47:00"/>
        <s v="18:02:00"/>
        <s v="09:49:00"/>
        <s v="11:10:00"/>
        <s v="13:08:00"/>
        <s v="15:56:00"/>
        <s v="12:30:00"/>
        <s v="22:32:00"/>
        <s v="11:15:00"/>
        <s v="15:19:00"/>
        <s v="16:06:00"/>
        <s v="18:22:00"/>
        <s v="16:45:00"/>
        <s v="21:30:00"/>
        <s v="07:39:00"/>
        <s v="09:38:00"/>
        <s v="10:39:00"/>
        <s v="15:22:00"/>
        <s v="09:30:00"/>
        <s v="11:38:00"/>
        <s v="13:50:00"/>
        <s v="12:52:00"/>
        <s v="13:15:00"/>
        <s v="17:56:00"/>
        <s v="19:39:00"/>
        <s v="12:29:00"/>
        <s v="13:56:00"/>
        <s v="13:54:00"/>
        <s v="15:28:00"/>
        <s v="20:44:00"/>
        <s v="13:49:00"/>
        <s v="00:48:00"/>
        <s v="11:16:00"/>
        <s v="12:56:00"/>
        <s v="12:41:00"/>
        <s v="13:36:00"/>
        <s v="13:43:00"/>
        <s v="12:39:00"/>
        <s v="19:46:00"/>
        <s v="22:28:00"/>
        <s v="13:34:00"/>
        <s v="15:14:00"/>
        <s v="19:31:00"/>
        <s v="18:01:00"/>
        <s v="15:21:00"/>
        <s v="16:55:00"/>
        <s v="15:11:00"/>
        <s v="15:46:00"/>
        <s v="17:53:00"/>
        <s v="20:59:00"/>
        <s v="00:22:00"/>
        <s v="08:24:00"/>
        <s v="11:05:00"/>
        <s v="12:12:00"/>
        <s v="16:56:00"/>
        <s v="13:00:00"/>
        <s v="15:44:00"/>
        <s v="18:13:00"/>
        <s v="09:18:00"/>
        <s v="10:00:00"/>
        <s v="15:50:00"/>
        <s v="14:25:00"/>
        <s v="16:23:00"/>
        <s v="02:20:00"/>
        <s v="15:26:00"/>
        <s v="16:47:00"/>
        <s v="18:30:00"/>
        <s v="18:58:00"/>
        <s v="13:14:00"/>
        <s v="13:30:00"/>
        <s v="14:20:00"/>
        <s v="17:09:00"/>
        <s v="13:02:00"/>
        <s v="12:31:00"/>
        <s v="15:54:00"/>
        <s v="15:12:00"/>
        <s v="09:36:00"/>
        <s v="10:11:00"/>
        <s v="10:40:00"/>
        <s v="14:15:00"/>
        <s v="13:29:00"/>
        <s v="16:51:00"/>
        <s v="20:40:00"/>
        <s v="23:39:00"/>
        <s v="13:51:00"/>
        <s v="15:29:00"/>
        <s v="14:14:00"/>
        <s v="14:41:00"/>
        <s v="17:38:00"/>
        <s v="16:46:00"/>
        <s v="09:51:00"/>
        <s v="18:10:00"/>
        <s v="17:31:00"/>
        <s v="11:17:00"/>
        <s v="16:40:00"/>
        <s v="12:37:00"/>
        <s v="12:55:00"/>
        <s v="14:44:00"/>
        <s v="14:55:00"/>
        <s v="12:57:00"/>
        <s v="11:45:00"/>
        <s v="15:34:00"/>
        <s v="22:39:00"/>
        <s v="21:36:00"/>
        <s v="22:03:00"/>
        <s v="20:46:00"/>
        <s v="09:58:00"/>
        <s v="14:43:00"/>
        <s v="19:16:00"/>
        <s v="20:35:00"/>
        <s v="18:54:00"/>
        <s v="16:50:00"/>
        <s v="11:13:00"/>
        <s v="19:03:00"/>
        <s v="00:00:00"/>
        <s v="14:24:00"/>
        <s v="17:11:00"/>
        <s v="16:25:00"/>
        <s v="17:22:00"/>
        <s v="12:45:00"/>
        <s v="13:26:00"/>
        <s v="14:40:00"/>
        <s v="15:01:00"/>
        <s v="18:00:00"/>
        <s v="14:49:00"/>
        <s v="13:24:00"/>
        <s v="15:25:00"/>
        <s v="16:33:00"/>
        <s v="17:29:00"/>
        <s v="15:24:00"/>
        <s v="01:45:00"/>
        <s v="11:41:00"/>
        <s v="16:17:00"/>
        <s v="16:28:00"/>
        <s v="14:11:00"/>
        <s v="17:43:00"/>
        <s v="16:05:00"/>
        <s v="10:12:00"/>
        <s v="13:44:00"/>
        <s v="08:45:00"/>
        <s v="10:23:00"/>
        <s v="12:05:00"/>
        <s v="12:14:00"/>
        <s v="13:01:00"/>
        <s v="13:28:00"/>
        <s v="13:32:00"/>
        <s v="08:30:00"/>
        <s v="10:15:00"/>
        <s v="10:33:00"/>
        <s v="11:58:00"/>
        <s v="15:35:00"/>
        <s v="16:21:00"/>
        <s v="15:07:00"/>
        <s v="17:34:00"/>
        <s v="13:57:00"/>
        <s v="19:52:00"/>
        <s v="17:48:00"/>
        <s v="18:08:00"/>
        <s v="22:30:00"/>
        <s v="02:45:00"/>
        <s v="17:32:00"/>
        <s v="04:19:00"/>
        <s v="17:24:00"/>
        <s v="10:31:00"/>
        <s v="12:59:00"/>
        <s v="13:20:00"/>
        <s v="16:26:00"/>
        <s v="02:11:00"/>
        <s v="01:55:00"/>
        <s v="14:28:00"/>
        <s v="14:21:00"/>
        <s v="14:34:00"/>
        <s v="07:55:00"/>
        <s v="16:57:00"/>
        <s v="14:58:00"/>
        <s v="16:31:00"/>
        <s v="17:14:00"/>
        <s v="18:05:00"/>
        <s v="18:47:00"/>
        <s v="19:19:00"/>
        <s v="15:17:00"/>
        <s v="07:32:00"/>
        <s v="15:55:00"/>
        <s v="12:35:00"/>
        <s v="15:03:00"/>
        <s v="08:01:00"/>
        <s v="17:06:00"/>
        <s v="21:38:00"/>
        <s v="08:29:00"/>
        <s v="12:19:00"/>
        <s v="14:36:00"/>
        <s v="15:15:00"/>
        <s v="14:50:00"/>
        <s v="10:13:00"/>
        <s v="04:20:00"/>
        <s v="11:21:00"/>
        <s v="10:49:00"/>
        <s v="14:37:00"/>
        <s v="13:33:00"/>
        <s v="09:23:00"/>
        <s v="19:17:00"/>
        <s v="20:32:00"/>
        <s v="18:38:00"/>
        <s v="17:58:00"/>
        <s v="15:41:00"/>
        <s v="14:53:00"/>
        <s v="21:45:00"/>
        <s v="21:52:00"/>
        <s v="23:03:00"/>
        <s v="00:01:00"/>
        <s v="23:59:00"/>
        <s v="23:36:00"/>
        <s v="00:57:00"/>
        <s v="03:30:00"/>
        <s v="12:48:00"/>
        <s v="19:41:00"/>
        <s v="06:58:00"/>
        <s v="16:08:00"/>
        <s v="17:42:00"/>
        <s v="14:29:00"/>
        <s v="12:10:00"/>
        <s v="19:00:00"/>
        <s v="11:25:00"/>
        <s v="16:04:00"/>
        <s v="15:37:00"/>
        <s v="19:47:00"/>
        <s v="19:32:00"/>
        <s v="13:41:00"/>
        <s v="21:07:00"/>
        <s v="08:34:00"/>
        <s v="20:30:00"/>
        <s v="11:03:00"/>
        <s v="12:22:00"/>
        <s v="14:46:00"/>
        <s v="00:41:00"/>
        <s v="15:58:00"/>
        <s v="10:56:00"/>
        <s v="23:23:00"/>
        <s v="09:37:00"/>
        <s v="14:38:00"/>
        <s v="12:32:00"/>
        <s v="20:00:00"/>
        <s v="12:15:00"/>
        <s v="23:48:00"/>
        <s v="01:00:00"/>
        <s v="01:10:00"/>
        <s v="01:30:00"/>
        <s v="14:57:00"/>
        <s v="15:36:00"/>
        <s v="15:59:00"/>
        <s v="10:42:00"/>
        <s v="19:59:46"/>
        <s v="05:00:00"/>
        <s v="21:50:00"/>
        <s v="03:43:00"/>
        <s v="10:19:00"/>
        <s v="06:45:00"/>
        <s v="11:33:00"/>
        <s v="12:13:00"/>
        <s v="11:57:00"/>
        <s v="10:27:00"/>
        <s v="12:23:00"/>
        <s v="12:43:35"/>
        <s v="12:34:00"/>
        <s v="12:18:00"/>
        <s v="11:22:00"/>
        <s v="22:15:00"/>
        <s v="21:28:00"/>
        <s v="10:17:00"/>
        <s v="11:28:00"/>
        <s v="14:03:00"/>
        <s v="22:20:00"/>
        <s v="10:06:00"/>
        <s v="17:39:00"/>
        <s v="08:19:00"/>
        <s v="01:39:00"/>
        <s v="11:01:00"/>
        <s v="08:00:00"/>
        <s v="06:31:00"/>
        <s v="16:35:00"/>
        <s v="15:52:00"/>
        <s v="11:31:00"/>
        <s v="06:27:00"/>
        <s v="12:26:00"/>
        <s v="23:30:00"/>
        <s v="17:57:00"/>
        <s v="12:21:00"/>
        <s v="21:02:00"/>
        <s v="15:57:00"/>
        <s v="12:25:00"/>
        <s v="08:47:46"/>
        <s v="19:59:12"/>
        <s v="23:00:00"/>
        <s v="06:33:00"/>
        <s v="11:53:00"/>
        <s v="14:33:00"/>
        <s v="20:15:00"/>
        <s v="17:46:00"/>
        <s v="16:52:00"/>
        <s v="06:30:00"/>
        <s v="21:27:00"/>
        <s v="19:01:00"/>
        <s v="09:25:00"/>
        <s v="18:03:00"/>
        <s v="13:28:17"/>
        <s v="16:19:00"/>
        <s v="20:51:00"/>
        <s v="05:30:00"/>
        <s v="05:50:00"/>
        <s v="14:16:17"/>
        <s v="10:30:00"/>
        <s v="13:23:00"/>
        <s v="11:52:52"/>
        <s v="16:43:36"/>
        <s v="13:46:00"/>
        <s v="16:36:00"/>
        <s v="17:20:00"/>
        <s v="06:00:00"/>
        <s v="07:01:00"/>
        <s v="16:09:00"/>
        <s v="21:31:00"/>
        <s v="23:08:25"/>
        <s v="06:46:55"/>
        <s v="12:20:00"/>
        <s v="12:08:00"/>
        <s v="13:19:56"/>
        <s v="16:34:00"/>
        <s v="09:12:00"/>
        <s v="21:32:00"/>
        <s v="03:20:00"/>
        <s v="18:37:00"/>
        <s v="22:39:05"/>
        <s v="14:54:40"/>
        <s v="15:33:00"/>
        <s v="12:04:00"/>
        <s v="17:50:00"/>
        <s v="17:18:00"/>
        <s v="20:13:05"/>
        <s v="10:44:00"/>
        <s v="19:48:14"/>
        <s v="11:34:27"/>
        <s v="15:16:00"/>
        <s v="13:48:00"/>
        <s v="00:30:00"/>
        <s v="12:50:00"/>
        <s v="15:18:52"/>
        <s v="20:58:28"/>
        <s v="14:07:00"/>
        <s v="02:04:00"/>
        <s v="22:53:00"/>
        <s v="18:46:00"/>
        <s v="23:12:00"/>
        <s v="04:10:00"/>
        <s v="06:53:47"/>
        <s v="08:49:58"/>
        <s v="17:10:00"/>
        <s v="09:45:00"/>
        <s v="00:20:00"/>
        <s v="14:06:00"/>
        <s v="20:33:00"/>
        <s v="15:04:00"/>
        <s v="17:15:31"/>
        <s v="00:46:00"/>
        <s v="17:42:43"/>
        <s v="19:07:00"/>
        <s v="11:24:00"/>
        <s v="08:16:00"/>
        <s v="10:10:00"/>
        <s v="10:16:00"/>
        <s v="11:02:09"/>
        <s v="14:08:00"/>
        <s v="14:54:00"/>
        <s v="10:57:00"/>
        <s v="09:00:00"/>
        <s v="15:48:00"/>
        <s v="03:16:00"/>
        <s v="04:16:00"/>
        <s v="17:37:43"/>
        <s v="17:16:00"/>
        <s v="21:23:00"/>
        <s v="20:27:29"/>
        <s v="07:45:14"/>
        <s v="01:28:00"/>
        <s v="06:22:34"/>
        <s v="09:15:00"/>
        <s v="10:52:04"/>
        <s v="11:19:00"/>
        <s v="11:40:00"/>
        <s v="11:49:00"/>
        <s v="14:09:00"/>
        <s v="13:40:00"/>
        <s v="15:36:45"/>
        <s v="13:20:39"/>
        <s v="17:19:00"/>
        <s v="18:19:16"/>
        <s v="17:55:00"/>
        <s v="15:09:52"/>
        <s v="07:00:00"/>
        <s v="18:44:00"/>
        <s v="14:45:37"/>
        <s v="16:01:00"/>
        <s v="10:52:00"/>
        <s v="14:55:59"/>
        <s v="16:33:58"/>
        <s v="14:18:17"/>
        <s v="14:16:00"/>
        <s v="18:42:41"/>
        <s v="16:13:41"/>
        <s v="16:15:15"/>
        <s v="14:57:31"/>
        <s v="20:38:00"/>
        <s v="20:15:36"/>
        <s v="17:25:04"/>
        <s v="03:00:00"/>
        <s v="23:16:18"/>
        <s v="18:42:22"/>
        <s v="10:47:00"/>
        <s v="22:27:00"/>
        <s v="03:12:00"/>
        <s v="03:45:00"/>
        <s v="12:07:00"/>
        <s v="13:42:00"/>
        <s v="13:12:00"/>
        <s v="02:01:00"/>
        <s v="13:22:00"/>
        <s v="15:09:55"/>
        <s v="14:27:00"/>
        <s v="15:05:52"/>
        <s v="16:43:00"/>
        <s v="09:28:00"/>
        <s v="16:13:00"/>
        <s v="18:17:00"/>
        <s v="17:27:00"/>
        <s v="17:03:00"/>
        <s v="06:52:14"/>
        <s v="14:47:00"/>
        <s v="18:36:46"/>
        <s v="11:23:00"/>
        <s v="21:39:00"/>
        <s v="22:56:00"/>
        <s v="17:01:15"/>
        <s v="13:39:00"/>
        <s v="14:02:31"/>
        <s v="14:53:15"/>
        <s v="15:47:00"/>
        <s v="15:34:12"/>
        <s v="04:40:00"/>
        <s v="02:26:00"/>
        <s v="16:18:00"/>
        <s v="18:31:00"/>
        <s v="18:07:00"/>
        <s v="16:53:00"/>
        <s v="06:37:00"/>
        <s v="07:42:00"/>
        <s v="08:54:24"/>
        <s v="09:14:00"/>
        <s v="06:14:55"/>
        <s v="12:03:00"/>
        <s v="13:45:43"/>
        <s v="08:50:23"/>
        <s v="11:43:00"/>
        <s v="11:14:00"/>
        <s v="08:22:00"/>
        <s v="13:18:00"/>
        <s v="11:11:55"/>
        <s v="14:46:33"/>
        <s v="08:16:33"/>
        <s v="11:29:03"/>
        <s v="13:56:02"/>
        <s v="11:52:15"/>
        <s v="02:47:20"/>
        <s v="17:37:00"/>
        <s v="19:31:10"/>
        <s v="15:36:23"/>
        <s v="12:54:13"/>
        <s v="12:17:32"/>
        <s v="16:24:24"/>
        <s v="15:57:10"/>
        <s v="14:16:53"/>
        <s v="16:36:50"/>
        <s v="16:44:08"/>
        <s v="17:40:00"/>
        <s v="17:51:00"/>
        <s v="11:08:00"/>
        <s v="17:36:15"/>
        <s v="17:42:04"/>
        <s v="18:50:00"/>
        <s v="20:31:46"/>
        <s v="21:15:00"/>
        <s v="11:51:00"/>
        <s v="21:37:00"/>
        <s v="12:46:00"/>
        <s v="21:51:00"/>
        <s v="13:36:04"/>
        <s v="17:41:57"/>
        <s v="21:57:00"/>
        <s v="19:35:00"/>
        <s v="23:45:00"/>
        <s v="17:08:00"/>
        <s v="15:55:57"/>
        <s v="21:43:36"/>
        <s v="13:47:00"/>
        <s v="16:35:55"/>
        <s v="23:44:00"/>
        <s v="14:35:00"/>
        <s v="15:42:00"/>
        <s v="17:47:43"/>
        <s v="15:40:37"/>
        <s v="16:37:04"/>
        <s v="18:06:54"/>
        <s v="16:54:00"/>
        <s v="16:42:00"/>
        <s v="17:22:51"/>
        <s v="18:19:31"/>
        <s v="19:02:00"/>
        <s v="22:18:00"/>
        <s v="19:27:46"/>
        <s v="20:22:00"/>
        <s v="19:57:00"/>
        <s v="08:35:00"/>
        <s v="22:43:07"/>
        <s v="11:54:00"/>
        <s v="05:45:00"/>
        <s v="09:18:22"/>
        <s v="00:56:00"/>
        <s v="09:43:00"/>
        <s v="14:59:00"/>
        <s v="23:55:00"/>
        <s v="09:59:00"/>
        <s v="13:05:00"/>
        <s v="11:12:00"/>
        <s v="11:42:00"/>
        <s v="01:03:00"/>
        <s v="08:40:45"/>
        <s v="13:52:00"/>
        <s v="14:17:25"/>
        <s v="14:33:01"/>
        <s v="06:42:19"/>
        <s v="16:53:18"/>
        <s v="11:18:00"/>
        <s v="01:58:00"/>
        <s v="10:36:00"/>
        <s v="14:36:35"/>
        <s v="08:31:40"/>
        <s v="12:30:19"/>
        <s v="13:13:41"/>
        <s v="12:24:00"/>
        <s v="15:49:07"/>
        <s v="11:59:00"/>
        <s v="07:35:00"/>
        <s v="16:07:49"/>
        <s v="10:26:00"/>
        <s v="14:43:10"/>
        <s v="15:03:04"/>
        <s v="16:10:02"/>
        <s v="15:41:24"/>
        <s v="11:20:00"/>
        <s v="10:58:28"/>
        <s v="07:07:00"/>
        <s v="20:00:29"/>
        <s v="16:29:00"/>
        <s v="13:33:56"/>
        <s v="16:14:25"/>
        <s v="09:07:57"/>
        <s v="17:35:00"/>
        <s v="16:16:40"/>
        <s v="17:48:10"/>
        <s v="18:40:09"/>
        <s v="17:56:05"/>
        <s v="17:25:12"/>
        <s v="10:43:58"/>
      </sharedItems>
    </cacheField>
    <cacheField name="Start Hour" numFmtId="0">
      <sharedItems>
        <s v="16"/>
        <s v="13"/>
        <s v="18"/>
        <s v="07"/>
        <s v="04"/>
        <s v="14"/>
        <s v="15"/>
        <s v="02"/>
        <s v="12"/>
        <s v="10"/>
        <s v="17"/>
        <s v="19"/>
        <s v="11"/>
        <s v="03"/>
        <s v="05"/>
        <s v="22"/>
        <s v="20"/>
        <s v="08"/>
        <s v="23"/>
        <s v="01"/>
        <s v="09"/>
        <s v="21"/>
        <s v="00"/>
        <s v="0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ost Fires Per County" cacheId="0" dataCaption="" compact="0" compactData="0">
  <location ref="A1:B61" firstHeaderRow="0" firstDataRow="1" firstDataCol="0"/>
  <pivotFields>
    <pivotField name="AcresBur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t="default"/>
      </items>
    </pivotField>
    <pivotField name="Active" compact="0" outline="0" multipleItemSelectionAllowed="1" showAll="0">
      <items>
        <item x="0"/>
        <item t="default"/>
      </items>
    </pivotField>
    <pivotField name="Counties" axis="axisRow" dataField="1" compact="0" outline="0" multipleItemSelectionAllowed="1" showAll="0" sortType="ascending">
      <items>
        <item x="30"/>
        <item x="50"/>
        <item x="39"/>
        <item x="14"/>
        <item x="43"/>
        <item x="46"/>
        <item x="13"/>
        <item x="48"/>
        <item x="19"/>
        <item x="5"/>
        <item x="31"/>
        <item x="7"/>
        <item x="25"/>
        <item x="11"/>
        <item x="52"/>
        <item x="29"/>
        <item x="38"/>
        <item x="1"/>
        <item x="24"/>
        <item x="55"/>
        <item x="17"/>
        <item x="37"/>
        <item x="36"/>
        <item x="56"/>
        <item x="22"/>
        <item x="49"/>
        <item x="18"/>
        <item x="26"/>
        <item x="41"/>
        <item x="45"/>
        <item x="3"/>
        <item x="21"/>
        <item x="2"/>
        <item x="33"/>
        <item x="27"/>
        <item x="20"/>
        <item x="10"/>
        <item x="28"/>
        <item x="23"/>
        <item x="44"/>
        <item x="16"/>
        <item x="42"/>
        <item x="54"/>
        <item x="9"/>
        <item x="53"/>
        <item x="6"/>
        <item x="35"/>
        <item x="12"/>
        <item x="34"/>
        <item x="58"/>
        <item x="57"/>
        <item x="51"/>
        <item x="8"/>
        <item x="47"/>
        <item x="15"/>
        <item x="0"/>
        <item x="4"/>
        <item x="32"/>
        <item x="40"/>
        <item t="default"/>
      </items>
    </pivotField>
    <pivotField name="Crews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z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ng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Extingu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elicopt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jorIncident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t="default"/>
      </items>
    </pivotField>
    <pivotField name="Personnel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Star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StructuresDama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tructuresDestro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tructuresEvacuated" compact="0" outline="0" multipleItemSelectionAllowed="1" showAll="0">
      <items>
        <item x="0"/>
        <item t="default"/>
      </items>
    </pivotField>
    <pivotField name="StructuresThrea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dataFields>
    <dataField name="COUNTA of Counties" fld="2" subtotal="count" baseField="0"/>
  </dataFields>
</pivotTableDefinition>
</file>

<file path=xl/pivotTables/pivotTable2.xml><?xml version="1.0" encoding="utf-8"?>
<pivotTableDefinition xmlns="http://schemas.openxmlformats.org/spreadsheetml/2006/main" name="Most Fires Per County 2" cacheId="0" dataCaption="" compact="0" compactData="0">
  <location ref="D3:E53" firstHeaderRow="0" firstDataRow="1" firstDataCol="0" rowPageCount="1" colPageCount="1"/>
  <pivotFields>
    <pivotField name="AcresBur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t="default"/>
      </items>
    </pivotField>
    <pivotField name="Active" compact="0" outline="0" multipleItemSelectionAllowed="1" showAll="0">
      <items>
        <item x="0"/>
        <item t="default"/>
      </items>
    </pivotField>
    <pivotField name="Counties" axis="axisRow" compact="0" outline="0" multipleItemSelectionAllowed="1" showAll="0" sortType="ascending">
      <items>
        <item x="30"/>
        <item x="50"/>
        <item x="39"/>
        <item x="14"/>
        <item x="43"/>
        <item x="46"/>
        <item x="13"/>
        <item x="48"/>
        <item x="19"/>
        <item x="5"/>
        <item x="31"/>
        <item x="7"/>
        <item x="25"/>
        <item x="11"/>
        <item x="52"/>
        <item x="29"/>
        <item x="38"/>
        <item x="1"/>
        <item x="24"/>
        <item x="55"/>
        <item x="17"/>
        <item x="37"/>
        <item x="36"/>
        <item x="56"/>
        <item x="22"/>
        <item x="49"/>
        <item x="18"/>
        <item x="26"/>
        <item x="41"/>
        <item x="45"/>
        <item x="3"/>
        <item x="21"/>
        <item x="2"/>
        <item x="33"/>
        <item x="27"/>
        <item x="20"/>
        <item x="10"/>
        <item x="28"/>
        <item x="23"/>
        <item x="44"/>
        <item x="16"/>
        <item x="42"/>
        <item x="54"/>
        <item x="9"/>
        <item x="53"/>
        <item x="6"/>
        <item x="35"/>
        <item x="12"/>
        <item x="34"/>
        <item x="58"/>
        <item x="57"/>
        <item x="51"/>
        <item x="8"/>
        <item x="47"/>
        <item x="15"/>
        <item x="0"/>
        <item x="4"/>
        <item x="32"/>
        <item x="40"/>
        <item t="default"/>
      </items>
    </pivotField>
    <pivotField name="Crews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z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ng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Extingu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elicopt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jorIncident" axis="axisPage" dataField="1" compact="0" outline="0" multipleItemSelectionAllowed="1" showAll="0">
      <items>
        <item h="1"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t="default"/>
      </items>
    </pivotField>
    <pivotField name="Personnel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Star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StructuresDama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tructuresDestro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tructuresEvacuated" compact="0" outline="0" multipleItemSelectionAllowed="1" showAll="0">
      <items>
        <item x="0"/>
        <item t="default"/>
      </items>
    </pivotField>
    <pivotField name="StructuresThrea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2"/>
  </rowFields>
  <pageFields>
    <pageField fld="10"/>
  </pageFields>
  <dataFields>
    <dataField name="COUNTA of MajorIncident" fld="10" subtotal="count" baseField="0"/>
  </dataFields>
</pivotTableDefinition>
</file>

<file path=xl/pivotTables/pivotTable3.xml><?xml version="1.0" encoding="utf-8"?>
<pivotTableDefinition xmlns="http://schemas.openxmlformats.org/spreadsheetml/2006/main" name="What Time did most fires start" cacheId="1" dataCaption="" compact="0" compactData="0">
  <location ref="D3:E28" firstHeaderRow="0" firstDataRow="1" firstDataCol="0"/>
  <pivotFields>
    <pivotField name="Start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name="Start Hour" axis="axisRow" dataField="1" compact="0" outline="0" multipleItemSelectionAllowed="1" showAll="0" sortType="ascending">
      <items>
        <item x="22"/>
        <item x="19"/>
        <item x="7"/>
        <item x="13"/>
        <item x="4"/>
        <item x="14"/>
        <item x="23"/>
        <item x="3"/>
        <item x="17"/>
        <item x="20"/>
        <item x="9"/>
        <item x="12"/>
        <item x="8"/>
        <item x="1"/>
        <item x="5"/>
        <item x="6"/>
        <item x="0"/>
        <item x="10"/>
        <item x="2"/>
        <item x="11"/>
        <item x="16"/>
        <item x="21"/>
        <item x="15"/>
        <item x="18"/>
        <item t="default"/>
      </items>
    </pivotField>
  </pivotFields>
  <rowFields>
    <field x="1"/>
  </rowFields>
  <dataFields>
    <dataField name="COUNTA of Start Hour" fld="1" subtotal="count" baseField="0"/>
  </dataFields>
</pivotTableDefinition>
</file>

<file path=xl/pivotTables/pivotTable4.xml><?xml version="1.0" encoding="utf-8"?>
<pivotTableDefinition xmlns="http://schemas.openxmlformats.org/spreadsheetml/2006/main" name="Sheet5" cacheId="0" dataCaption="" compact="0" compactData="0">
  <location ref="A1:B9" firstHeaderRow="0" firstDataRow="1" firstDataCol="0"/>
  <pivotFields>
    <pivotField name="AcresBur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t="default"/>
      </items>
    </pivotField>
    <pivotField name="Active" compact="0" outline="0" multipleItemSelectionAllowed="1" showAll="0">
      <items>
        <item x="0"/>
        <item t="default"/>
      </items>
    </pivotField>
    <pivotField name="Coun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rews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z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ng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Extingu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elicopt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jorIncident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t="default"/>
      </items>
    </pivotField>
    <pivotField name="Personnel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Star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StructuresDama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tructuresDestro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tructuresEvacuated" compact="0" outline="0" multipleItemSelectionAllowed="1" showAll="0">
      <items>
        <item x="0"/>
        <item t="default"/>
      </items>
    </pivotField>
    <pivotField name="StructuresThrea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Year" axis="axisRow" compact="0" outline="0" multipleItemSelectionAllowed="1" showAll="0" sortType="ascending">
      <items>
        <item h="1" x="5"/>
        <item x="0"/>
        <item x="1"/>
        <item x="2"/>
        <item x="3"/>
        <item x="4"/>
        <item x="6"/>
        <item x="7"/>
        <item t="default"/>
      </items>
    </pivotField>
  </pivotFields>
  <rowFields>
    <field x="18"/>
  </rowFields>
  <dataFields>
    <dataField name="SUM of AcresBurned" fld="0" baseField="0"/>
  </dataFields>
</pivotTableDefinition>
</file>

<file path=xl/pivotTables/pivotTable5.xml><?xml version="1.0" encoding="utf-8"?>
<pivotTableDefinition xmlns="http://schemas.openxmlformats.org/spreadsheetml/2006/main" name="Sheet5 2" cacheId="0" dataCaption="" compact="0" compactData="0">
  <location ref="D3:E11" firstHeaderRow="0" firstDataRow="1" firstDataCol="0" rowPageCount="1" colPageCount="1"/>
  <pivotFields>
    <pivotField name="AcresBur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t="default"/>
      </items>
    </pivotField>
    <pivotField name="Active" compact="0" outline="0" multipleItemSelectionAllowed="1" showAll="0">
      <items>
        <item x="0"/>
        <item t="default"/>
      </items>
    </pivotField>
    <pivotField name="Coun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rews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z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ng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Extingu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elicopt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jorIncident" axis="axisPage" dataField="1" compact="0" outline="0" multipleItemSelectionAllowed="1" showAll="0">
      <items>
        <item h="1"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t="default"/>
      </items>
    </pivotField>
    <pivotField name="Personnel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Star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StructuresDama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tructuresDestro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tructuresEvacuated" compact="0" outline="0" multipleItemSelectionAllowed="1" showAll="0">
      <items>
        <item x="0"/>
        <item t="default"/>
      </items>
    </pivotField>
    <pivotField name="StructuresThrea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Year" axis="axisRow" compact="0" outline="0" multipleItemSelectionAllowed="1" showAll="0" sortType="ascending">
      <items>
        <item x="5"/>
        <item x="0"/>
        <item x="1"/>
        <item x="2"/>
        <item x="3"/>
        <item x="4"/>
        <item x="6"/>
        <item x="7"/>
        <item t="default"/>
      </items>
    </pivotField>
  </pivotFields>
  <rowFields>
    <field x="18"/>
  </rowFields>
  <pageFields>
    <pageField fld="10"/>
  </pageFields>
  <dataFields>
    <dataField name="COUNTA of MajorIncident" fld="10" subtotal="count" baseField="0"/>
  </dataFields>
</pivotTableDefinition>
</file>

<file path=xl/pivotTables/pivotTable6.xml><?xml version="1.0" encoding="utf-8"?>
<pivotTableDefinition xmlns="http://schemas.openxmlformats.org/spreadsheetml/2006/main" name="Sheet5 3" cacheId="0" dataCaption="" compact="0" compactData="0">
  <location ref="G1:H9" firstHeaderRow="0" firstDataRow="1" firstDataCol="0"/>
  <pivotFields>
    <pivotField name="AcresBur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t="default"/>
      </items>
    </pivotField>
    <pivotField name="Active" compact="0" outline="0" multipleItemSelectionAllowed="1" showAll="0">
      <items>
        <item x="0"/>
        <item t="default"/>
      </items>
    </pivotField>
    <pivotField name="Coun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rews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oz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ng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Extinguish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t="default"/>
      </items>
    </pivotField>
    <pivotField name="Fatalit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elicopt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Inju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MajorIncident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t="default"/>
      </items>
    </pivotField>
    <pivotField name="PersonnelInvolv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Star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StructuresDamag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tructuresDestro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tructuresEvacuated" compact="0" outline="0" multipleItemSelectionAllowed="1" showAll="0">
      <items>
        <item x="0"/>
        <item t="default"/>
      </items>
    </pivotField>
    <pivotField name="StructuresThrea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Year" axis="axisRow" dataField="1" compact="0" outline="0" multipleItemSelectionAllowed="1" showAll="0" sortType="ascending">
      <items>
        <item h="1" x="5"/>
        <item x="0"/>
        <item x="1"/>
        <item x="2"/>
        <item x="3"/>
        <item x="4"/>
        <item x="6"/>
        <item x="7"/>
        <item t="default"/>
      </items>
    </pivotField>
  </pivotFields>
  <rowFields>
    <field x="18"/>
  </rowFields>
  <dataFields>
    <dataField name="COUNTA of Year" fld="18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</row>
    <row r="2">
      <c r="A2" s="3">
        <v>257314.0</v>
      </c>
      <c r="B2" s="3" t="b">
        <v>0</v>
      </c>
      <c r="C2" s="3" t="s">
        <v>19</v>
      </c>
      <c r="G2" s="3" t="s">
        <v>20</v>
      </c>
      <c r="K2" s="3" t="b">
        <v>0</v>
      </c>
      <c r="L2" s="3" t="s">
        <v>21</v>
      </c>
      <c r="N2" s="3" t="s">
        <v>22</v>
      </c>
      <c r="S2" s="4" t="str">
        <f t="shared" ref="S2:S1639" si="1">MID(N2,1,4)</f>
        <v>2013</v>
      </c>
      <c r="T2" s="5"/>
      <c r="U2" s="6"/>
      <c r="V2" s="5"/>
      <c r="W2" s="5"/>
      <c r="X2" s="5"/>
      <c r="Y2" s="5"/>
      <c r="Z2" s="5"/>
    </row>
    <row r="3">
      <c r="A3" s="3">
        <v>30274.0</v>
      </c>
      <c r="B3" s="3" t="b">
        <v>0</v>
      </c>
      <c r="C3" s="3" t="s">
        <v>23</v>
      </c>
      <c r="G3" s="3" t="s">
        <v>24</v>
      </c>
      <c r="K3" s="3" t="b">
        <v>0</v>
      </c>
      <c r="L3" s="3" t="s">
        <v>25</v>
      </c>
      <c r="N3" s="3" t="s">
        <v>26</v>
      </c>
      <c r="S3" s="4" t="str">
        <f t="shared" si="1"/>
        <v>2013</v>
      </c>
      <c r="U3" s="6"/>
    </row>
    <row r="4">
      <c r="A4" s="3">
        <v>27531.0</v>
      </c>
      <c r="B4" s="3" t="b">
        <v>0</v>
      </c>
      <c r="C4" s="3" t="s">
        <v>27</v>
      </c>
      <c r="G4" s="3" t="s">
        <v>28</v>
      </c>
      <c r="K4" s="3" t="b">
        <v>0</v>
      </c>
      <c r="L4" s="3" t="s">
        <v>29</v>
      </c>
      <c r="N4" s="3" t="s">
        <v>30</v>
      </c>
      <c r="S4" s="4" t="str">
        <f t="shared" si="1"/>
        <v>2013</v>
      </c>
      <c r="U4" s="6"/>
    </row>
    <row r="5">
      <c r="A5" s="3">
        <v>27440.0</v>
      </c>
      <c r="B5" s="3" t="b">
        <v>0</v>
      </c>
      <c r="C5" s="3" t="s">
        <v>31</v>
      </c>
      <c r="G5" s="3" t="s">
        <v>32</v>
      </c>
      <c r="K5" s="3" t="b">
        <v>0</v>
      </c>
      <c r="L5" s="3" t="s">
        <v>33</v>
      </c>
      <c r="N5" s="3" t="s">
        <v>34</v>
      </c>
      <c r="S5" s="4" t="str">
        <f t="shared" si="1"/>
        <v>2013</v>
      </c>
      <c r="U5" s="6"/>
    </row>
    <row r="6">
      <c r="A6" s="3">
        <v>24251.0</v>
      </c>
      <c r="B6" s="3" t="b">
        <v>0</v>
      </c>
      <c r="C6" s="3" t="s">
        <v>35</v>
      </c>
      <c r="D6" s="7">
        <v>47.0</v>
      </c>
      <c r="E6" s="7">
        <v>8.0</v>
      </c>
      <c r="F6" s="7">
        <v>117.0</v>
      </c>
      <c r="G6" s="3" t="s">
        <v>36</v>
      </c>
      <c r="I6" s="7">
        <v>11.0</v>
      </c>
      <c r="J6" s="7">
        <v>10.0</v>
      </c>
      <c r="K6" s="3" t="b">
        <v>1</v>
      </c>
      <c r="L6" s="3" t="s">
        <v>37</v>
      </c>
      <c r="M6" s="7">
        <v>2167.0</v>
      </c>
      <c r="N6" s="3" t="s">
        <v>38</v>
      </c>
      <c r="O6" s="7">
        <v>6.0</v>
      </c>
      <c r="P6" s="7">
        <v>10.0</v>
      </c>
      <c r="S6" s="4" t="str">
        <f t="shared" si="1"/>
        <v>2013</v>
      </c>
      <c r="U6" s="6"/>
    </row>
    <row r="7">
      <c r="A7" s="3">
        <v>22992.0</v>
      </c>
      <c r="B7" s="3" t="b">
        <v>0</v>
      </c>
      <c r="C7" s="3" t="s">
        <v>39</v>
      </c>
      <c r="G7" s="3" t="s">
        <v>40</v>
      </c>
      <c r="K7" s="3" t="b">
        <v>0</v>
      </c>
      <c r="L7" s="3" t="s">
        <v>41</v>
      </c>
      <c r="N7" s="3" t="s">
        <v>42</v>
      </c>
      <c r="S7" s="4" t="str">
        <f t="shared" si="1"/>
        <v>2013</v>
      </c>
    </row>
    <row r="8">
      <c r="A8" s="3">
        <v>20292.0</v>
      </c>
      <c r="B8" s="3" t="b">
        <v>0</v>
      </c>
      <c r="C8" s="3" t="s">
        <v>27</v>
      </c>
      <c r="D8" s="7">
        <v>63.0</v>
      </c>
      <c r="E8" s="7">
        <v>20.0</v>
      </c>
      <c r="F8" s="7">
        <v>201.0</v>
      </c>
      <c r="G8" s="3" t="s">
        <v>43</v>
      </c>
      <c r="I8" s="7">
        <v>20.0</v>
      </c>
      <c r="J8" s="7">
        <v>26.0</v>
      </c>
      <c r="K8" s="3" t="b">
        <v>1</v>
      </c>
      <c r="L8" s="3" t="s">
        <v>44</v>
      </c>
      <c r="M8" s="7">
        <v>2106.0</v>
      </c>
      <c r="N8" s="3" t="s">
        <v>45</v>
      </c>
      <c r="O8" s="7">
        <v>8.0</v>
      </c>
      <c r="P8" s="7">
        <v>40.0</v>
      </c>
      <c r="S8" s="4" t="str">
        <f t="shared" si="1"/>
        <v>2013</v>
      </c>
    </row>
    <row r="9">
      <c r="A9" s="3">
        <v>14754.0</v>
      </c>
      <c r="B9" s="3" t="b">
        <v>0</v>
      </c>
      <c r="C9" s="3" t="s">
        <v>46</v>
      </c>
      <c r="G9" s="3" t="s">
        <v>47</v>
      </c>
      <c r="K9" s="3" t="b">
        <v>0</v>
      </c>
      <c r="L9" s="3" t="s">
        <v>48</v>
      </c>
      <c r="N9" s="3" t="s">
        <v>49</v>
      </c>
      <c r="S9" s="4" t="str">
        <f t="shared" si="1"/>
        <v>2013</v>
      </c>
    </row>
    <row r="10">
      <c r="A10" s="3">
        <v>12503.0</v>
      </c>
      <c r="B10" s="3" t="b">
        <v>0</v>
      </c>
      <c r="C10" s="3" t="s">
        <v>50</v>
      </c>
      <c r="G10" s="3" t="s">
        <v>51</v>
      </c>
      <c r="K10" s="3" t="b">
        <v>0</v>
      </c>
      <c r="L10" s="3" t="s">
        <v>52</v>
      </c>
      <c r="N10" s="3" t="s">
        <v>53</v>
      </c>
      <c r="S10" s="4" t="str">
        <f t="shared" si="1"/>
        <v>2013</v>
      </c>
    </row>
    <row r="11">
      <c r="A11" s="3">
        <v>11429.0</v>
      </c>
      <c r="B11" s="3" t="b">
        <v>0</v>
      </c>
      <c r="C11" s="3" t="s">
        <v>54</v>
      </c>
      <c r="D11" s="3">
        <v>30.0</v>
      </c>
      <c r="E11" s="3">
        <v>3.0</v>
      </c>
      <c r="F11" s="3">
        <v>36.0</v>
      </c>
      <c r="G11" s="3" t="s">
        <v>55</v>
      </c>
      <c r="I11" s="7">
        <v>5.0</v>
      </c>
      <c r="J11" s="3">
        <v>5.0</v>
      </c>
      <c r="K11" s="3" t="b">
        <v>1</v>
      </c>
      <c r="L11" s="3" t="s">
        <v>56</v>
      </c>
      <c r="M11" s="3">
        <v>898.0</v>
      </c>
      <c r="N11" s="3" t="s">
        <v>57</v>
      </c>
      <c r="S11" s="4" t="str">
        <f t="shared" si="1"/>
        <v>2013</v>
      </c>
    </row>
    <row r="12">
      <c r="A12" s="3">
        <v>8073.0</v>
      </c>
      <c r="B12" s="3" t="b">
        <v>0</v>
      </c>
      <c r="C12" s="3" t="s">
        <v>58</v>
      </c>
      <c r="D12" s="3">
        <v>12.0</v>
      </c>
      <c r="E12" s="3">
        <v>3.0</v>
      </c>
      <c r="F12" s="3">
        <v>30.0</v>
      </c>
      <c r="G12" s="3" t="s">
        <v>59</v>
      </c>
      <c r="J12" s="3">
        <v>6.0</v>
      </c>
      <c r="K12" s="3" t="b">
        <v>1</v>
      </c>
      <c r="L12" s="3" t="s">
        <v>60</v>
      </c>
      <c r="M12" s="3">
        <v>342.0</v>
      </c>
      <c r="N12" s="3" t="s">
        <v>61</v>
      </c>
      <c r="O12" s="3">
        <v>10.0</v>
      </c>
      <c r="P12" s="3">
        <v>201.0</v>
      </c>
      <c r="S12" s="4" t="str">
        <f t="shared" si="1"/>
        <v>2013</v>
      </c>
    </row>
    <row r="13">
      <c r="A13" s="3">
        <v>7055.0</v>
      </c>
      <c r="B13" s="3" t="b">
        <v>0</v>
      </c>
      <c r="C13" s="3" t="s">
        <v>62</v>
      </c>
      <c r="D13" s="3">
        <v>56.0</v>
      </c>
      <c r="E13" s="3">
        <v>24.0</v>
      </c>
      <c r="F13" s="3">
        <v>183.0</v>
      </c>
      <c r="G13" s="3" t="s">
        <v>63</v>
      </c>
      <c r="I13" s="3">
        <v>9.0</v>
      </c>
      <c r="J13" s="3">
        <v>12.0</v>
      </c>
      <c r="K13" s="3" t="b">
        <v>1</v>
      </c>
      <c r="L13" s="3" t="s">
        <v>64</v>
      </c>
      <c r="M13" s="3">
        <v>2147.0</v>
      </c>
      <c r="N13" s="3" t="s">
        <v>65</v>
      </c>
      <c r="O13" s="3">
        <v>9.0</v>
      </c>
      <c r="P13" s="3">
        <v>149.0</v>
      </c>
      <c r="S13" s="4" t="str">
        <f t="shared" si="1"/>
        <v>2013</v>
      </c>
    </row>
    <row r="14">
      <c r="A14" s="3">
        <v>6965.0</v>
      </c>
      <c r="B14" s="3" t="b">
        <v>0</v>
      </c>
      <c r="C14" s="3" t="s">
        <v>54</v>
      </c>
      <c r="D14" s="3">
        <v>53.0</v>
      </c>
      <c r="E14" s="3">
        <v>22.0</v>
      </c>
      <c r="F14" s="3">
        <v>131.0</v>
      </c>
      <c r="G14" s="3" t="s">
        <v>66</v>
      </c>
      <c r="I14" s="3">
        <v>6.0</v>
      </c>
      <c r="J14" s="3">
        <v>6.0</v>
      </c>
      <c r="K14" s="3" t="b">
        <v>1</v>
      </c>
      <c r="L14" s="3" t="s">
        <v>67</v>
      </c>
      <c r="M14" s="3">
        <v>1811.0</v>
      </c>
      <c r="N14" s="3" t="s">
        <v>68</v>
      </c>
      <c r="S14" s="4" t="str">
        <f t="shared" si="1"/>
        <v>2013</v>
      </c>
    </row>
    <row r="15">
      <c r="A15" s="3">
        <v>4346.0</v>
      </c>
      <c r="B15" s="3" t="b">
        <v>0</v>
      </c>
      <c r="C15" s="3" t="s">
        <v>69</v>
      </c>
      <c r="D15" s="3">
        <v>29.0</v>
      </c>
      <c r="E15" s="3">
        <v>1.0</v>
      </c>
      <c r="F15" s="3">
        <v>34.0</v>
      </c>
      <c r="G15" s="3" t="s">
        <v>70</v>
      </c>
      <c r="I15" s="3">
        <v>1.0</v>
      </c>
      <c r="J15" s="3">
        <v>4.0</v>
      </c>
      <c r="K15" s="3" t="b">
        <v>1</v>
      </c>
      <c r="L15" s="3" t="s">
        <v>71</v>
      </c>
      <c r="M15" s="3">
        <v>847.0</v>
      </c>
      <c r="N15" s="3" t="s">
        <v>72</v>
      </c>
      <c r="S15" s="4" t="str">
        <f t="shared" si="1"/>
        <v>2013</v>
      </c>
    </row>
    <row r="16">
      <c r="A16" s="3">
        <v>4346.0</v>
      </c>
      <c r="B16" s="3" t="b">
        <v>0</v>
      </c>
      <c r="C16" s="3" t="s">
        <v>35</v>
      </c>
      <c r="D16" s="3">
        <v>29.0</v>
      </c>
      <c r="E16" s="3">
        <v>1.0</v>
      </c>
      <c r="F16" s="3">
        <v>34.0</v>
      </c>
      <c r="G16" s="3" t="s">
        <v>70</v>
      </c>
      <c r="I16" s="3">
        <v>1.0</v>
      </c>
      <c r="J16" s="3">
        <v>4.0</v>
      </c>
      <c r="K16" s="3" t="b">
        <v>1</v>
      </c>
      <c r="L16" s="3" t="s">
        <v>71</v>
      </c>
      <c r="M16" s="3">
        <v>847.0</v>
      </c>
      <c r="N16" s="3" t="s">
        <v>72</v>
      </c>
      <c r="S16" s="4" t="str">
        <f t="shared" si="1"/>
        <v>2013</v>
      </c>
    </row>
    <row r="17">
      <c r="A17" s="3">
        <v>3505.0</v>
      </c>
      <c r="B17" s="3" t="b">
        <v>0</v>
      </c>
      <c r="C17" s="3" t="s">
        <v>73</v>
      </c>
      <c r="D17" s="3">
        <v>8.0</v>
      </c>
      <c r="F17" s="3">
        <v>5.0</v>
      </c>
      <c r="G17" s="3" t="s">
        <v>74</v>
      </c>
      <c r="J17" s="3">
        <v>6.0</v>
      </c>
      <c r="K17" s="3" t="b">
        <v>1</v>
      </c>
      <c r="L17" s="3" t="s">
        <v>75</v>
      </c>
      <c r="M17" s="3">
        <v>188.0</v>
      </c>
      <c r="N17" s="3" t="s">
        <v>76</v>
      </c>
      <c r="P17" s="3">
        <v>1.0</v>
      </c>
      <c r="S17" s="4" t="str">
        <f t="shared" si="1"/>
        <v>2013</v>
      </c>
    </row>
    <row r="18">
      <c r="A18" s="3">
        <v>3166.0</v>
      </c>
      <c r="B18" s="3" t="b">
        <v>0</v>
      </c>
      <c r="C18" s="3" t="s">
        <v>27</v>
      </c>
      <c r="D18" s="3">
        <v>36.0</v>
      </c>
      <c r="E18" s="3">
        <v>5.0</v>
      </c>
      <c r="F18" s="3">
        <v>62.0</v>
      </c>
      <c r="G18" s="3" t="s">
        <v>77</v>
      </c>
      <c r="I18" s="7">
        <v>5.0</v>
      </c>
      <c r="J18" s="3">
        <v>2.0</v>
      </c>
      <c r="K18" s="3" t="b">
        <v>1</v>
      </c>
      <c r="L18" s="3" t="s">
        <v>78</v>
      </c>
      <c r="M18" s="3">
        <v>726.0</v>
      </c>
      <c r="N18" s="3" t="s">
        <v>79</v>
      </c>
      <c r="P18" s="3">
        <v>1.0</v>
      </c>
      <c r="S18" s="4" t="str">
        <f t="shared" si="1"/>
        <v>2013</v>
      </c>
    </row>
    <row r="19">
      <c r="A19" s="3">
        <v>3111.0</v>
      </c>
      <c r="B19" s="3" t="b">
        <v>0</v>
      </c>
      <c r="C19" s="3" t="s">
        <v>80</v>
      </c>
      <c r="D19" s="3">
        <v>8.0</v>
      </c>
      <c r="E19" s="3">
        <v>5.0</v>
      </c>
      <c r="F19" s="3">
        <v>3.0</v>
      </c>
      <c r="G19" s="3" t="s">
        <v>81</v>
      </c>
      <c r="K19" s="3" t="b">
        <v>1</v>
      </c>
      <c r="L19" s="3" t="s">
        <v>82</v>
      </c>
      <c r="M19" s="3">
        <v>231.0</v>
      </c>
      <c r="N19" s="3" t="s">
        <v>83</v>
      </c>
      <c r="S19" s="4" t="str">
        <f t="shared" si="1"/>
        <v>2013</v>
      </c>
    </row>
    <row r="20">
      <c r="A20" s="3">
        <v>2781.0</v>
      </c>
      <c r="B20" s="3" t="b">
        <v>0</v>
      </c>
      <c r="C20" s="3" t="s">
        <v>62</v>
      </c>
      <c r="D20" s="3">
        <v>33.0</v>
      </c>
      <c r="E20" s="3">
        <v>25.0</v>
      </c>
      <c r="F20" s="3">
        <v>73.0</v>
      </c>
      <c r="G20" s="3" t="s">
        <v>84</v>
      </c>
      <c r="I20" s="3">
        <v>25.0</v>
      </c>
      <c r="J20" s="3">
        <v>5.0</v>
      </c>
      <c r="K20" s="3" t="b">
        <v>1</v>
      </c>
      <c r="L20" s="3" t="s">
        <v>85</v>
      </c>
      <c r="M20" s="3">
        <v>911.0</v>
      </c>
      <c r="N20" s="3" t="s">
        <v>86</v>
      </c>
      <c r="S20" s="4" t="str">
        <f t="shared" si="1"/>
        <v>2013</v>
      </c>
    </row>
    <row r="21">
      <c r="A21" s="3">
        <v>2462.0</v>
      </c>
      <c r="B21" s="3" t="b">
        <v>0</v>
      </c>
      <c r="C21" s="3" t="s">
        <v>87</v>
      </c>
      <c r="D21" s="3">
        <v>33.0</v>
      </c>
      <c r="E21" s="3">
        <v>28.0</v>
      </c>
      <c r="F21" s="3">
        <v>95.0</v>
      </c>
      <c r="G21" s="3" t="s">
        <v>88</v>
      </c>
      <c r="I21" s="3">
        <v>20.0</v>
      </c>
      <c r="J21" s="3">
        <v>5.0</v>
      </c>
      <c r="K21" s="3" t="b">
        <v>1</v>
      </c>
      <c r="L21" s="3" t="s">
        <v>89</v>
      </c>
      <c r="M21" s="3">
        <v>1484.0</v>
      </c>
      <c r="N21" s="3" t="s">
        <v>90</v>
      </c>
      <c r="P21" s="7">
        <v>7.0</v>
      </c>
      <c r="S21" s="4" t="str">
        <f t="shared" si="1"/>
        <v>2013</v>
      </c>
    </row>
    <row r="22">
      <c r="A22" s="3">
        <v>2236.0</v>
      </c>
      <c r="B22" s="3" t="b">
        <v>0</v>
      </c>
      <c r="C22" s="3" t="s">
        <v>62</v>
      </c>
      <c r="G22" s="3" t="s">
        <v>91</v>
      </c>
      <c r="K22" s="3" t="b">
        <v>0</v>
      </c>
      <c r="L22" s="3" t="s">
        <v>92</v>
      </c>
      <c r="N22" s="3" t="s">
        <v>93</v>
      </c>
      <c r="S22" s="4" t="str">
        <f t="shared" si="1"/>
        <v>2013</v>
      </c>
    </row>
    <row r="23">
      <c r="A23" s="3">
        <v>2060.0</v>
      </c>
      <c r="B23" s="3" t="b">
        <v>0</v>
      </c>
      <c r="C23" s="3" t="s">
        <v>94</v>
      </c>
      <c r="G23" s="3" t="s">
        <v>40</v>
      </c>
      <c r="K23" s="3" t="b">
        <v>0</v>
      </c>
      <c r="L23" s="3" t="s">
        <v>95</v>
      </c>
      <c r="N23" s="3" t="s">
        <v>96</v>
      </c>
      <c r="S23" s="4" t="str">
        <f t="shared" si="1"/>
        <v>2013</v>
      </c>
    </row>
    <row r="24">
      <c r="A24" s="3">
        <v>1984.0</v>
      </c>
      <c r="B24" s="3" t="b">
        <v>0</v>
      </c>
      <c r="C24" s="3" t="s">
        <v>97</v>
      </c>
      <c r="G24" s="3" t="s">
        <v>98</v>
      </c>
      <c r="K24" s="3" t="b">
        <v>0</v>
      </c>
      <c r="L24" s="3" t="s">
        <v>99</v>
      </c>
      <c r="N24" s="3" t="s">
        <v>100</v>
      </c>
      <c r="S24" s="4" t="str">
        <f t="shared" si="1"/>
        <v>2013</v>
      </c>
    </row>
    <row r="25">
      <c r="A25" s="3">
        <v>1708.0</v>
      </c>
      <c r="B25" s="3" t="b">
        <v>0</v>
      </c>
      <c r="C25" s="3" t="s">
        <v>101</v>
      </c>
      <c r="D25" s="7">
        <v>2.0</v>
      </c>
      <c r="G25" s="3" t="s">
        <v>102</v>
      </c>
      <c r="J25" s="7">
        <v>1.0</v>
      </c>
      <c r="K25" s="3" t="b">
        <v>1</v>
      </c>
      <c r="L25" s="3" t="s">
        <v>103</v>
      </c>
      <c r="M25" s="7">
        <v>112.0</v>
      </c>
      <c r="N25" s="3" t="s">
        <v>104</v>
      </c>
      <c r="S25" s="4" t="str">
        <f t="shared" si="1"/>
        <v>2013</v>
      </c>
    </row>
    <row r="26">
      <c r="A26" s="3">
        <v>1383.0</v>
      </c>
      <c r="B26" s="3" t="b">
        <v>0</v>
      </c>
      <c r="C26" s="3" t="s">
        <v>27</v>
      </c>
      <c r="G26" s="3" t="s">
        <v>105</v>
      </c>
      <c r="K26" s="3" t="b">
        <v>0</v>
      </c>
      <c r="L26" s="3" t="s">
        <v>106</v>
      </c>
      <c r="N26" s="3" t="s">
        <v>107</v>
      </c>
      <c r="S26" s="4" t="str">
        <f t="shared" si="1"/>
        <v>2013</v>
      </c>
    </row>
    <row r="27">
      <c r="A27" s="3">
        <v>1271.0</v>
      </c>
      <c r="B27" s="3" t="b">
        <v>0</v>
      </c>
      <c r="C27" s="3" t="s">
        <v>62</v>
      </c>
      <c r="D27" s="7">
        <v>54.0</v>
      </c>
      <c r="E27" s="7">
        <v>27.0</v>
      </c>
      <c r="F27" s="7">
        <v>42.0</v>
      </c>
      <c r="G27" s="3" t="s">
        <v>108</v>
      </c>
      <c r="I27" s="7">
        <v>27.0</v>
      </c>
      <c r="J27" s="7">
        <v>6.0</v>
      </c>
      <c r="K27" s="3" t="b">
        <v>1</v>
      </c>
      <c r="L27" s="3" t="s">
        <v>109</v>
      </c>
      <c r="M27" s="7">
        <v>1217.0</v>
      </c>
      <c r="N27" s="3" t="s">
        <v>110</v>
      </c>
      <c r="S27" s="4" t="str">
        <f t="shared" si="1"/>
        <v>2013</v>
      </c>
    </row>
    <row r="28">
      <c r="A28" s="3">
        <v>1070.0</v>
      </c>
      <c r="B28" s="3" t="b">
        <v>0</v>
      </c>
      <c r="C28" s="3" t="s">
        <v>19</v>
      </c>
      <c r="G28" s="3" t="s">
        <v>111</v>
      </c>
      <c r="K28" s="3" t="b">
        <v>0</v>
      </c>
      <c r="L28" s="3" t="s">
        <v>112</v>
      </c>
      <c r="N28" s="3" t="s">
        <v>113</v>
      </c>
      <c r="S28" s="4" t="str">
        <f t="shared" si="1"/>
        <v>2013</v>
      </c>
    </row>
    <row r="29">
      <c r="A29" s="3">
        <v>917.0</v>
      </c>
      <c r="B29" s="3" t="b">
        <v>0</v>
      </c>
      <c r="C29" s="3" t="s">
        <v>114</v>
      </c>
      <c r="G29" s="3" t="s">
        <v>115</v>
      </c>
      <c r="K29" s="3" t="b">
        <v>0</v>
      </c>
      <c r="L29" s="3" t="s">
        <v>116</v>
      </c>
      <c r="N29" s="3" t="s">
        <v>117</v>
      </c>
      <c r="S29" s="4" t="str">
        <f t="shared" si="1"/>
        <v>2013</v>
      </c>
    </row>
    <row r="30">
      <c r="A30" s="3">
        <v>794.0</v>
      </c>
      <c r="B30" s="3" t="b">
        <v>0</v>
      </c>
      <c r="C30" s="3" t="s">
        <v>69</v>
      </c>
      <c r="G30" s="3" t="s">
        <v>118</v>
      </c>
      <c r="K30" s="3" t="b">
        <v>0</v>
      </c>
      <c r="L30" s="3" t="s">
        <v>119</v>
      </c>
      <c r="N30" s="3" t="s">
        <v>120</v>
      </c>
      <c r="S30" s="4" t="str">
        <f t="shared" si="1"/>
        <v>2013</v>
      </c>
    </row>
    <row r="31">
      <c r="A31" s="3">
        <v>712.0</v>
      </c>
      <c r="B31" s="3" t="b">
        <v>0</v>
      </c>
      <c r="C31" s="3" t="s">
        <v>69</v>
      </c>
      <c r="D31" s="7">
        <v>20.0</v>
      </c>
      <c r="E31" s="7">
        <v>20.0</v>
      </c>
      <c r="F31" s="7">
        <v>37.0</v>
      </c>
      <c r="G31" s="3" t="s">
        <v>121</v>
      </c>
      <c r="I31" s="7">
        <v>20.0</v>
      </c>
      <c r="J31" s="7">
        <v>5.0</v>
      </c>
      <c r="K31" s="3" t="b">
        <v>1</v>
      </c>
      <c r="L31" s="3" t="s">
        <v>122</v>
      </c>
      <c r="M31" s="7">
        <v>502.0</v>
      </c>
      <c r="N31" s="3" t="s">
        <v>123</v>
      </c>
      <c r="S31" s="4" t="str">
        <f t="shared" si="1"/>
        <v>2013</v>
      </c>
    </row>
    <row r="32">
      <c r="A32" s="3">
        <v>712.0</v>
      </c>
      <c r="B32" s="3" t="b">
        <v>0</v>
      </c>
      <c r="C32" s="3" t="s">
        <v>23</v>
      </c>
      <c r="G32" s="3" t="s">
        <v>124</v>
      </c>
      <c r="K32" s="3" t="b">
        <v>0</v>
      </c>
      <c r="L32" s="3" t="s">
        <v>125</v>
      </c>
      <c r="N32" s="3" t="s">
        <v>126</v>
      </c>
      <c r="S32" s="4" t="str">
        <f t="shared" si="1"/>
        <v>2013</v>
      </c>
    </row>
    <row r="33">
      <c r="A33" s="3">
        <v>612.0</v>
      </c>
      <c r="B33" s="3" t="b">
        <v>0</v>
      </c>
      <c r="C33" s="3" t="s">
        <v>69</v>
      </c>
      <c r="G33" s="3" t="s">
        <v>127</v>
      </c>
      <c r="K33" s="3" t="b">
        <v>0</v>
      </c>
      <c r="L33" s="3" t="s">
        <v>128</v>
      </c>
      <c r="N33" s="3" t="s">
        <v>129</v>
      </c>
      <c r="S33" s="4" t="str">
        <f t="shared" si="1"/>
        <v>2013</v>
      </c>
    </row>
    <row r="34">
      <c r="A34" s="3">
        <v>572.0</v>
      </c>
      <c r="B34" s="3" t="b">
        <v>0</v>
      </c>
      <c r="C34" s="3" t="s">
        <v>130</v>
      </c>
      <c r="G34" s="3" t="s">
        <v>131</v>
      </c>
      <c r="K34" s="3" t="b">
        <v>0</v>
      </c>
      <c r="L34" s="3" t="s">
        <v>132</v>
      </c>
      <c r="N34" s="3" t="s">
        <v>133</v>
      </c>
      <c r="S34" s="4" t="str">
        <f t="shared" si="1"/>
        <v>2013</v>
      </c>
    </row>
    <row r="35">
      <c r="A35" s="3">
        <v>534.0</v>
      </c>
      <c r="B35" s="3" t="b">
        <v>0</v>
      </c>
      <c r="C35" s="3" t="s">
        <v>134</v>
      </c>
      <c r="D35" s="7">
        <v>29.0</v>
      </c>
      <c r="E35" s="7">
        <v>29.0</v>
      </c>
      <c r="F35" s="7">
        <v>29.0</v>
      </c>
      <c r="G35" s="3" t="s">
        <v>135</v>
      </c>
      <c r="I35" s="7">
        <v>29.0</v>
      </c>
      <c r="K35" s="3" t="b">
        <v>1</v>
      </c>
      <c r="L35" s="3" t="s">
        <v>136</v>
      </c>
      <c r="M35" s="7">
        <v>282.0</v>
      </c>
      <c r="N35" s="3" t="s">
        <v>137</v>
      </c>
      <c r="O35" s="7">
        <v>1.0</v>
      </c>
      <c r="P35" s="7">
        <v>0.0</v>
      </c>
      <c r="S35" s="4" t="str">
        <f t="shared" si="1"/>
        <v>2013</v>
      </c>
    </row>
    <row r="36">
      <c r="A36" s="3">
        <v>513.0</v>
      </c>
      <c r="B36" s="3" t="b">
        <v>0</v>
      </c>
      <c r="C36" s="3" t="s">
        <v>138</v>
      </c>
      <c r="G36" s="3" t="s">
        <v>139</v>
      </c>
      <c r="K36" s="3" t="b">
        <v>0</v>
      </c>
      <c r="L36" s="3" t="s">
        <v>140</v>
      </c>
      <c r="N36" s="3" t="s">
        <v>141</v>
      </c>
      <c r="S36" s="4" t="str">
        <f t="shared" si="1"/>
        <v>2013</v>
      </c>
    </row>
    <row r="37">
      <c r="A37" s="3">
        <v>510.0</v>
      </c>
      <c r="B37" s="3" t="b">
        <v>0</v>
      </c>
      <c r="C37" s="3" t="s">
        <v>27</v>
      </c>
      <c r="G37" s="3" t="s">
        <v>142</v>
      </c>
      <c r="K37" s="3" t="b">
        <v>0</v>
      </c>
      <c r="L37" s="3" t="s">
        <v>143</v>
      </c>
      <c r="N37" s="3" t="s">
        <v>144</v>
      </c>
      <c r="S37" s="4" t="str">
        <f t="shared" si="1"/>
        <v>2013</v>
      </c>
    </row>
    <row r="38">
      <c r="A38" s="3">
        <v>502.0</v>
      </c>
      <c r="B38" s="3" t="b">
        <v>0</v>
      </c>
      <c r="C38" s="3" t="s">
        <v>145</v>
      </c>
      <c r="G38" s="3" t="s">
        <v>146</v>
      </c>
      <c r="K38" s="3" t="b">
        <v>0</v>
      </c>
      <c r="L38" s="3" t="s">
        <v>147</v>
      </c>
      <c r="N38" s="3" t="s">
        <v>148</v>
      </c>
      <c r="S38" s="4" t="str">
        <f t="shared" si="1"/>
        <v>2013</v>
      </c>
    </row>
    <row r="39">
      <c r="A39" s="3">
        <v>500.0</v>
      </c>
      <c r="B39" s="3" t="b">
        <v>0</v>
      </c>
      <c r="C39" s="3" t="s">
        <v>149</v>
      </c>
      <c r="G39" s="3" t="s">
        <v>150</v>
      </c>
      <c r="K39" s="3" t="b">
        <v>0</v>
      </c>
      <c r="L39" s="3" t="s">
        <v>151</v>
      </c>
      <c r="N39" s="3" t="s">
        <v>152</v>
      </c>
      <c r="S39" s="4" t="str">
        <f t="shared" si="1"/>
        <v>2013</v>
      </c>
    </row>
    <row r="40">
      <c r="A40" s="3">
        <v>492.0</v>
      </c>
      <c r="B40" s="3" t="b">
        <v>0</v>
      </c>
      <c r="C40" s="3" t="s">
        <v>80</v>
      </c>
      <c r="G40" s="3" t="s">
        <v>153</v>
      </c>
      <c r="K40" s="3" t="b">
        <v>0</v>
      </c>
      <c r="L40" s="3" t="s">
        <v>154</v>
      </c>
      <c r="N40" s="3" t="s">
        <v>155</v>
      </c>
      <c r="S40" s="4" t="str">
        <f t="shared" si="1"/>
        <v>2013</v>
      </c>
    </row>
    <row r="41">
      <c r="A41" s="3">
        <v>482.0</v>
      </c>
      <c r="B41" s="3" t="b">
        <v>0</v>
      </c>
      <c r="C41" s="3" t="s">
        <v>156</v>
      </c>
      <c r="G41" s="3" t="s">
        <v>157</v>
      </c>
      <c r="K41" s="3" t="b">
        <v>1</v>
      </c>
      <c r="L41" s="3" t="s">
        <v>158</v>
      </c>
      <c r="N41" s="3" t="s">
        <v>159</v>
      </c>
      <c r="P41" s="7">
        <v>1.0</v>
      </c>
      <c r="S41" s="4" t="str">
        <f t="shared" si="1"/>
        <v>2013</v>
      </c>
    </row>
    <row r="42">
      <c r="A42" s="3">
        <v>413.0</v>
      </c>
      <c r="B42" s="3" t="b">
        <v>0</v>
      </c>
      <c r="C42" s="3" t="s">
        <v>134</v>
      </c>
      <c r="G42" s="3" t="s">
        <v>160</v>
      </c>
      <c r="K42" s="3" t="b">
        <v>0</v>
      </c>
      <c r="L42" s="3" t="s">
        <v>161</v>
      </c>
      <c r="N42" s="3" t="s">
        <v>160</v>
      </c>
      <c r="S42" s="4" t="str">
        <f t="shared" si="1"/>
        <v>2013</v>
      </c>
    </row>
    <row r="43">
      <c r="A43" s="3">
        <v>406.0</v>
      </c>
      <c r="B43" s="3" t="b">
        <v>0</v>
      </c>
      <c r="C43" s="3" t="s">
        <v>162</v>
      </c>
      <c r="D43" s="7">
        <v>25.0</v>
      </c>
      <c r="E43" s="7">
        <v>25.0</v>
      </c>
      <c r="F43" s="3">
        <v>25.0</v>
      </c>
      <c r="G43" s="3" t="s">
        <v>163</v>
      </c>
      <c r="J43" s="7">
        <v>2.0</v>
      </c>
      <c r="K43" s="3" t="b">
        <v>1</v>
      </c>
      <c r="L43" s="3" t="s">
        <v>164</v>
      </c>
      <c r="M43" s="3">
        <v>476.0</v>
      </c>
      <c r="N43" s="3" t="s">
        <v>165</v>
      </c>
      <c r="P43" s="7">
        <v>0.0</v>
      </c>
      <c r="R43" s="7">
        <v>0.0</v>
      </c>
      <c r="S43" s="4" t="str">
        <f t="shared" si="1"/>
        <v>2013</v>
      </c>
    </row>
    <row r="44">
      <c r="A44" s="3">
        <v>376.0</v>
      </c>
      <c r="B44" s="3" t="b">
        <v>0</v>
      </c>
      <c r="C44" s="3" t="s">
        <v>166</v>
      </c>
      <c r="F44" s="3">
        <v>1.0</v>
      </c>
      <c r="G44" s="3" t="s">
        <v>167</v>
      </c>
      <c r="K44" s="3" t="b">
        <v>1</v>
      </c>
      <c r="L44" s="3" t="s">
        <v>168</v>
      </c>
      <c r="M44" s="3">
        <v>4.0</v>
      </c>
      <c r="N44" s="3" t="s">
        <v>169</v>
      </c>
      <c r="S44" s="4" t="str">
        <f t="shared" si="1"/>
        <v>2013</v>
      </c>
    </row>
    <row r="45">
      <c r="A45" s="3">
        <v>354.0</v>
      </c>
      <c r="B45" s="3" t="b">
        <v>0</v>
      </c>
      <c r="C45" s="3" t="s">
        <v>170</v>
      </c>
      <c r="G45" s="3" t="s">
        <v>171</v>
      </c>
      <c r="K45" s="3" t="b">
        <v>0</v>
      </c>
      <c r="L45" s="3" t="s">
        <v>172</v>
      </c>
      <c r="N45" s="3" t="s">
        <v>173</v>
      </c>
      <c r="S45" s="4" t="str">
        <f t="shared" si="1"/>
        <v>2013</v>
      </c>
    </row>
    <row r="46">
      <c r="A46" s="3">
        <v>311.0</v>
      </c>
      <c r="B46" s="3" t="b">
        <v>0</v>
      </c>
      <c r="C46" s="3" t="s">
        <v>27</v>
      </c>
      <c r="G46" s="3" t="s">
        <v>174</v>
      </c>
      <c r="K46" s="3" t="b">
        <v>0</v>
      </c>
      <c r="L46" s="3" t="s">
        <v>175</v>
      </c>
      <c r="N46" s="3" t="s">
        <v>176</v>
      </c>
      <c r="S46" s="4" t="str">
        <f t="shared" si="1"/>
        <v>2013</v>
      </c>
    </row>
    <row r="47">
      <c r="A47" s="3">
        <v>305.0</v>
      </c>
      <c r="B47" s="3" t="b">
        <v>0</v>
      </c>
      <c r="C47" s="3" t="s">
        <v>87</v>
      </c>
      <c r="D47" s="7">
        <v>4.0</v>
      </c>
      <c r="E47" s="7">
        <v>1.0</v>
      </c>
      <c r="F47" s="7">
        <v>15.0</v>
      </c>
      <c r="G47" s="3" t="s">
        <v>177</v>
      </c>
      <c r="I47" s="7">
        <v>1.0</v>
      </c>
      <c r="K47" s="3" t="b">
        <v>1</v>
      </c>
      <c r="L47" s="3" t="s">
        <v>78</v>
      </c>
      <c r="M47" s="7">
        <v>259.0</v>
      </c>
      <c r="N47" s="3" t="s">
        <v>178</v>
      </c>
      <c r="P47" s="7">
        <v>4.0</v>
      </c>
      <c r="S47" s="4" t="str">
        <f t="shared" si="1"/>
        <v>2013</v>
      </c>
    </row>
    <row r="48">
      <c r="A48" s="3">
        <v>303.0</v>
      </c>
      <c r="B48" s="3" t="b">
        <v>0</v>
      </c>
      <c r="C48" s="3" t="s">
        <v>179</v>
      </c>
      <c r="G48" s="3" t="s">
        <v>180</v>
      </c>
      <c r="K48" s="3" t="b">
        <v>0</v>
      </c>
      <c r="L48" s="3" t="s">
        <v>181</v>
      </c>
      <c r="N48" s="3" t="s">
        <v>182</v>
      </c>
      <c r="S48" s="4" t="str">
        <f t="shared" si="1"/>
        <v>2013</v>
      </c>
    </row>
    <row r="49">
      <c r="A49" s="3">
        <v>298.0</v>
      </c>
      <c r="B49" s="3" t="b">
        <v>0</v>
      </c>
      <c r="C49" s="3" t="s">
        <v>87</v>
      </c>
      <c r="D49" s="7">
        <v>3.0</v>
      </c>
      <c r="E49" s="7">
        <v>3.0</v>
      </c>
      <c r="F49" s="7">
        <v>26.0</v>
      </c>
      <c r="G49" s="3" t="s">
        <v>183</v>
      </c>
      <c r="I49" s="7">
        <v>2.0</v>
      </c>
      <c r="K49" s="3" t="b">
        <v>1</v>
      </c>
      <c r="L49" s="3" t="s">
        <v>184</v>
      </c>
      <c r="N49" s="3" t="s">
        <v>185</v>
      </c>
      <c r="P49" s="7">
        <v>9.0</v>
      </c>
      <c r="S49" s="4" t="str">
        <f t="shared" si="1"/>
        <v>2013</v>
      </c>
    </row>
    <row r="50">
      <c r="A50" s="3">
        <v>296.0</v>
      </c>
      <c r="B50" s="3" t="b">
        <v>0</v>
      </c>
      <c r="C50" s="3" t="s">
        <v>186</v>
      </c>
      <c r="G50" s="3" t="s">
        <v>187</v>
      </c>
      <c r="K50" s="3" t="b">
        <v>0</v>
      </c>
      <c r="L50" s="3" t="s">
        <v>188</v>
      </c>
      <c r="N50" s="3" t="s">
        <v>189</v>
      </c>
      <c r="S50" s="4" t="str">
        <f t="shared" si="1"/>
        <v>2013</v>
      </c>
    </row>
    <row r="51">
      <c r="A51" s="3">
        <v>274.0</v>
      </c>
      <c r="B51" s="3" t="b">
        <v>0</v>
      </c>
      <c r="C51" s="3" t="s">
        <v>80</v>
      </c>
      <c r="G51" s="3" t="s">
        <v>190</v>
      </c>
      <c r="K51" s="3" t="b">
        <v>0</v>
      </c>
      <c r="L51" s="3" t="s">
        <v>191</v>
      </c>
      <c r="N51" s="3" t="s">
        <v>192</v>
      </c>
      <c r="S51" s="4" t="str">
        <f t="shared" si="1"/>
        <v>2013</v>
      </c>
    </row>
    <row r="52">
      <c r="A52" s="3">
        <v>274.0</v>
      </c>
      <c r="B52" s="3" t="b">
        <v>0</v>
      </c>
      <c r="C52" s="3" t="s">
        <v>156</v>
      </c>
      <c r="G52" s="3" t="s">
        <v>193</v>
      </c>
      <c r="K52" s="3" t="b">
        <v>0</v>
      </c>
      <c r="L52" s="3" t="s">
        <v>194</v>
      </c>
      <c r="N52" s="3" t="s">
        <v>195</v>
      </c>
      <c r="S52" s="4" t="str">
        <f t="shared" si="1"/>
        <v>2013</v>
      </c>
    </row>
    <row r="53">
      <c r="A53" s="3">
        <v>268.0</v>
      </c>
      <c r="B53" s="3" t="b">
        <v>0</v>
      </c>
      <c r="C53" s="3" t="s">
        <v>23</v>
      </c>
      <c r="G53" s="3" t="s">
        <v>196</v>
      </c>
      <c r="K53" s="3" t="b">
        <v>0</v>
      </c>
      <c r="L53" s="3" t="s">
        <v>197</v>
      </c>
      <c r="N53" s="3" t="s">
        <v>198</v>
      </c>
      <c r="S53" s="4" t="str">
        <f t="shared" si="1"/>
        <v>2013</v>
      </c>
    </row>
    <row r="54">
      <c r="A54" s="3">
        <v>263.0</v>
      </c>
      <c r="B54" s="3" t="b">
        <v>0</v>
      </c>
      <c r="C54" s="3" t="s">
        <v>62</v>
      </c>
      <c r="D54" s="7">
        <v>4.0</v>
      </c>
      <c r="F54" s="7">
        <v>15.0</v>
      </c>
      <c r="G54" s="3" t="s">
        <v>199</v>
      </c>
      <c r="I54" s="7">
        <v>1.0</v>
      </c>
      <c r="J54" s="7">
        <v>2.0</v>
      </c>
      <c r="K54" s="3" t="b">
        <v>1</v>
      </c>
      <c r="L54" s="3" t="s">
        <v>200</v>
      </c>
      <c r="M54" s="7">
        <v>294.0</v>
      </c>
      <c r="N54" s="3" t="s">
        <v>201</v>
      </c>
      <c r="R54" s="7">
        <v>176.0</v>
      </c>
      <c r="S54" s="4" t="str">
        <f t="shared" si="1"/>
        <v>2013</v>
      </c>
    </row>
    <row r="55">
      <c r="A55" s="3">
        <v>243.0</v>
      </c>
      <c r="B55" s="3" t="b">
        <v>0</v>
      </c>
      <c r="C55" s="3" t="s">
        <v>134</v>
      </c>
      <c r="G55" s="3" t="s">
        <v>202</v>
      </c>
      <c r="K55" s="3" t="b">
        <v>0</v>
      </c>
      <c r="L55" s="3" t="s">
        <v>203</v>
      </c>
      <c r="N55" s="3" t="s">
        <v>204</v>
      </c>
      <c r="S55" s="4" t="str">
        <f t="shared" si="1"/>
        <v>2013</v>
      </c>
    </row>
    <row r="56">
      <c r="A56" s="3">
        <v>240.0</v>
      </c>
      <c r="B56" s="3" t="b">
        <v>0</v>
      </c>
      <c r="C56" s="3" t="s">
        <v>205</v>
      </c>
      <c r="G56" s="3" t="s">
        <v>206</v>
      </c>
      <c r="K56" s="3" t="b">
        <v>0</v>
      </c>
      <c r="L56" s="3" t="s">
        <v>207</v>
      </c>
      <c r="N56" s="3" t="s">
        <v>208</v>
      </c>
      <c r="S56" s="4" t="str">
        <f t="shared" si="1"/>
        <v>2013</v>
      </c>
    </row>
    <row r="57">
      <c r="A57" s="3">
        <v>237.0</v>
      </c>
      <c r="B57" s="3" t="b">
        <v>0</v>
      </c>
      <c r="C57" s="3" t="s">
        <v>31</v>
      </c>
      <c r="G57" s="3" t="s">
        <v>209</v>
      </c>
      <c r="K57" s="3" t="b">
        <v>0</v>
      </c>
      <c r="L57" s="3" t="s">
        <v>210</v>
      </c>
      <c r="N57" s="3" t="s">
        <v>211</v>
      </c>
      <c r="S57" s="4" t="str">
        <f t="shared" si="1"/>
        <v>2013</v>
      </c>
    </row>
    <row r="58">
      <c r="A58" s="3">
        <v>226.0</v>
      </c>
      <c r="B58" s="3" t="b">
        <v>0</v>
      </c>
      <c r="C58" s="3" t="s">
        <v>212</v>
      </c>
      <c r="G58" s="3" t="s">
        <v>213</v>
      </c>
      <c r="K58" s="3" t="b">
        <v>0</v>
      </c>
      <c r="L58" s="3" t="s">
        <v>214</v>
      </c>
      <c r="N58" s="3" t="s">
        <v>215</v>
      </c>
      <c r="S58" s="4" t="str">
        <f t="shared" si="1"/>
        <v>2013</v>
      </c>
    </row>
    <row r="59">
      <c r="A59" s="3">
        <v>217.0</v>
      </c>
      <c r="B59" s="3" t="b">
        <v>0</v>
      </c>
      <c r="C59" s="3" t="s">
        <v>212</v>
      </c>
      <c r="D59" s="7">
        <v>11.0</v>
      </c>
      <c r="E59" s="7">
        <v>5.0</v>
      </c>
      <c r="F59" s="7">
        <v>6.0</v>
      </c>
      <c r="G59" s="3" t="s">
        <v>216</v>
      </c>
      <c r="I59" s="7">
        <v>5.0</v>
      </c>
      <c r="K59" s="3" t="b">
        <v>1</v>
      </c>
      <c r="L59" s="3" t="s">
        <v>217</v>
      </c>
      <c r="M59" s="7">
        <v>221.0</v>
      </c>
      <c r="N59" s="3" t="s">
        <v>218</v>
      </c>
      <c r="S59" s="4" t="str">
        <f t="shared" si="1"/>
        <v>2013</v>
      </c>
    </row>
    <row r="60">
      <c r="A60" s="3">
        <v>213.0</v>
      </c>
      <c r="B60" s="3" t="b">
        <v>0</v>
      </c>
      <c r="C60" s="3" t="s">
        <v>114</v>
      </c>
      <c r="G60" s="3" t="s">
        <v>219</v>
      </c>
      <c r="K60" s="3" t="b">
        <v>0</v>
      </c>
      <c r="L60" s="3" t="s">
        <v>220</v>
      </c>
      <c r="N60" s="3" t="s">
        <v>221</v>
      </c>
      <c r="S60" s="4" t="str">
        <f t="shared" si="1"/>
        <v>2013</v>
      </c>
    </row>
    <row r="61">
      <c r="A61" s="3">
        <v>200.0</v>
      </c>
      <c r="B61" s="3" t="b">
        <v>0</v>
      </c>
      <c r="C61" s="3" t="s">
        <v>134</v>
      </c>
      <c r="G61" s="3" t="s">
        <v>222</v>
      </c>
      <c r="K61" s="3" t="b">
        <v>0</v>
      </c>
      <c r="L61" s="3" t="s">
        <v>223</v>
      </c>
      <c r="N61" s="3" t="s">
        <v>224</v>
      </c>
      <c r="S61" s="4" t="str">
        <f t="shared" si="1"/>
        <v>2013</v>
      </c>
    </row>
    <row r="62">
      <c r="A62" s="3">
        <v>200.0</v>
      </c>
      <c r="B62" s="3" t="b">
        <v>0</v>
      </c>
      <c r="C62" s="3" t="s">
        <v>54</v>
      </c>
      <c r="G62" s="3" t="s">
        <v>225</v>
      </c>
      <c r="K62" s="3" t="b">
        <v>0</v>
      </c>
      <c r="L62" s="3" t="s">
        <v>226</v>
      </c>
      <c r="N62" s="3" t="s">
        <v>227</v>
      </c>
      <c r="S62" s="4" t="str">
        <f t="shared" si="1"/>
        <v>2013</v>
      </c>
    </row>
    <row r="63">
      <c r="A63" s="3">
        <v>196.0</v>
      </c>
      <c r="B63" s="3" t="b">
        <v>0</v>
      </c>
      <c r="C63" s="3" t="s">
        <v>58</v>
      </c>
      <c r="D63" s="7">
        <v>24.0</v>
      </c>
      <c r="E63" s="7">
        <v>24.0</v>
      </c>
      <c r="F63" s="7">
        <v>31.0</v>
      </c>
      <c r="G63" s="3" t="s">
        <v>228</v>
      </c>
      <c r="I63" s="7">
        <v>24.0</v>
      </c>
      <c r="K63" s="3" t="b">
        <v>1</v>
      </c>
      <c r="L63" s="3" t="s">
        <v>229</v>
      </c>
      <c r="M63" s="7">
        <v>347.0</v>
      </c>
      <c r="N63" s="3" t="s">
        <v>230</v>
      </c>
      <c r="S63" s="4" t="str">
        <f t="shared" si="1"/>
        <v>2013</v>
      </c>
    </row>
    <row r="64">
      <c r="A64" s="3">
        <v>195.0</v>
      </c>
      <c r="B64" s="3" t="b">
        <v>0</v>
      </c>
      <c r="C64" s="3" t="s">
        <v>54</v>
      </c>
      <c r="G64" s="3" t="s">
        <v>231</v>
      </c>
      <c r="K64" s="3" t="b">
        <v>0</v>
      </c>
      <c r="L64" s="3" t="s">
        <v>232</v>
      </c>
      <c r="N64" s="3" t="s">
        <v>233</v>
      </c>
      <c r="S64" s="4" t="str">
        <f t="shared" si="1"/>
        <v>2013</v>
      </c>
    </row>
    <row r="65">
      <c r="A65" s="3">
        <v>190.0</v>
      </c>
      <c r="B65" s="3" t="b">
        <v>0</v>
      </c>
      <c r="C65" s="3" t="s">
        <v>166</v>
      </c>
      <c r="D65" s="7">
        <v>6.0</v>
      </c>
      <c r="F65" s="7">
        <v>15.0</v>
      </c>
      <c r="G65" s="3" t="s">
        <v>234</v>
      </c>
      <c r="K65" s="3" t="b">
        <v>1</v>
      </c>
      <c r="L65" s="3" t="s">
        <v>235</v>
      </c>
      <c r="M65" s="7">
        <v>150.0</v>
      </c>
      <c r="N65" s="3" t="s">
        <v>236</v>
      </c>
      <c r="P65" s="7">
        <v>1.0</v>
      </c>
      <c r="S65" s="4" t="str">
        <f t="shared" si="1"/>
        <v>2013</v>
      </c>
    </row>
    <row r="66">
      <c r="A66" s="3">
        <v>170.0</v>
      </c>
      <c r="B66" s="3" t="b">
        <v>0</v>
      </c>
      <c r="C66" s="3" t="s">
        <v>97</v>
      </c>
      <c r="G66" s="3" t="s">
        <v>237</v>
      </c>
      <c r="K66" s="3" t="b">
        <v>0</v>
      </c>
      <c r="L66" s="3" t="s">
        <v>238</v>
      </c>
      <c r="N66" s="3" t="s">
        <v>239</v>
      </c>
      <c r="S66" s="4" t="str">
        <f t="shared" si="1"/>
        <v>2013</v>
      </c>
    </row>
    <row r="67">
      <c r="A67" s="3">
        <v>163.0</v>
      </c>
      <c r="B67" s="3" t="b">
        <v>0</v>
      </c>
      <c r="C67" s="3" t="s">
        <v>240</v>
      </c>
      <c r="G67" s="3" t="s">
        <v>241</v>
      </c>
      <c r="K67" s="3" t="b">
        <v>0</v>
      </c>
      <c r="L67" s="3" t="s">
        <v>242</v>
      </c>
      <c r="N67" s="3" t="s">
        <v>243</v>
      </c>
      <c r="S67" s="4" t="str">
        <f t="shared" si="1"/>
        <v>2013</v>
      </c>
    </row>
    <row r="68">
      <c r="A68" s="3">
        <v>163.0</v>
      </c>
      <c r="B68" s="3" t="b">
        <v>0</v>
      </c>
      <c r="C68" s="3" t="s">
        <v>130</v>
      </c>
      <c r="G68" s="3" t="s">
        <v>244</v>
      </c>
      <c r="K68" s="3" t="b">
        <v>0</v>
      </c>
      <c r="L68" s="3" t="s">
        <v>245</v>
      </c>
      <c r="N68" s="3" t="s">
        <v>246</v>
      </c>
      <c r="S68" s="4" t="str">
        <f t="shared" si="1"/>
        <v>2013</v>
      </c>
    </row>
    <row r="69">
      <c r="A69" s="3">
        <v>163.0</v>
      </c>
      <c r="B69" s="3" t="b">
        <v>0</v>
      </c>
      <c r="C69" s="3" t="s">
        <v>247</v>
      </c>
      <c r="G69" s="3" t="s">
        <v>244</v>
      </c>
      <c r="K69" s="3" t="b">
        <v>0</v>
      </c>
      <c r="L69" s="3" t="s">
        <v>245</v>
      </c>
      <c r="N69" s="3" t="s">
        <v>246</v>
      </c>
      <c r="S69" s="4" t="str">
        <f t="shared" si="1"/>
        <v>2013</v>
      </c>
    </row>
    <row r="70">
      <c r="A70" s="3">
        <v>159.0</v>
      </c>
      <c r="B70" s="3" t="b">
        <v>0</v>
      </c>
      <c r="C70" s="3" t="s">
        <v>73</v>
      </c>
      <c r="G70" s="3" t="s">
        <v>248</v>
      </c>
      <c r="K70" s="3" t="b">
        <v>0</v>
      </c>
      <c r="L70" s="3" t="s">
        <v>249</v>
      </c>
      <c r="N70" s="3" t="s">
        <v>250</v>
      </c>
      <c r="S70" s="4" t="str">
        <f t="shared" si="1"/>
        <v>2013</v>
      </c>
    </row>
    <row r="71">
      <c r="A71" s="3">
        <v>158.0</v>
      </c>
      <c r="B71" s="3" t="b">
        <v>0</v>
      </c>
      <c r="C71" s="3" t="s">
        <v>73</v>
      </c>
      <c r="G71" s="3" t="s">
        <v>251</v>
      </c>
      <c r="K71" s="3" t="b">
        <v>0</v>
      </c>
      <c r="L71" s="3" t="s">
        <v>252</v>
      </c>
      <c r="N71" s="3" t="s">
        <v>253</v>
      </c>
      <c r="S71" s="4" t="str">
        <f t="shared" si="1"/>
        <v>2013</v>
      </c>
    </row>
    <row r="72">
      <c r="A72" s="3">
        <v>150.0</v>
      </c>
      <c r="B72" s="3" t="b">
        <v>0</v>
      </c>
      <c r="C72" s="3" t="s">
        <v>205</v>
      </c>
      <c r="G72" s="3" t="s">
        <v>254</v>
      </c>
      <c r="K72" s="3" t="b">
        <v>0</v>
      </c>
      <c r="L72" s="3" t="s">
        <v>255</v>
      </c>
      <c r="N72" s="3" t="s">
        <v>256</v>
      </c>
      <c r="S72" s="4" t="str">
        <f t="shared" si="1"/>
        <v>2013</v>
      </c>
    </row>
    <row r="73">
      <c r="A73" s="3">
        <v>150.0</v>
      </c>
      <c r="B73" s="3" t="b">
        <v>0</v>
      </c>
      <c r="C73" s="3" t="s">
        <v>27</v>
      </c>
      <c r="G73" s="3" t="s">
        <v>257</v>
      </c>
      <c r="K73" s="3" t="b">
        <v>0</v>
      </c>
      <c r="L73" s="3" t="s">
        <v>258</v>
      </c>
      <c r="N73" s="3" t="s">
        <v>259</v>
      </c>
      <c r="S73" s="4" t="str">
        <f t="shared" si="1"/>
        <v>2013</v>
      </c>
    </row>
    <row r="74">
      <c r="A74" s="3">
        <v>150.0</v>
      </c>
      <c r="B74" s="3" t="b">
        <v>0</v>
      </c>
      <c r="C74" s="3" t="s">
        <v>260</v>
      </c>
      <c r="G74" s="3" t="s">
        <v>261</v>
      </c>
      <c r="K74" s="3" t="b">
        <v>0</v>
      </c>
      <c r="L74" s="3" t="s">
        <v>262</v>
      </c>
      <c r="N74" s="3" t="s">
        <v>263</v>
      </c>
      <c r="S74" s="4" t="str">
        <f t="shared" si="1"/>
        <v>2013</v>
      </c>
    </row>
    <row r="75">
      <c r="A75" s="3">
        <v>150.0</v>
      </c>
      <c r="B75" s="3" t="b">
        <v>0</v>
      </c>
      <c r="C75" s="3" t="s">
        <v>39</v>
      </c>
      <c r="G75" s="3" t="s">
        <v>264</v>
      </c>
      <c r="K75" s="3" t="b">
        <v>0</v>
      </c>
      <c r="L75" s="3" t="s">
        <v>265</v>
      </c>
      <c r="N75" s="3" t="s">
        <v>266</v>
      </c>
      <c r="S75" s="4" t="str">
        <f t="shared" si="1"/>
        <v>2013</v>
      </c>
    </row>
    <row r="76">
      <c r="A76" s="3">
        <v>150.0</v>
      </c>
      <c r="B76" s="3" t="b">
        <v>0</v>
      </c>
      <c r="C76" s="3" t="s">
        <v>87</v>
      </c>
      <c r="E76" s="7">
        <v>2.0</v>
      </c>
      <c r="F76" s="7">
        <v>17.0</v>
      </c>
      <c r="G76" s="3" t="s">
        <v>267</v>
      </c>
      <c r="K76" s="3" t="b">
        <v>1</v>
      </c>
      <c r="L76" s="3" t="s">
        <v>268</v>
      </c>
      <c r="M76" s="7">
        <v>60.0</v>
      </c>
      <c r="N76" s="3" t="s">
        <v>269</v>
      </c>
      <c r="S76" s="4" t="str">
        <f t="shared" si="1"/>
        <v>2013</v>
      </c>
    </row>
    <row r="77">
      <c r="A77" s="3">
        <v>149.0</v>
      </c>
      <c r="B77" s="3" t="b">
        <v>0</v>
      </c>
      <c r="C77" s="3" t="s">
        <v>23</v>
      </c>
      <c r="G77" s="3" t="s">
        <v>270</v>
      </c>
      <c r="K77" s="3" t="b">
        <v>0</v>
      </c>
      <c r="L77" s="3" t="s">
        <v>271</v>
      </c>
      <c r="N77" s="3" t="s">
        <v>272</v>
      </c>
      <c r="S77" s="4" t="str">
        <f t="shared" si="1"/>
        <v>2013</v>
      </c>
    </row>
    <row r="78">
      <c r="A78" s="3">
        <v>134.0</v>
      </c>
      <c r="B78" s="3" t="b">
        <v>0</v>
      </c>
      <c r="C78" s="3" t="s">
        <v>94</v>
      </c>
      <c r="G78" s="3" t="s">
        <v>40</v>
      </c>
      <c r="K78" s="3" t="b">
        <v>0</v>
      </c>
      <c r="L78" s="3" t="s">
        <v>273</v>
      </c>
      <c r="N78" s="3" t="s">
        <v>274</v>
      </c>
      <c r="S78" s="4" t="str">
        <f t="shared" si="1"/>
        <v>2013</v>
      </c>
    </row>
    <row r="79">
      <c r="A79" s="3">
        <v>125.0</v>
      </c>
      <c r="B79" s="3" t="b">
        <v>0</v>
      </c>
      <c r="C79" s="3" t="s">
        <v>73</v>
      </c>
      <c r="D79" s="7">
        <v>9.0</v>
      </c>
      <c r="E79" s="7">
        <v>5.0</v>
      </c>
      <c r="F79" s="7">
        <v>17.0</v>
      </c>
      <c r="G79" s="3" t="s">
        <v>275</v>
      </c>
      <c r="I79" s="7">
        <v>5.0</v>
      </c>
      <c r="K79" s="3" t="b">
        <v>1</v>
      </c>
      <c r="L79" s="3" t="s">
        <v>276</v>
      </c>
      <c r="M79" s="7">
        <v>249.0</v>
      </c>
      <c r="N79" s="3" t="s">
        <v>277</v>
      </c>
      <c r="S79" s="4" t="str">
        <f t="shared" si="1"/>
        <v>2013</v>
      </c>
    </row>
    <row r="80">
      <c r="A80" s="3">
        <v>124.0</v>
      </c>
      <c r="B80" s="3" t="b">
        <v>0</v>
      </c>
      <c r="C80" s="3" t="s">
        <v>278</v>
      </c>
      <c r="G80" s="3" t="s">
        <v>279</v>
      </c>
      <c r="K80" s="3" t="b">
        <v>0</v>
      </c>
      <c r="L80" s="3" t="s">
        <v>280</v>
      </c>
      <c r="N80" s="3" t="s">
        <v>281</v>
      </c>
      <c r="S80" s="4" t="str">
        <f t="shared" si="1"/>
        <v>2013</v>
      </c>
    </row>
    <row r="81">
      <c r="A81" s="3">
        <v>124.0</v>
      </c>
      <c r="B81" s="3" t="b">
        <v>0</v>
      </c>
      <c r="C81" s="3" t="s">
        <v>282</v>
      </c>
      <c r="G81" s="3" t="s">
        <v>283</v>
      </c>
      <c r="K81" s="3" t="b">
        <v>0</v>
      </c>
      <c r="L81" s="3" t="s">
        <v>284</v>
      </c>
      <c r="N81" s="3" t="s">
        <v>285</v>
      </c>
      <c r="S81" s="4" t="str">
        <f t="shared" si="1"/>
        <v>2013</v>
      </c>
    </row>
    <row r="82">
      <c r="A82" s="3">
        <v>124.0</v>
      </c>
      <c r="B82" s="3" t="b">
        <v>0</v>
      </c>
      <c r="C82" s="3" t="s">
        <v>27</v>
      </c>
      <c r="G82" s="3" t="s">
        <v>286</v>
      </c>
      <c r="K82" s="3" t="b">
        <v>0</v>
      </c>
      <c r="L82" s="3" t="s">
        <v>287</v>
      </c>
      <c r="N82" s="3" t="s">
        <v>288</v>
      </c>
      <c r="S82" s="4" t="str">
        <f t="shared" si="1"/>
        <v>2013</v>
      </c>
    </row>
    <row r="83">
      <c r="A83" s="3">
        <v>120.0</v>
      </c>
      <c r="B83" s="3" t="b">
        <v>0</v>
      </c>
      <c r="C83" s="3" t="s">
        <v>186</v>
      </c>
      <c r="D83" s="7">
        <v>10.0</v>
      </c>
      <c r="E83" s="7">
        <v>6.0</v>
      </c>
      <c r="F83" s="7">
        <v>30.0</v>
      </c>
      <c r="G83" s="3" t="s">
        <v>289</v>
      </c>
      <c r="K83" s="3" t="b">
        <v>1</v>
      </c>
      <c r="L83" s="3" t="s">
        <v>290</v>
      </c>
      <c r="M83" s="7">
        <v>285.0</v>
      </c>
      <c r="N83" s="3" t="s">
        <v>291</v>
      </c>
      <c r="P83" s="3">
        <v>1.0</v>
      </c>
      <c r="S83" s="4" t="str">
        <f t="shared" si="1"/>
        <v>2013</v>
      </c>
    </row>
    <row r="84">
      <c r="A84" s="3">
        <v>116.0</v>
      </c>
      <c r="B84" s="3" t="b">
        <v>0</v>
      </c>
      <c r="C84" s="3" t="s">
        <v>130</v>
      </c>
      <c r="G84" s="3" t="s">
        <v>292</v>
      </c>
      <c r="K84" s="3" t="b">
        <v>1</v>
      </c>
      <c r="L84" s="3" t="s">
        <v>293</v>
      </c>
      <c r="N84" s="3" t="s">
        <v>294</v>
      </c>
      <c r="P84" s="3">
        <v>1.0</v>
      </c>
      <c r="S84" s="4" t="str">
        <f t="shared" si="1"/>
        <v>2013</v>
      </c>
    </row>
    <row r="85">
      <c r="A85" s="3">
        <v>110.0</v>
      </c>
      <c r="B85" s="3" t="b">
        <v>0</v>
      </c>
      <c r="C85" s="3" t="s">
        <v>134</v>
      </c>
      <c r="G85" s="3" t="s">
        <v>295</v>
      </c>
      <c r="K85" s="3" t="b">
        <v>0</v>
      </c>
      <c r="L85" s="3" t="s">
        <v>296</v>
      </c>
      <c r="N85" s="3" t="s">
        <v>297</v>
      </c>
      <c r="S85" s="4" t="str">
        <f t="shared" si="1"/>
        <v>2013</v>
      </c>
    </row>
    <row r="86">
      <c r="A86" s="3">
        <v>108.0</v>
      </c>
      <c r="B86" s="3" t="b">
        <v>0</v>
      </c>
      <c r="C86" s="3" t="s">
        <v>39</v>
      </c>
      <c r="G86" s="3" t="s">
        <v>298</v>
      </c>
      <c r="K86" s="3" t="b">
        <v>0</v>
      </c>
      <c r="L86" s="3" t="s">
        <v>299</v>
      </c>
      <c r="N86" s="3" t="s">
        <v>300</v>
      </c>
      <c r="S86" s="4" t="str">
        <f t="shared" si="1"/>
        <v>2013</v>
      </c>
    </row>
    <row r="87">
      <c r="A87" s="3">
        <v>105.0</v>
      </c>
      <c r="B87" s="3" t="b">
        <v>0</v>
      </c>
      <c r="C87" s="3" t="s">
        <v>114</v>
      </c>
      <c r="G87" s="3" t="s">
        <v>301</v>
      </c>
      <c r="K87" s="3" t="b">
        <v>0</v>
      </c>
      <c r="L87" s="3" t="s">
        <v>302</v>
      </c>
      <c r="N87" s="3" t="s">
        <v>303</v>
      </c>
      <c r="S87" s="4" t="str">
        <f t="shared" si="1"/>
        <v>2013</v>
      </c>
    </row>
    <row r="88">
      <c r="A88" s="3">
        <v>100.0</v>
      </c>
      <c r="B88" s="3" t="b">
        <v>0</v>
      </c>
      <c r="C88" s="3" t="s">
        <v>23</v>
      </c>
      <c r="G88" s="3" t="s">
        <v>304</v>
      </c>
      <c r="K88" s="3" t="b">
        <v>0</v>
      </c>
      <c r="L88" s="3" t="s">
        <v>305</v>
      </c>
      <c r="N88" s="3" t="s">
        <v>306</v>
      </c>
      <c r="S88" s="4" t="str">
        <f t="shared" si="1"/>
        <v>2013</v>
      </c>
    </row>
    <row r="89">
      <c r="A89" s="3">
        <v>100.0</v>
      </c>
      <c r="B89" s="3" t="b">
        <v>0</v>
      </c>
      <c r="C89" s="3" t="s">
        <v>19</v>
      </c>
      <c r="G89" s="3" t="s">
        <v>307</v>
      </c>
      <c r="K89" s="3" t="b">
        <v>0</v>
      </c>
      <c r="L89" s="3" t="s">
        <v>308</v>
      </c>
      <c r="N89" s="3" t="s">
        <v>309</v>
      </c>
      <c r="S89" s="4" t="str">
        <f t="shared" si="1"/>
        <v>2013</v>
      </c>
    </row>
    <row r="90">
      <c r="A90" s="3">
        <v>100.0</v>
      </c>
      <c r="B90" s="3" t="b">
        <v>0</v>
      </c>
      <c r="C90" s="3" t="s">
        <v>62</v>
      </c>
      <c r="G90" s="3" t="s">
        <v>310</v>
      </c>
      <c r="K90" s="3" t="b">
        <v>0</v>
      </c>
      <c r="L90" s="3" t="s">
        <v>311</v>
      </c>
      <c r="N90" s="3" t="s">
        <v>312</v>
      </c>
      <c r="S90" s="4" t="str">
        <f t="shared" si="1"/>
        <v>2013</v>
      </c>
    </row>
    <row r="91">
      <c r="A91" s="3">
        <v>98.0</v>
      </c>
      <c r="B91" s="3" t="b">
        <v>0</v>
      </c>
      <c r="C91" s="3" t="s">
        <v>313</v>
      </c>
      <c r="G91" s="3" t="s">
        <v>314</v>
      </c>
      <c r="K91" s="3" t="b">
        <v>0</v>
      </c>
      <c r="L91" s="3" t="s">
        <v>255</v>
      </c>
      <c r="N91" s="3" t="s">
        <v>315</v>
      </c>
      <c r="S91" s="4" t="str">
        <f t="shared" si="1"/>
        <v>2013</v>
      </c>
    </row>
    <row r="92">
      <c r="A92" s="3">
        <v>97.0</v>
      </c>
      <c r="B92" s="3" t="b">
        <v>0</v>
      </c>
      <c r="C92" s="3" t="s">
        <v>145</v>
      </c>
      <c r="G92" s="3" t="s">
        <v>40</v>
      </c>
      <c r="K92" s="3" t="b">
        <v>0</v>
      </c>
      <c r="L92" s="3" t="s">
        <v>316</v>
      </c>
      <c r="N92" s="3" t="s">
        <v>317</v>
      </c>
      <c r="S92" s="4" t="str">
        <f t="shared" si="1"/>
        <v>2013</v>
      </c>
    </row>
    <row r="93">
      <c r="A93" s="3">
        <v>97.0</v>
      </c>
      <c r="B93" s="3" t="b">
        <v>0</v>
      </c>
      <c r="C93" s="3" t="s">
        <v>134</v>
      </c>
      <c r="G93" s="3" t="s">
        <v>32</v>
      </c>
      <c r="K93" s="3" t="b">
        <v>0</v>
      </c>
      <c r="L93" s="3" t="s">
        <v>318</v>
      </c>
      <c r="N93" s="3" t="s">
        <v>319</v>
      </c>
      <c r="S93" s="4" t="str">
        <f t="shared" si="1"/>
        <v>2013</v>
      </c>
    </row>
    <row r="94">
      <c r="A94" s="3">
        <v>97.0</v>
      </c>
      <c r="B94" s="3" t="b">
        <v>0</v>
      </c>
      <c r="C94" s="3" t="s">
        <v>320</v>
      </c>
      <c r="G94" s="3" t="s">
        <v>321</v>
      </c>
      <c r="K94" s="3" t="b">
        <v>0</v>
      </c>
      <c r="L94" s="3" t="s">
        <v>322</v>
      </c>
      <c r="N94" s="3" t="s">
        <v>323</v>
      </c>
      <c r="S94" s="4" t="str">
        <f t="shared" si="1"/>
        <v>2013</v>
      </c>
    </row>
    <row r="95">
      <c r="A95" s="3">
        <v>96.0</v>
      </c>
      <c r="B95" s="3" t="b">
        <v>0</v>
      </c>
      <c r="C95" s="3" t="s">
        <v>324</v>
      </c>
      <c r="G95" s="3" t="s">
        <v>325</v>
      </c>
      <c r="K95" s="3" t="b">
        <v>0</v>
      </c>
      <c r="L95" s="3" t="s">
        <v>326</v>
      </c>
      <c r="N95" s="3" t="s">
        <v>327</v>
      </c>
      <c r="S95" s="4" t="str">
        <f t="shared" si="1"/>
        <v>2013</v>
      </c>
    </row>
    <row r="96">
      <c r="A96" s="3">
        <v>94.0</v>
      </c>
      <c r="B96" s="3" t="b">
        <v>0</v>
      </c>
      <c r="C96" s="3" t="s">
        <v>149</v>
      </c>
      <c r="G96" s="3" t="s">
        <v>328</v>
      </c>
      <c r="K96" s="3" t="b">
        <v>0</v>
      </c>
      <c r="L96" s="3" t="s">
        <v>329</v>
      </c>
      <c r="N96" s="3" t="s">
        <v>330</v>
      </c>
      <c r="S96" s="4" t="str">
        <f t="shared" si="1"/>
        <v>2013</v>
      </c>
    </row>
    <row r="97">
      <c r="A97" s="3">
        <v>92.0</v>
      </c>
      <c r="B97" s="3" t="b">
        <v>0</v>
      </c>
      <c r="C97" s="3" t="s">
        <v>87</v>
      </c>
      <c r="D97" s="3">
        <v>4.0</v>
      </c>
      <c r="F97" s="3">
        <v>4.0</v>
      </c>
      <c r="G97" s="3" t="s">
        <v>331</v>
      </c>
      <c r="J97" s="7">
        <v>2.0</v>
      </c>
      <c r="K97" s="3" t="b">
        <v>1</v>
      </c>
      <c r="L97" s="3" t="s">
        <v>151</v>
      </c>
      <c r="M97" s="7">
        <v>80.0</v>
      </c>
      <c r="N97" s="3" t="s">
        <v>332</v>
      </c>
      <c r="S97" s="4" t="str">
        <f t="shared" si="1"/>
        <v>2013</v>
      </c>
    </row>
    <row r="98">
      <c r="A98" s="3">
        <v>91.0</v>
      </c>
      <c r="B98" s="3" t="b">
        <v>0</v>
      </c>
      <c r="C98" s="3" t="s">
        <v>156</v>
      </c>
      <c r="D98" s="3">
        <v>6.0</v>
      </c>
      <c r="E98" s="7">
        <v>2.0</v>
      </c>
      <c r="F98" s="3">
        <v>24.0</v>
      </c>
      <c r="G98" s="3" t="s">
        <v>333</v>
      </c>
      <c r="I98" s="7">
        <v>2.0</v>
      </c>
      <c r="K98" s="3" t="b">
        <v>1</v>
      </c>
      <c r="L98" s="3" t="s">
        <v>334</v>
      </c>
      <c r="N98" s="3" t="s">
        <v>335</v>
      </c>
      <c r="P98" s="7">
        <v>1.0</v>
      </c>
      <c r="S98" s="4" t="str">
        <f t="shared" si="1"/>
        <v>2013</v>
      </c>
    </row>
    <row r="99">
      <c r="A99" s="3">
        <v>90.0</v>
      </c>
      <c r="B99" s="3" t="b">
        <v>0</v>
      </c>
      <c r="C99" s="3" t="s">
        <v>27</v>
      </c>
      <c r="G99" s="3" t="s">
        <v>336</v>
      </c>
      <c r="K99" s="3" t="b">
        <v>0</v>
      </c>
      <c r="L99" s="3" t="s">
        <v>128</v>
      </c>
      <c r="N99" s="3" t="s">
        <v>337</v>
      </c>
      <c r="S99" s="4" t="str">
        <f t="shared" si="1"/>
        <v>2013</v>
      </c>
    </row>
    <row r="100">
      <c r="A100" s="3">
        <v>85.0</v>
      </c>
      <c r="B100" s="3" t="b">
        <v>0</v>
      </c>
      <c r="C100" s="3" t="s">
        <v>149</v>
      </c>
      <c r="G100" s="3" t="s">
        <v>338</v>
      </c>
      <c r="K100" s="3" t="b">
        <v>0</v>
      </c>
      <c r="L100" s="3" t="s">
        <v>339</v>
      </c>
      <c r="N100" s="3" t="s">
        <v>340</v>
      </c>
      <c r="S100" s="4" t="str">
        <f t="shared" si="1"/>
        <v>2013</v>
      </c>
    </row>
    <row r="101">
      <c r="A101" s="3">
        <v>82.0</v>
      </c>
      <c r="B101" s="3" t="b">
        <v>0</v>
      </c>
      <c r="C101" s="3" t="s">
        <v>313</v>
      </c>
      <c r="G101" s="3" t="s">
        <v>341</v>
      </c>
      <c r="K101" s="3" t="b">
        <v>0</v>
      </c>
      <c r="L101" s="3" t="s">
        <v>342</v>
      </c>
      <c r="N101" s="3" t="s">
        <v>343</v>
      </c>
      <c r="S101" s="4" t="str">
        <f t="shared" si="1"/>
        <v>2013</v>
      </c>
    </row>
    <row r="102">
      <c r="A102" s="3">
        <v>80.0</v>
      </c>
      <c r="B102" s="3" t="b">
        <v>0</v>
      </c>
      <c r="C102" s="3" t="s">
        <v>87</v>
      </c>
      <c r="D102" s="7">
        <v>2.0</v>
      </c>
      <c r="F102" s="7">
        <v>10.0</v>
      </c>
      <c r="G102" s="3" t="s">
        <v>344</v>
      </c>
      <c r="J102" s="7">
        <v>1.0</v>
      </c>
      <c r="K102" s="3" t="b">
        <v>1</v>
      </c>
      <c r="L102" s="3" t="s">
        <v>345</v>
      </c>
      <c r="M102" s="7">
        <v>35.0</v>
      </c>
      <c r="N102" s="3" t="s">
        <v>346</v>
      </c>
      <c r="S102" s="4" t="str">
        <f t="shared" si="1"/>
        <v>2013</v>
      </c>
    </row>
    <row r="103">
      <c r="A103" s="3">
        <v>80.0</v>
      </c>
      <c r="B103" s="3" t="b">
        <v>0</v>
      </c>
      <c r="C103" s="3" t="s">
        <v>39</v>
      </c>
      <c r="G103" s="3" t="s">
        <v>347</v>
      </c>
      <c r="K103" s="3" t="b">
        <v>0</v>
      </c>
      <c r="L103" s="3" t="s">
        <v>348</v>
      </c>
      <c r="N103" s="3" t="s">
        <v>349</v>
      </c>
      <c r="S103" s="4" t="str">
        <f t="shared" si="1"/>
        <v>2013</v>
      </c>
    </row>
    <row r="104">
      <c r="A104" s="3">
        <v>75.0</v>
      </c>
      <c r="B104" s="3" t="b">
        <v>0</v>
      </c>
      <c r="C104" s="3" t="s">
        <v>54</v>
      </c>
      <c r="G104" s="3" t="s">
        <v>350</v>
      </c>
      <c r="K104" s="3" t="b">
        <v>0</v>
      </c>
      <c r="L104" s="3" t="s">
        <v>351</v>
      </c>
      <c r="N104" s="3" t="s">
        <v>352</v>
      </c>
      <c r="S104" s="4" t="str">
        <f t="shared" si="1"/>
        <v>2013</v>
      </c>
    </row>
    <row r="105">
      <c r="A105" s="3">
        <v>75.0</v>
      </c>
      <c r="B105" s="3" t="b">
        <v>0</v>
      </c>
      <c r="C105" s="3" t="s">
        <v>134</v>
      </c>
      <c r="G105" s="3" t="s">
        <v>353</v>
      </c>
      <c r="K105" s="3" t="b">
        <v>0</v>
      </c>
      <c r="L105" s="3" t="s">
        <v>354</v>
      </c>
      <c r="N105" s="3" t="s">
        <v>355</v>
      </c>
      <c r="S105" s="4" t="str">
        <f t="shared" si="1"/>
        <v>2013</v>
      </c>
    </row>
    <row r="106">
      <c r="A106" s="3">
        <v>75.0</v>
      </c>
      <c r="B106" s="3" t="b">
        <v>0</v>
      </c>
      <c r="C106" s="3" t="s">
        <v>156</v>
      </c>
      <c r="D106" s="3">
        <v>15.0</v>
      </c>
      <c r="E106" s="7">
        <v>13.0</v>
      </c>
      <c r="F106" s="3">
        <v>13.0</v>
      </c>
      <c r="G106" s="3" t="s">
        <v>356</v>
      </c>
      <c r="K106" s="3" t="b">
        <v>1</v>
      </c>
      <c r="L106" s="3" t="s">
        <v>357</v>
      </c>
      <c r="M106" s="3">
        <v>221.0</v>
      </c>
      <c r="N106" s="3" t="s">
        <v>358</v>
      </c>
      <c r="S106" s="4" t="str">
        <f t="shared" si="1"/>
        <v>2013</v>
      </c>
    </row>
    <row r="107">
      <c r="A107" s="3">
        <v>75.0</v>
      </c>
      <c r="B107" s="3" t="b">
        <v>0</v>
      </c>
      <c r="C107" s="3" t="s">
        <v>134</v>
      </c>
      <c r="D107" s="3">
        <v>13.0</v>
      </c>
      <c r="F107" s="3">
        <v>21.0</v>
      </c>
      <c r="G107" s="3" t="s">
        <v>359</v>
      </c>
      <c r="J107" s="7">
        <v>1.0</v>
      </c>
      <c r="K107" s="3" t="b">
        <v>1</v>
      </c>
      <c r="L107" s="3" t="s">
        <v>360</v>
      </c>
      <c r="M107" s="3">
        <v>292.0</v>
      </c>
      <c r="N107" s="3" t="s">
        <v>361</v>
      </c>
      <c r="P107" s="7">
        <v>1.0</v>
      </c>
      <c r="S107" s="4" t="str">
        <f t="shared" si="1"/>
        <v>2013</v>
      </c>
    </row>
    <row r="108">
      <c r="A108" s="3">
        <v>75.0</v>
      </c>
      <c r="B108" s="3" t="b">
        <v>0</v>
      </c>
      <c r="C108" s="3" t="s">
        <v>166</v>
      </c>
      <c r="G108" s="3" t="s">
        <v>362</v>
      </c>
      <c r="K108" s="3" t="b">
        <v>0</v>
      </c>
      <c r="L108" s="3" t="s">
        <v>235</v>
      </c>
      <c r="N108" s="3" t="s">
        <v>363</v>
      </c>
      <c r="S108" s="4" t="str">
        <f t="shared" si="1"/>
        <v>2013</v>
      </c>
    </row>
    <row r="109">
      <c r="A109" s="3">
        <v>73.0</v>
      </c>
      <c r="B109" s="3" t="b">
        <v>0</v>
      </c>
      <c r="C109" s="3" t="s">
        <v>134</v>
      </c>
      <c r="G109" s="3" t="s">
        <v>364</v>
      </c>
      <c r="K109" s="3" t="b">
        <v>0</v>
      </c>
      <c r="L109" s="3" t="s">
        <v>365</v>
      </c>
      <c r="N109" s="3" t="s">
        <v>366</v>
      </c>
      <c r="S109" s="4" t="str">
        <f t="shared" si="1"/>
        <v>2013</v>
      </c>
    </row>
    <row r="110">
      <c r="A110" s="3">
        <v>73.0</v>
      </c>
      <c r="B110" s="3" t="b">
        <v>0</v>
      </c>
      <c r="C110" s="3" t="s">
        <v>367</v>
      </c>
      <c r="G110" s="3" t="s">
        <v>368</v>
      </c>
      <c r="K110" s="3" t="b">
        <v>0</v>
      </c>
      <c r="L110" s="3" t="s">
        <v>369</v>
      </c>
      <c r="N110" s="3" t="s">
        <v>370</v>
      </c>
      <c r="S110" s="4" t="str">
        <f t="shared" si="1"/>
        <v>2013</v>
      </c>
    </row>
    <row r="111">
      <c r="A111" s="3">
        <v>72.0</v>
      </c>
      <c r="B111" s="3" t="b">
        <v>0</v>
      </c>
      <c r="C111" s="3" t="s">
        <v>87</v>
      </c>
      <c r="E111" s="3">
        <v>2.0</v>
      </c>
      <c r="F111" s="3">
        <v>3.0</v>
      </c>
      <c r="G111" s="3" t="s">
        <v>371</v>
      </c>
      <c r="K111" s="3" t="b">
        <v>1</v>
      </c>
      <c r="L111" s="3" t="s">
        <v>372</v>
      </c>
      <c r="M111" s="7">
        <v>44.0</v>
      </c>
      <c r="N111" s="3" t="s">
        <v>373</v>
      </c>
      <c r="S111" s="4" t="str">
        <f t="shared" si="1"/>
        <v>2013</v>
      </c>
    </row>
    <row r="112">
      <c r="A112" s="3">
        <v>70.0</v>
      </c>
      <c r="B112" s="3" t="b">
        <v>0</v>
      </c>
      <c r="C112" s="3" t="s">
        <v>186</v>
      </c>
      <c r="D112" s="7">
        <v>2.0</v>
      </c>
      <c r="E112" s="3">
        <v>4.0</v>
      </c>
      <c r="F112" s="3">
        <v>10.0</v>
      </c>
      <c r="G112" s="3" t="s">
        <v>141</v>
      </c>
      <c r="K112" s="3" t="b">
        <v>1</v>
      </c>
      <c r="L112" s="3" t="s">
        <v>374</v>
      </c>
      <c r="N112" s="3" t="s">
        <v>375</v>
      </c>
      <c r="S112" s="4" t="str">
        <f t="shared" si="1"/>
        <v>2013</v>
      </c>
    </row>
    <row r="113">
      <c r="A113" s="3">
        <v>68.0</v>
      </c>
      <c r="B113" s="3" t="b">
        <v>0</v>
      </c>
      <c r="C113" s="3" t="s">
        <v>145</v>
      </c>
      <c r="G113" s="3" t="s">
        <v>376</v>
      </c>
      <c r="K113" s="3" t="b">
        <v>0</v>
      </c>
      <c r="L113" s="3" t="s">
        <v>377</v>
      </c>
      <c r="N113" s="3" t="s">
        <v>378</v>
      </c>
      <c r="S113" s="4" t="str">
        <f t="shared" si="1"/>
        <v>2013</v>
      </c>
    </row>
    <row r="114">
      <c r="A114" s="3">
        <v>64.0</v>
      </c>
      <c r="B114" s="3" t="b">
        <v>0</v>
      </c>
      <c r="C114" s="3" t="s">
        <v>35</v>
      </c>
      <c r="G114" s="3" t="s">
        <v>379</v>
      </c>
      <c r="K114" s="3" t="b">
        <v>0</v>
      </c>
      <c r="L114" s="3" t="s">
        <v>380</v>
      </c>
      <c r="N114" s="3" t="s">
        <v>381</v>
      </c>
      <c r="S114" s="4" t="str">
        <f t="shared" si="1"/>
        <v>2013</v>
      </c>
    </row>
    <row r="115">
      <c r="A115" s="3">
        <v>60.0</v>
      </c>
      <c r="B115" s="3" t="b">
        <v>0</v>
      </c>
      <c r="C115" s="3" t="s">
        <v>27</v>
      </c>
      <c r="G115" s="3" t="s">
        <v>382</v>
      </c>
      <c r="K115" s="3" t="b">
        <v>0</v>
      </c>
      <c r="L115" s="3" t="s">
        <v>383</v>
      </c>
      <c r="N115" s="3" t="s">
        <v>384</v>
      </c>
      <c r="S115" s="4" t="str">
        <f t="shared" si="1"/>
        <v>2013</v>
      </c>
    </row>
    <row r="116">
      <c r="A116" s="3">
        <v>60.0</v>
      </c>
      <c r="B116" s="3" t="b">
        <v>0</v>
      </c>
      <c r="C116" s="3" t="s">
        <v>27</v>
      </c>
      <c r="G116" s="3" t="s">
        <v>385</v>
      </c>
      <c r="K116" s="3" t="b">
        <v>0</v>
      </c>
      <c r="L116" s="3" t="s">
        <v>386</v>
      </c>
      <c r="N116" s="3" t="s">
        <v>387</v>
      </c>
      <c r="S116" s="4" t="str">
        <f t="shared" si="1"/>
        <v>2013</v>
      </c>
    </row>
    <row r="117">
      <c r="A117" s="3">
        <v>52.0</v>
      </c>
      <c r="B117" s="3" t="b">
        <v>0</v>
      </c>
      <c r="C117" s="3" t="s">
        <v>388</v>
      </c>
      <c r="G117" s="3" t="s">
        <v>389</v>
      </c>
      <c r="K117" s="3" t="b">
        <v>0</v>
      </c>
      <c r="L117" s="3" t="s">
        <v>390</v>
      </c>
      <c r="N117" s="3" t="s">
        <v>391</v>
      </c>
      <c r="S117" s="4" t="str">
        <f t="shared" si="1"/>
        <v>2013</v>
      </c>
    </row>
    <row r="118">
      <c r="A118" s="3">
        <v>51.0</v>
      </c>
      <c r="B118" s="3" t="b">
        <v>0</v>
      </c>
      <c r="C118" s="3" t="s">
        <v>149</v>
      </c>
      <c r="D118" s="7">
        <v>5.0</v>
      </c>
      <c r="E118" s="7">
        <v>3.0</v>
      </c>
      <c r="F118" s="7">
        <v>15.0</v>
      </c>
      <c r="G118" s="3" t="s">
        <v>392</v>
      </c>
      <c r="I118" s="7">
        <v>2.0</v>
      </c>
      <c r="K118" s="3" t="b">
        <v>1</v>
      </c>
      <c r="L118" s="3" t="s">
        <v>393</v>
      </c>
      <c r="M118" s="7">
        <v>219.0</v>
      </c>
      <c r="N118" s="3" t="s">
        <v>394</v>
      </c>
      <c r="S118" s="4" t="str">
        <f t="shared" si="1"/>
        <v>2013</v>
      </c>
    </row>
    <row r="119">
      <c r="A119" s="3">
        <v>50.0</v>
      </c>
      <c r="B119" s="3" t="b">
        <v>0</v>
      </c>
      <c r="C119" s="3" t="s">
        <v>186</v>
      </c>
      <c r="G119" s="3" t="s">
        <v>395</v>
      </c>
      <c r="K119" s="3" t="b">
        <v>0</v>
      </c>
      <c r="L119" s="3" t="s">
        <v>396</v>
      </c>
      <c r="N119" s="3" t="s">
        <v>397</v>
      </c>
      <c r="S119" s="4" t="str">
        <f t="shared" si="1"/>
        <v>2013</v>
      </c>
    </row>
    <row r="120">
      <c r="A120" s="3">
        <v>50.0</v>
      </c>
      <c r="B120" s="3" t="b">
        <v>0</v>
      </c>
      <c r="C120" s="3" t="s">
        <v>46</v>
      </c>
      <c r="G120" s="3" t="s">
        <v>398</v>
      </c>
      <c r="K120" s="3" t="b">
        <v>0</v>
      </c>
      <c r="L120" s="3" t="s">
        <v>399</v>
      </c>
      <c r="N120" s="3" t="s">
        <v>400</v>
      </c>
      <c r="S120" s="4" t="str">
        <f t="shared" si="1"/>
        <v>2013</v>
      </c>
    </row>
    <row r="121">
      <c r="A121" s="3">
        <v>50.0</v>
      </c>
      <c r="B121" s="3" t="b">
        <v>0</v>
      </c>
      <c r="C121" s="3" t="s">
        <v>401</v>
      </c>
      <c r="G121" s="3" t="s">
        <v>402</v>
      </c>
      <c r="K121" s="3" t="b">
        <v>0</v>
      </c>
      <c r="L121" s="3" t="s">
        <v>403</v>
      </c>
      <c r="N121" s="3" t="s">
        <v>404</v>
      </c>
      <c r="S121" s="4" t="str">
        <f t="shared" si="1"/>
        <v>2013</v>
      </c>
    </row>
    <row r="122">
      <c r="A122" s="3">
        <v>50.0</v>
      </c>
      <c r="B122" s="3" t="b">
        <v>0</v>
      </c>
      <c r="C122" s="3" t="s">
        <v>205</v>
      </c>
      <c r="G122" s="3" t="s">
        <v>405</v>
      </c>
      <c r="K122" s="3" t="b">
        <v>0</v>
      </c>
      <c r="L122" s="3" t="s">
        <v>406</v>
      </c>
      <c r="N122" s="3" t="s">
        <v>407</v>
      </c>
      <c r="S122" s="4" t="str">
        <f t="shared" si="1"/>
        <v>2013</v>
      </c>
    </row>
    <row r="123">
      <c r="A123" s="3">
        <v>50.0</v>
      </c>
      <c r="B123" s="3" t="b">
        <v>0</v>
      </c>
      <c r="C123" s="3" t="s">
        <v>149</v>
      </c>
      <c r="G123" s="3" t="s">
        <v>408</v>
      </c>
      <c r="K123" s="3" t="b">
        <v>0</v>
      </c>
      <c r="L123" s="3" t="s">
        <v>409</v>
      </c>
      <c r="N123" s="3" t="s">
        <v>410</v>
      </c>
      <c r="S123" s="4" t="str">
        <f t="shared" si="1"/>
        <v>2013</v>
      </c>
    </row>
    <row r="124">
      <c r="A124" s="3">
        <v>46.0</v>
      </c>
      <c r="B124" s="3" t="b">
        <v>0</v>
      </c>
      <c r="C124" s="3" t="s">
        <v>411</v>
      </c>
      <c r="D124" s="7">
        <v>18.0</v>
      </c>
      <c r="E124" s="7">
        <v>18.0</v>
      </c>
      <c r="F124" s="7">
        <v>30.0</v>
      </c>
      <c r="G124" s="3" t="s">
        <v>412</v>
      </c>
      <c r="I124" s="7">
        <v>18.0</v>
      </c>
      <c r="J124" s="7">
        <v>2.0</v>
      </c>
      <c r="K124" s="3" t="b">
        <v>1</v>
      </c>
      <c r="L124" s="3" t="s">
        <v>413</v>
      </c>
      <c r="M124" s="7">
        <v>169.0</v>
      </c>
      <c r="N124" s="3" t="s">
        <v>414</v>
      </c>
      <c r="S124" s="4" t="str">
        <f t="shared" si="1"/>
        <v>2013</v>
      </c>
    </row>
    <row r="125">
      <c r="A125" s="3">
        <v>46.0</v>
      </c>
      <c r="B125" s="3" t="b">
        <v>0</v>
      </c>
      <c r="C125" s="3" t="s">
        <v>39</v>
      </c>
      <c r="G125" s="3" t="s">
        <v>415</v>
      </c>
      <c r="K125" s="3" t="b">
        <v>0</v>
      </c>
      <c r="L125" s="3" t="s">
        <v>223</v>
      </c>
      <c r="N125" s="3" t="s">
        <v>416</v>
      </c>
      <c r="S125" s="4" t="str">
        <f t="shared" si="1"/>
        <v>2013</v>
      </c>
    </row>
    <row r="126">
      <c r="A126" s="3">
        <v>45.0</v>
      </c>
      <c r="B126" s="3" t="b">
        <v>0</v>
      </c>
      <c r="C126" s="3" t="s">
        <v>313</v>
      </c>
      <c r="G126" s="3" t="s">
        <v>417</v>
      </c>
      <c r="K126" s="3" t="b">
        <v>0</v>
      </c>
      <c r="L126" s="3" t="s">
        <v>418</v>
      </c>
      <c r="N126" s="3" t="s">
        <v>419</v>
      </c>
      <c r="S126" s="4" t="str">
        <f t="shared" si="1"/>
        <v>2013</v>
      </c>
    </row>
    <row r="127">
      <c r="A127" s="3">
        <v>44.0</v>
      </c>
      <c r="B127" s="3" t="b">
        <v>0</v>
      </c>
      <c r="C127" s="3" t="s">
        <v>35</v>
      </c>
      <c r="G127" s="3" t="s">
        <v>420</v>
      </c>
      <c r="K127" s="3" t="b">
        <v>0</v>
      </c>
      <c r="L127" s="3" t="s">
        <v>421</v>
      </c>
      <c r="N127" s="3" t="s">
        <v>422</v>
      </c>
      <c r="S127" s="4" t="str">
        <f t="shared" si="1"/>
        <v>2013</v>
      </c>
    </row>
    <row r="128">
      <c r="A128" s="3">
        <v>43.0</v>
      </c>
      <c r="B128" s="3" t="b">
        <v>0</v>
      </c>
      <c r="C128" s="3" t="s">
        <v>58</v>
      </c>
      <c r="G128" s="3" t="s">
        <v>423</v>
      </c>
      <c r="K128" s="3" t="b">
        <v>0</v>
      </c>
      <c r="L128" s="3" t="s">
        <v>424</v>
      </c>
      <c r="N128" s="3" t="s">
        <v>425</v>
      </c>
      <c r="S128" s="4" t="str">
        <f t="shared" si="1"/>
        <v>2013</v>
      </c>
    </row>
    <row r="129">
      <c r="A129" s="3">
        <v>42.0</v>
      </c>
      <c r="B129" s="3" t="b">
        <v>0</v>
      </c>
      <c r="C129" s="3" t="s">
        <v>27</v>
      </c>
      <c r="G129" s="3" t="s">
        <v>426</v>
      </c>
      <c r="K129" s="3" t="b">
        <v>0</v>
      </c>
      <c r="L129" s="3" t="s">
        <v>427</v>
      </c>
      <c r="N129" s="3" t="s">
        <v>428</v>
      </c>
      <c r="S129" s="4" t="str">
        <f t="shared" si="1"/>
        <v>2013</v>
      </c>
    </row>
    <row r="130">
      <c r="A130" s="3">
        <v>41.0</v>
      </c>
      <c r="B130" s="3" t="b">
        <v>0</v>
      </c>
      <c r="C130" s="3" t="s">
        <v>429</v>
      </c>
      <c r="G130" s="3" t="s">
        <v>430</v>
      </c>
      <c r="K130" s="3" t="b">
        <v>0</v>
      </c>
      <c r="L130" s="3" t="s">
        <v>431</v>
      </c>
      <c r="N130" s="3" t="s">
        <v>432</v>
      </c>
      <c r="S130" s="4" t="str">
        <f t="shared" si="1"/>
        <v>2013</v>
      </c>
    </row>
    <row r="131">
      <c r="A131" s="3">
        <v>40.0</v>
      </c>
      <c r="B131" s="3" t="b">
        <v>0</v>
      </c>
      <c r="C131" s="3" t="s">
        <v>401</v>
      </c>
      <c r="G131" s="3" t="s">
        <v>433</v>
      </c>
      <c r="K131" s="3" t="b">
        <v>0</v>
      </c>
      <c r="L131" s="3" t="s">
        <v>406</v>
      </c>
      <c r="N131" s="3" t="s">
        <v>434</v>
      </c>
      <c r="S131" s="4" t="str">
        <f t="shared" si="1"/>
        <v>2013</v>
      </c>
    </row>
    <row r="132">
      <c r="A132" s="3">
        <v>40.0</v>
      </c>
      <c r="B132" s="3" t="b">
        <v>0</v>
      </c>
      <c r="C132" s="3" t="s">
        <v>435</v>
      </c>
      <c r="G132" s="3" t="s">
        <v>436</v>
      </c>
      <c r="K132" s="3" t="b">
        <v>0</v>
      </c>
      <c r="L132" s="3" t="s">
        <v>437</v>
      </c>
      <c r="N132" s="3" t="s">
        <v>438</v>
      </c>
      <c r="S132" s="4" t="str">
        <f t="shared" si="1"/>
        <v>2013</v>
      </c>
    </row>
    <row r="133">
      <c r="A133" s="3">
        <v>40.0</v>
      </c>
      <c r="B133" s="3" t="b">
        <v>0</v>
      </c>
      <c r="C133" s="3" t="s">
        <v>62</v>
      </c>
      <c r="G133" s="3" t="s">
        <v>439</v>
      </c>
      <c r="K133" s="3" t="b">
        <v>0</v>
      </c>
      <c r="L133" s="3" t="s">
        <v>440</v>
      </c>
      <c r="N133" s="3" t="s">
        <v>441</v>
      </c>
      <c r="S133" s="4" t="str">
        <f t="shared" si="1"/>
        <v>2013</v>
      </c>
    </row>
    <row r="134">
      <c r="A134" s="3">
        <v>40.0</v>
      </c>
      <c r="B134" s="3" t="b">
        <v>0</v>
      </c>
      <c r="C134" s="3" t="s">
        <v>27</v>
      </c>
      <c r="G134" s="3" t="s">
        <v>442</v>
      </c>
      <c r="K134" s="3" t="b">
        <v>0</v>
      </c>
      <c r="L134" s="3" t="s">
        <v>443</v>
      </c>
      <c r="N134" s="3" t="s">
        <v>444</v>
      </c>
      <c r="S134" s="4" t="str">
        <f t="shared" si="1"/>
        <v>2013</v>
      </c>
    </row>
    <row r="135">
      <c r="A135" s="3">
        <v>40.0</v>
      </c>
      <c r="B135" s="3" t="b">
        <v>0</v>
      </c>
      <c r="C135" s="3" t="s">
        <v>46</v>
      </c>
      <c r="G135" s="3" t="s">
        <v>445</v>
      </c>
      <c r="K135" s="3" t="b">
        <v>0</v>
      </c>
      <c r="L135" s="3" t="s">
        <v>446</v>
      </c>
      <c r="N135" s="3" t="s">
        <v>447</v>
      </c>
      <c r="S135" s="4" t="str">
        <f t="shared" si="1"/>
        <v>2013</v>
      </c>
    </row>
    <row r="136">
      <c r="A136" s="3">
        <v>40.0</v>
      </c>
      <c r="B136" s="3" t="b">
        <v>0</v>
      </c>
      <c r="C136" s="3" t="s">
        <v>27</v>
      </c>
      <c r="G136" s="3" t="s">
        <v>448</v>
      </c>
      <c r="K136" s="3" t="b">
        <v>0</v>
      </c>
      <c r="L136" s="3" t="s">
        <v>449</v>
      </c>
      <c r="N136" s="3" t="s">
        <v>450</v>
      </c>
      <c r="S136" s="4" t="str">
        <f t="shared" si="1"/>
        <v>2013</v>
      </c>
    </row>
    <row r="137">
      <c r="A137" s="3">
        <v>40.0</v>
      </c>
      <c r="B137" s="3" t="b">
        <v>0</v>
      </c>
      <c r="C137" s="3" t="s">
        <v>27</v>
      </c>
      <c r="G137" s="3" t="s">
        <v>451</v>
      </c>
      <c r="K137" s="3" t="b">
        <v>0</v>
      </c>
      <c r="L137" s="3" t="s">
        <v>452</v>
      </c>
      <c r="N137" s="3" t="s">
        <v>453</v>
      </c>
      <c r="S137" s="4" t="str">
        <f t="shared" si="1"/>
        <v>2013</v>
      </c>
    </row>
    <row r="138">
      <c r="A138" s="3">
        <v>40.0</v>
      </c>
      <c r="B138" s="3" t="b">
        <v>0</v>
      </c>
      <c r="C138" s="3" t="s">
        <v>27</v>
      </c>
      <c r="E138" s="7">
        <v>1.0</v>
      </c>
      <c r="F138" s="7">
        <v>19.0</v>
      </c>
      <c r="G138" s="3" t="s">
        <v>454</v>
      </c>
      <c r="K138" s="3" t="b">
        <v>1</v>
      </c>
      <c r="L138" s="3" t="s">
        <v>455</v>
      </c>
      <c r="M138" s="7">
        <v>65.0</v>
      </c>
      <c r="N138" s="3" t="s">
        <v>456</v>
      </c>
      <c r="S138" s="4" t="str">
        <f t="shared" si="1"/>
        <v>2013</v>
      </c>
    </row>
    <row r="139">
      <c r="A139" s="3">
        <v>38.0</v>
      </c>
      <c r="B139" s="3" t="b">
        <v>0</v>
      </c>
      <c r="C139" s="3" t="s">
        <v>130</v>
      </c>
      <c r="G139" s="3" t="s">
        <v>457</v>
      </c>
      <c r="K139" s="3" t="b">
        <v>0</v>
      </c>
      <c r="L139" s="3" t="s">
        <v>458</v>
      </c>
      <c r="N139" s="3" t="s">
        <v>459</v>
      </c>
      <c r="S139" s="4" t="str">
        <f t="shared" si="1"/>
        <v>2013</v>
      </c>
    </row>
    <row r="140">
      <c r="A140" s="3">
        <v>38.0</v>
      </c>
      <c r="B140" s="3" t="b">
        <v>0</v>
      </c>
      <c r="C140" s="3" t="s">
        <v>186</v>
      </c>
      <c r="G140" s="3" t="s">
        <v>460</v>
      </c>
      <c r="K140" s="3" t="b">
        <v>0</v>
      </c>
      <c r="L140" s="3" t="s">
        <v>461</v>
      </c>
      <c r="N140" s="3" t="s">
        <v>462</v>
      </c>
      <c r="S140" s="4" t="str">
        <f t="shared" si="1"/>
        <v>2013</v>
      </c>
    </row>
    <row r="141">
      <c r="A141" s="3">
        <v>38.0</v>
      </c>
      <c r="B141" s="3" t="b">
        <v>0</v>
      </c>
      <c r="C141" s="3" t="s">
        <v>205</v>
      </c>
      <c r="G141" s="3" t="s">
        <v>463</v>
      </c>
      <c r="K141" s="3" t="b">
        <v>0</v>
      </c>
      <c r="L141" s="3" t="s">
        <v>464</v>
      </c>
      <c r="N141" s="3" t="s">
        <v>465</v>
      </c>
      <c r="S141" s="4" t="str">
        <f t="shared" si="1"/>
        <v>2013</v>
      </c>
    </row>
    <row r="142">
      <c r="A142" s="3">
        <v>35.0</v>
      </c>
      <c r="B142" s="3" t="b">
        <v>0</v>
      </c>
      <c r="C142" s="3" t="s">
        <v>39</v>
      </c>
      <c r="G142" s="3" t="s">
        <v>298</v>
      </c>
      <c r="K142" s="3" t="b">
        <v>0</v>
      </c>
      <c r="L142" s="3" t="s">
        <v>466</v>
      </c>
      <c r="N142" s="3" t="s">
        <v>467</v>
      </c>
      <c r="S142" s="4" t="str">
        <f t="shared" si="1"/>
        <v>2013</v>
      </c>
    </row>
    <row r="143">
      <c r="A143" s="3">
        <v>35.0</v>
      </c>
      <c r="B143" s="3" t="b">
        <v>0</v>
      </c>
      <c r="C143" s="3" t="s">
        <v>149</v>
      </c>
      <c r="G143" s="3" t="s">
        <v>333</v>
      </c>
      <c r="K143" s="3" t="b">
        <v>0</v>
      </c>
      <c r="L143" s="3" t="s">
        <v>468</v>
      </c>
      <c r="N143" s="3" t="s">
        <v>469</v>
      </c>
      <c r="S143" s="4" t="str">
        <f t="shared" si="1"/>
        <v>2013</v>
      </c>
    </row>
    <row r="144">
      <c r="A144" s="3">
        <v>34.0</v>
      </c>
      <c r="B144" s="3" t="b">
        <v>0</v>
      </c>
      <c r="C144" s="3" t="s">
        <v>58</v>
      </c>
      <c r="G144" s="3" t="s">
        <v>470</v>
      </c>
      <c r="K144" s="3" t="b">
        <v>0</v>
      </c>
      <c r="L144" s="3" t="s">
        <v>471</v>
      </c>
      <c r="N144" s="3" t="s">
        <v>385</v>
      </c>
      <c r="S144" s="4" t="str">
        <f t="shared" si="1"/>
        <v>2013</v>
      </c>
    </row>
    <row r="145">
      <c r="A145" s="3">
        <v>33.0</v>
      </c>
      <c r="B145" s="3" t="b">
        <v>0</v>
      </c>
      <c r="C145" s="3" t="s">
        <v>58</v>
      </c>
      <c r="G145" s="3" t="s">
        <v>472</v>
      </c>
      <c r="K145" s="3" t="b">
        <v>0</v>
      </c>
      <c r="L145" s="3" t="s">
        <v>473</v>
      </c>
      <c r="N145" s="3" t="s">
        <v>474</v>
      </c>
      <c r="S145" s="4" t="str">
        <f t="shared" si="1"/>
        <v>2013</v>
      </c>
    </row>
    <row r="146">
      <c r="A146" s="3">
        <v>31.0</v>
      </c>
      <c r="B146" s="3" t="b">
        <v>0</v>
      </c>
      <c r="C146" s="3" t="s">
        <v>411</v>
      </c>
      <c r="G146" s="3" t="s">
        <v>475</v>
      </c>
      <c r="K146" s="3" t="b">
        <v>0</v>
      </c>
      <c r="L146" s="3" t="s">
        <v>476</v>
      </c>
      <c r="N146" s="3" t="s">
        <v>477</v>
      </c>
      <c r="S146" s="4" t="str">
        <f t="shared" si="1"/>
        <v>2013</v>
      </c>
    </row>
    <row r="147">
      <c r="A147" s="3">
        <v>30.0</v>
      </c>
      <c r="B147" s="3" t="b">
        <v>0</v>
      </c>
      <c r="C147" s="3" t="s">
        <v>186</v>
      </c>
      <c r="G147" s="3" t="s">
        <v>478</v>
      </c>
      <c r="K147" s="3" t="b">
        <v>1</v>
      </c>
      <c r="L147" s="3" t="s">
        <v>479</v>
      </c>
      <c r="N147" s="3" t="s">
        <v>480</v>
      </c>
      <c r="S147" s="4" t="str">
        <f t="shared" si="1"/>
        <v>2013</v>
      </c>
    </row>
    <row r="148">
      <c r="A148" s="3">
        <v>30.0</v>
      </c>
      <c r="B148" s="3" t="b">
        <v>0</v>
      </c>
      <c r="C148" s="3" t="s">
        <v>186</v>
      </c>
      <c r="G148" s="3" t="s">
        <v>481</v>
      </c>
      <c r="K148" s="3" t="b">
        <v>0</v>
      </c>
      <c r="L148" s="3" t="s">
        <v>125</v>
      </c>
      <c r="N148" s="3" t="s">
        <v>482</v>
      </c>
      <c r="S148" s="4" t="str">
        <f t="shared" si="1"/>
        <v>2013</v>
      </c>
    </row>
    <row r="149">
      <c r="A149" s="3">
        <v>30.0</v>
      </c>
      <c r="B149" s="3" t="b">
        <v>0</v>
      </c>
      <c r="C149" s="3" t="s">
        <v>134</v>
      </c>
      <c r="G149" s="3" t="s">
        <v>483</v>
      </c>
      <c r="K149" s="3" t="b">
        <v>0</v>
      </c>
      <c r="L149" s="3" t="s">
        <v>484</v>
      </c>
      <c r="N149" s="3" t="s">
        <v>485</v>
      </c>
      <c r="S149" s="4" t="str">
        <f t="shared" si="1"/>
        <v>2013</v>
      </c>
    </row>
    <row r="150">
      <c r="A150" s="3">
        <v>28.0</v>
      </c>
      <c r="B150" s="3" t="b">
        <v>0</v>
      </c>
      <c r="C150" s="3" t="s">
        <v>73</v>
      </c>
      <c r="G150" s="3" t="s">
        <v>486</v>
      </c>
      <c r="K150" s="3" t="b">
        <v>1</v>
      </c>
      <c r="L150" s="3" t="s">
        <v>487</v>
      </c>
      <c r="N150" s="3" t="s">
        <v>488</v>
      </c>
      <c r="S150" s="4" t="str">
        <f t="shared" si="1"/>
        <v>2013</v>
      </c>
    </row>
    <row r="151">
      <c r="A151" s="3">
        <v>28.0</v>
      </c>
      <c r="B151" s="3" t="b">
        <v>0</v>
      </c>
      <c r="C151" s="3" t="s">
        <v>278</v>
      </c>
      <c r="G151" s="3" t="s">
        <v>486</v>
      </c>
      <c r="K151" s="3" t="b">
        <v>1</v>
      </c>
      <c r="L151" s="3" t="s">
        <v>487</v>
      </c>
      <c r="N151" s="3" t="s">
        <v>488</v>
      </c>
      <c r="S151" s="4" t="str">
        <f t="shared" si="1"/>
        <v>2013</v>
      </c>
    </row>
    <row r="152">
      <c r="A152" s="3">
        <v>28.0</v>
      </c>
      <c r="B152" s="3" t="b">
        <v>0</v>
      </c>
      <c r="C152" s="3" t="s">
        <v>186</v>
      </c>
      <c r="G152" s="3" t="s">
        <v>486</v>
      </c>
      <c r="K152" s="3" t="b">
        <v>1</v>
      </c>
      <c r="L152" s="3" t="s">
        <v>487</v>
      </c>
      <c r="N152" s="3" t="s">
        <v>488</v>
      </c>
      <c r="S152" s="4" t="str">
        <f t="shared" si="1"/>
        <v>2013</v>
      </c>
    </row>
    <row r="153">
      <c r="A153" s="3">
        <v>28.0</v>
      </c>
      <c r="B153" s="3" t="b">
        <v>0</v>
      </c>
      <c r="C153" s="3" t="s">
        <v>489</v>
      </c>
      <c r="G153" s="3" t="s">
        <v>486</v>
      </c>
      <c r="K153" s="3" t="b">
        <v>1</v>
      </c>
      <c r="L153" s="3" t="s">
        <v>487</v>
      </c>
      <c r="N153" s="3" t="s">
        <v>488</v>
      </c>
      <c r="S153" s="4" t="str">
        <f t="shared" si="1"/>
        <v>2013</v>
      </c>
    </row>
    <row r="154">
      <c r="A154" s="3">
        <v>27.0</v>
      </c>
      <c r="B154" s="3" t="b">
        <v>0</v>
      </c>
      <c r="C154" s="3" t="s">
        <v>58</v>
      </c>
      <c r="G154" s="3" t="s">
        <v>490</v>
      </c>
      <c r="K154" s="3" t="b">
        <v>0</v>
      </c>
      <c r="L154" s="3" t="s">
        <v>491</v>
      </c>
      <c r="N154" s="3" t="s">
        <v>492</v>
      </c>
      <c r="S154" s="4" t="str">
        <f t="shared" si="1"/>
        <v>2013</v>
      </c>
    </row>
    <row r="155">
      <c r="A155" s="3">
        <v>25.0</v>
      </c>
      <c r="B155" s="3" t="b">
        <v>0</v>
      </c>
      <c r="C155" s="3" t="s">
        <v>62</v>
      </c>
      <c r="G155" s="3" t="s">
        <v>493</v>
      </c>
      <c r="K155" s="3" t="b">
        <v>0</v>
      </c>
      <c r="L155" s="3" t="s">
        <v>494</v>
      </c>
      <c r="N155" s="3" t="s">
        <v>495</v>
      </c>
      <c r="S155" s="4" t="str">
        <f t="shared" si="1"/>
        <v>2013</v>
      </c>
    </row>
    <row r="156">
      <c r="A156" s="3">
        <v>25.0</v>
      </c>
      <c r="B156" s="3" t="b">
        <v>0</v>
      </c>
      <c r="C156" s="3" t="s">
        <v>186</v>
      </c>
      <c r="G156" s="3" t="s">
        <v>496</v>
      </c>
      <c r="K156" s="3" t="b">
        <v>0</v>
      </c>
      <c r="L156" s="3" t="s">
        <v>497</v>
      </c>
      <c r="N156" s="3" t="s">
        <v>498</v>
      </c>
      <c r="S156" s="4" t="str">
        <f t="shared" si="1"/>
        <v>2013</v>
      </c>
    </row>
    <row r="157">
      <c r="A157" s="3">
        <v>25.0</v>
      </c>
      <c r="B157" s="3" t="b">
        <v>0</v>
      </c>
      <c r="C157" s="3" t="s">
        <v>27</v>
      </c>
      <c r="G157" s="3" t="s">
        <v>499</v>
      </c>
      <c r="K157" s="3" t="b">
        <v>0</v>
      </c>
      <c r="L157" s="3" t="s">
        <v>500</v>
      </c>
      <c r="N157" s="3" t="s">
        <v>501</v>
      </c>
      <c r="S157" s="4" t="str">
        <f t="shared" si="1"/>
        <v>2013</v>
      </c>
    </row>
    <row r="158">
      <c r="A158" s="3">
        <v>23.0</v>
      </c>
      <c r="B158" s="3" t="b">
        <v>0</v>
      </c>
      <c r="C158" s="3" t="s">
        <v>186</v>
      </c>
      <c r="G158" s="3" t="s">
        <v>502</v>
      </c>
      <c r="K158" s="3" t="b">
        <v>0</v>
      </c>
      <c r="L158" s="3" t="s">
        <v>503</v>
      </c>
      <c r="N158" s="3" t="s">
        <v>504</v>
      </c>
      <c r="S158" s="4" t="str">
        <f t="shared" si="1"/>
        <v>2013</v>
      </c>
    </row>
    <row r="159">
      <c r="A159" s="3">
        <v>15.0</v>
      </c>
      <c r="B159" s="3" t="b">
        <v>0</v>
      </c>
      <c r="C159" s="3" t="s">
        <v>313</v>
      </c>
      <c r="G159" s="3" t="s">
        <v>505</v>
      </c>
      <c r="K159" s="3" t="b">
        <v>0</v>
      </c>
      <c r="L159" s="3" t="s">
        <v>506</v>
      </c>
      <c r="N159" s="3" t="s">
        <v>507</v>
      </c>
      <c r="S159" s="4" t="str">
        <f t="shared" si="1"/>
        <v>2013</v>
      </c>
    </row>
    <row r="160">
      <c r="A160" s="3">
        <v>15.0</v>
      </c>
      <c r="B160" s="3" t="b">
        <v>0</v>
      </c>
      <c r="C160" s="3" t="s">
        <v>27</v>
      </c>
      <c r="G160" s="3" t="s">
        <v>508</v>
      </c>
      <c r="K160" s="3" t="b">
        <v>0</v>
      </c>
      <c r="L160" s="3" t="s">
        <v>509</v>
      </c>
      <c r="N160" s="3" t="s">
        <v>510</v>
      </c>
      <c r="S160" s="4" t="str">
        <f t="shared" si="1"/>
        <v>2013</v>
      </c>
    </row>
    <row r="161">
      <c r="A161" s="3">
        <v>15.0</v>
      </c>
      <c r="B161" s="3" t="b">
        <v>0</v>
      </c>
      <c r="C161" s="3" t="s">
        <v>156</v>
      </c>
      <c r="G161" s="3" t="s">
        <v>511</v>
      </c>
      <c r="K161" s="3" t="b">
        <v>0</v>
      </c>
      <c r="L161" s="3" t="s">
        <v>512</v>
      </c>
      <c r="N161" s="3" t="s">
        <v>513</v>
      </c>
      <c r="S161" s="4" t="str">
        <f t="shared" si="1"/>
        <v>2013</v>
      </c>
    </row>
    <row r="162">
      <c r="A162" s="3">
        <v>0.0</v>
      </c>
      <c r="B162" s="3" t="b">
        <v>0</v>
      </c>
      <c r="C162" s="3" t="s">
        <v>50</v>
      </c>
      <c r="G162" s="3" t="s">
        <v>514</v>
      </c>
      <c r="K162" s="3" t="b">
        <v>0</v>
      </c>
      <c r="L162" s="3" t="s">
        <v>515</v>
      </c>
      <c r="N162" s="3" t="s">
        <v>516</v>
      </c>
      <c r="S162" s="4" t="str">
        <f t="shared" si="1"/>
        <v>2013</v>
      </c>
    </row>
    <row r="163">
      <c r="A163" s="3">
        <v>0.0</v>
      </c>
      <c r="B163" s="3" t="b">
        <v>0</v>
      </c>
      <c r="C163" s="3" t="s">
        <v>27</v>
      </c>
      <c r="G163" s="3" t="s">
        <v>517</v>
      </c>
      <c r="K163" s="3" t="b">
        <v>0</v>
      </c>
      <c r="L163" s="3" t="s">
        <v>518</v>
      </c>
      <c r="N163" s="3" t="s">
        <v>519</v>
      </c>
      <c r="S163" s="4" t="str">
        <f t="shared" si="1"/>
        <v>2013</v>
      </c>
    </row>
    <row r="164">
      <c r="A164" s="3">
        <v>97717.0</v>
      </c>
      <c r="B164" s="3" t="b">
        <v>0</v>
      </c>
      <c r="C164" s="3" t="s">
        <v>130</v>
      </c>
      <c r="G164" s="3" t="s">
        <v>520</v>
      </c>
      <c r="J164" s="7">
        <v>12.0</v>
      </c>
      <c r="K164" s="3" t="b">
        <v>1</v>
      </c>
      <c r="L164" s="3" t="s">
        <v>521</v>
      </c>
      <c r="N164" s="3" t="s">
        <v>522</v>
      </c>
      <c r="P164" s="7">
        <v>80.0</v>
      </c>
      <c r="S164" s="4" t="str">
        <f t="shared" si="1"/>
        <v>2014</v>
      </c>
    </row>
    <row r="165">
      <c r="A165" s="3">
        <v>50042.0</v>
      </c>
      <c r="B165" s="3" t="b">
        <v>0</v>
      </c>
      <c r="C165" s="3" t="s">
        <v>46</v>
      </c>
      <c r="G165" s="3" t="s">
        <v>523</v>
      </c>
      <c r="K165" s="3" t="b">
        <v>0</v>
      </c>
      <c r="L165" s="3" t="s">
        <v>524</v>
      </c>
      <c r="N165" s="3" t="s">
        <v>525</v>
      </c>
      <c r="S165" s="4" t="str">
        <f t="shared" si="1"/>
        <v>2014</v>
      </c>
    </row>
    <row r="166">
      <c r="A166" s="3">
        <v>39736.0</v>
      </c>
      <c r="B166" s="3" t="b">
        <v>0</v>
      </c>
      <c r="C166" s="3" t="s">
        <v>58</v>
      </c>
      <c r="G166" s="3" t="s">
        <v>526</v>
      </c>
      <c r="K166" s="3" t="b">
        <v>0</v>
      </c>
      <c r="L166" s="3" t="s">
        <v>527</v>
      </c>
      <c r="N166" s="3" t="s">
        <v>528</v>
      </c>
      <c r="S166" s="4" t="str">
        <f t="shared" si="1"/>
        <v>2014</v>
      </c>
    </row>
    <row r="167">
      <c r="A167" s="3">
        <v>35302.0</v>
      </c>
      <c r="B167" s="3" t="b">
        <v>0</v>
      </c>
      <c r="C167" s="3" t="s">
        <v>46</v>
      </c>
      <c r="G167" s="3" t="s">
        <v>529</v>
      </c>
      <c r="K167" s="3" t="b">
        <v>0</v>
      </c>
      <c r="L167" s="3" t="s">
        <v>530</v>
      </c>
      <c r="N167" s="3" t="s">
        <v>531</v>
      </c>
      <c r="S167" s="4" t="str">
        <f t="shared" si="1"/>
        <v>2014</v>
      </c>
    </row>
    <row r="168">
      <c r="A168" s="3">
        <v>32496.0</v>
      </c>
      <c r="B168" s="3" t="b">
        <v>0</v>
      </c>
      <c r="C168" s="3" t="s">
        <v>46</v>
      </c>
      <c r="G168" s="3" t="s">
        <v>532</v>
      </c>
      <c r="K168" s="3" t="b">
        <v>0</v>
      </c>
      <c r="L168" s="3" t="s">
        <v>533</v>
      </c>
      <c r="N168" s="3" t="s">
        <v>534</v>
      </c>
      <c r="S168" s="4" t="str">
        <f t="shared" si="1"/>
        <v>2014</v>
      </c>
    </row>
    <row r="169">
      <c r="A169" s="3">
        <v>32416.0</v>
      </c>
      <c r="B169" s="3" t="b">
        <v>0</v>
      </c>
      <c r="C169" s="3" t="s">
        <v>58</v>
      </c>
      <c r="D169" s="7">
        <v>1.0</v>
      </c>
      <c r="F169" s="7">
        <v>8.0</v>
      </c>
      <c r="G169" s="3" t="s">
        <v>535</v>
      </c>
      <c r="J169" s="7">
        <v>11.0</v>
      </c>
      <c r="K169" s="3" t="b">
        <v>1</v>
      </c>
      <c r="L169" s="3" t="s">
        <v>536</v>
      </c>
      <c r="M169" s="7">
        <v>78.0</v>
      </c>
      <c r="N169" s="3" t="s">
        <v>537</v>
      </c>
      <c r="P169" s="7">
        <v>21.0</v>
      </c>
      <c r="S169" s="4" t="str">
        <f t="shared" si="1"/>
        <v>2014</v>
      </c>
    </row>
    <row r="170">
      <c r="A170" s="3">
        <v>14416.0</v>
      </c>
      <c r="B170" s="3" t="b">
        <v>0</v>
      </c>
      <c r="C170" s="3" t="s">
        <v>62</v>
      </c>
      <c r="G170" s="3" t="s">
        <v>538</v>
      </c>
      <c r="K170" s="3" t="b">
        <v>0</v>
      </c>
      <c r="L170" s="3" t="s">
        <v>539</v>
      </c>
      <c r="N170" s="3" t="s">
        <v>540</v>
      </c>
      <c r="S170" s="4" t="str">
        <f t="shared" si="1"/>
        <v>2014</v>
      </c>
    </row>
    <row r="171">
      <c r="A171" s="3">
        <v>13838.0</v>
      </c>
      <c r="B171" s="3" t="b">
        <v>0</v>
      </c>
      <c r="C171" s="3" t="s">
        <v>156</v>
      </c>
      <c r="G171" s="3" t="s">
        <v>541</v>
      </c>
      <c r="K171" s="3" t="b">
        <v>0</v>
      </c>
      <c r="L171" s="3" t="s">
        <v>542</v>
      </c>
      <c r="N171" s="3" t="s">
        <v>543</v>
      </c>
      <c r="S171" s="4" t="str">
        <f t="shared" si="1"/>
        <v>2014</v>
      </c>
    </row>
    <row r="172">
      <c r="A172" s="3">
        <v>13153.0</v>
      </c>
      <c r="B172" s="3" t="b">
        <v>0</v>
      </c>
      <c r="C172" s="3" t="s">
        <v>145</v>
      </c>
      <c r="D172" s="7">
        <v>7.0</v>
      </c>
      <c r="E172" s="7">
        <v>2.0</v>
      </c>
      <c r="F172" s="7">
        <v>20.0</v>
      </c>
      <c r="G172" s="3" t="s">
        <v>544</v>
      </c>
      <c r="I172" s="7">
        <v>2.0</v>
      </c>
      <c r="J172" s="3">
        <v>7.0</v>
      </c>
      <c r="K172" s="3" t="b">
        <v>1</v>
      </c>
      <c r="L172" s="3" t="s">
        <v>545</v>
      </c>
      <c r="M172" s="7">
        <v>297.0</v>
      </c>
      <c r="N172" s="3" t="s">
        <v>546</v>
      </c>
      <c r="P172" s="3">
        <v>6.0</v>
      </c>
      <c r="S172" s="4" t="str">
        <f t="shared" si="1"/>
        <v>2014</v>
      </c>
    </row>
    <row r="173">
      <c r="A173" s="3">
        <v>12661.0</v>
      </c>
      <c r="B173" s="3" t="b">
        <v>0</v>
      </c>
      <c r="C173" s="3" t="s">
        <v>58</v>
      </c>
      <c r="G173" s="3" t="s">
        <v>547</v>
      </c>
      <c r="J173" s="3">
        <v>21.0</v>
      </c>
      <c r="K173" s="3" t="b">
        <v>1</v>
      </c>
      <c r="L173" s="3" t="s">
        <v>548</v>
      </c>
      <c r="N173" s="3" t="s">
        <v>549</v>
      </c>
      <c r="P173" s="3">
        <v>20.0</v>
      </c>
      <c r="R173" s="7">
        <v>0.0</v>
      </c>
      <c r="S173" s="4" t="str">
        <f t="shared" si="1"/>
        <v>2014</v>
      </c>
    </row>
    <row r="174">
      <c r="A174" s="3">
        <v>12536.0</v>
      </c>
      <c r="B174" s="3" t="b">
        <v>0</v>
      </c>
      <c r="C174" s="3" t="s">
        <v>313</v>
      </c>
      <c r="G174" s="3" t="s">
        <v>550</v>
      </c>
      <c r="J174" s="3">
        <v>15.0</v>
      </c>
      <c r="K174" s="3" t="b">
        <v>1</v>
      </c>
      <c r="L174" s="3" t="s">
        <v>551</v>
      </c>
      <c r="N174" s="3" t="s">
        <v>552</v>
      </c>
      <c r="S174" s="4" t="str">
        <f t="shared" si="1"/>
        <v>2014</v>
      </c>
    </row>
    <row r="175">
      <c r="A175" s="3">
        <v>6488.0</v>
      </c>
      <c r="B175" s="3" t="b">
        <v>0</v>
      </c>
      <c r="C175" s="3" t="s">
        <v>240</v>
      </c>
      <c r="F175" s="7">
        <v>2.0</v>
      </c>
      <c r="G175" s="3" t="s">
        <v>553</v>
      </c>
      <c r="J175" s="3">
        <v>5.0</v>
      </c>
      <c r="K175" s="3" t="b">
        <v>1</v>
      </c>
      <c r="L175" s="3" t="s">
        <v>554</v>
      </c>
      <c r="M175" s="7">
        <v>87.0</v>
      </c>
      <c r="N175" s="3" t="s">
        <v>555</v>
      </c>
      <c r="S175" s="4" t="str">
        <f t="shared" si="1"/>
        <v>2014</v>
      </c>
    </row>
    <row r="176">
      <c r="A176" s="3">
        <v>6258.0</v>
      </c>
      <c r="B176" s="3" t="b">
        <v>0</v>
      </c>
      <c r="C176" s="3" t="s">
        <v>58</v>
      </c>
      <c r="G176" s="3" t="s">
        <v>556</v>
      </c>
      <c r="K176" s="3" t="b">
        <v>0</v>
      </c>
      <c r="L176" s="3" t="s">
        <v>557</v>
      </c>
      <c r="N176" s="3" t="s">
        <v>558</v>
      </c>
      <c r="S176" s="4" t="str">
        <f t="shared" si="1"/>
        <v>2014</v>
      </c>
    </row>
    <row r="177">
      <c r="A177" s="3">
        <v>5503.0</v>
      </c>
      <c r="B177" s="3" t="b">
        <v>0</v>
      </c>
      <c r="C177" s="3" t="s">
        <v>46</v>
      </c>
      <c r="G177" s="3" t="s">
        <v>559</v>
      </c>
      <c r="K177" s="3" t="b">
        <v>0</v>
      </c>
      <c r="L177" s="3" t="s">
        <v>560</v>
      </c>
      <c r="N177" s="3" t="s">
        <v>561</v>
      </c>
      <c r="S177" s="4" t="str">
        <f t="shared" si="1"/>
        <v>2014</v>
      </c>
    </row>
    <row r="178">
      <c r="A178" s="3">
        <v>5367.0</v>
      </c>
      <c r="B178" s="3" t="b">
        <v>0</v>
      </c>
      <c r="C178" s="3" t="s">
        <v>62</v>
      </c>
      <c r="G178" s="3" t="s">
        <v>562</v>
      </c>
      <c r="K178" s="3" t="b">
        <v>1</v>
      </c>
      <c r="L178" s="3" t="s">
        <v>563</v>
      </c>
      <c r="N178" s="3" t="s">
        <v>564</v>
      </c>
      <c r="S178" s="4" t="str">
        <f t="shared" si="1"/>
        <v>2014</v>
      </c>
    </row>
    <row r="179">
      <c r="A179" s="3">
        <v>4840.0</v>
      </c>
      <c r="B179" s="3" t="b">
        <v>0</v>
      </c>
      <c r="C179" s="3" t="s">
        <v>114</v>
      </c>
      <c r="G179" s="3" t="s">
        <v>565</v>
      </c>
      <c r="K179" s="3" t="b">
        <v>0</v>
      </c>
      <c r="L179" s="3" t="s">
        <v>566</v>
      </c>
      <c r="N179" s="3" t="s">
        <v>567</v>
      </c>
      <c r="S179" s="4" t="str">
        <f t="shared" si="1"/>
        <v>2014</v>
      </c>
    </row>
    <row r="180">
      <c r="A180" s="3">
        <v>4772.0</v>
      </c>
      <c r="B180" s="3" t="b">
        <v>0</v>
      </c>
      <c r="C180" s="3" t="s">
        <v>101</v>
      </c>
      <c r="G180" s="3" t="s">
        <v>568</v>
      </c>
      <c r="K180" s="3" t="b">
        <v>0</v>
      </c>
      <c r="L180" s="3" t="s">
        <v>569</v>
      </c>
      <c r="N180" s="3" t="s">
        <v>570</v>
      </c>
      <c r="S180" s="4" t="str">
        <f t="shared" si="1"/>
        <v>2014</v>
      </c>
    </row>
    <row r="181">
      <c r="A181" s="3">
        <v>4689.0</v>
      </c>
      <c r="B181" s="3" t="b">
        <v>0</v>
      </c>
      <c r="C181" s="3" t="s">
        <v>101</v>
      </c>
      <c r="G181" s="3" t="s">
        <v>571</v>
      </c>
      <c r="K181" s="3" t="b">
        <v>0</v>
      </c>
      <c r="L181" s="3" t="s">
        <v>572</v>
      </c>
      <c r="N181" s="3" t="s">
        <v>573</v>
      </c>
      <c r="S181" s="4" t="str">
        <f t="shared" si="1"/>
        <v>2014</v>
      </c>
    </row>
    <row r="182">
      <c r="A182" s="3">
        <v>4300.0</v>
      </c>
      <c r="B182" s="3" t="b">
        <v>0</v>
      </c>
      <c r="C182" s="3" t="s">
        <v>166</v>
      </c>
      <c r="G182" s="3" t="s">
        <v>574</v>
      </c>
      <c r="J182" s="3">
        <v>4.0</v>
      </c>
      <c r="K182" s="3" t="b">
        <v>1</v>
      </c>
      <c r="L182" s="3" t="s">
        <v>575</v>
      </c>
      <c r="M182" s="3">
        <v>0.0</v>
      </c>
      <c r="N182" s="3" t="s">
        <v>576</v>
      </c>
      <c r="P182" s="3">
        <v>9.0</v>
      </c>
      <c r="S182" s="4" t="str">
        <f t="shared" si="1"/>
        <v>2014</v>
      </c>
    </row>
    <row r="183">
      <c r="A183" s="3">
        <v>4300.0</v>
      </c>
      <c r="B183" s="3" t="b">
        <v>0</v>
      </c>
      <c r="C183" s="3" t="s">
        <v>186</v>
      </c>
      <c r="G183" s="3" t="s">
        <v>574</v>
      </c>
      <c r="J183" s="3">
        <v>4.0</v>
      </c>
      <c r="K183" s="3" t="b">
        <v>1</v>
      </c>
      <c r="L183" s="3" t="s">
        <v>575</v>
      </c>
      <c r="M183" s="3">
        <v>0.0</v>
      </c>
      <c r="N183" s="3" t="s">
        <v>576</v>
      </c>
      <c r="P183" s="3">
        <v>9.0</v>
      </c>
      <c r="S183" s="4" t="str">
        <f t="shared" si="1"/>
        <v>2014</v>
      </c>
    </row>
    <row r="184">
      <c r="A184" s="3">
        <v>4240.0</v>
      </c>
      <c r="B184" s="3" t="b">
        <v>0</v>
      </c>
      <c r="C184" s="3" t="s">
        <v>324</v>
      </c>
      <c r="D184" s="3">
        <v>1.0</v>
      </c>
      <c r="F184" s="3">
        <v>3.0</v>
      </c>
      <c r="G184" s="3" t="s">
        <v>577</v>
      </c>
      <c r="J184" s="3">
        <v>2.0</v>
      </c>
      <c r="K184" s="3" t="b">
        <v>1</v>
      </c>
      <c r="L184" s="3" t="s">
        <v>578</v>
      </c>
      <c r="M184" s="3">
        <v>40.0</v>
      </c>
      <c r="N184" s="3" t="s">
        <v>579</v>
      </c>
      <c r="P184" s="3">
        <v>67.0</v>
      </c>
      <c r="S184" s="4" t="str">
        <f t="shared" si="1"/>
        <v>2014</v>
      </c>
    </row>
    <row r="185">
      <c r="A185" s="3">
        <v>4240.0</v>
      </c>
      <c r="B185" s="3" t="b">
        <v>0</v>
      </c>
      <c r="C185" s="3" t="s">
        <v>130</v>
      </c>
      <c r="D185" s="3">
        <v>1.0</v>
      </c>
      <c r="F185" s="3">
        <v>3.0</v>
      </c>
      <c r="G185" s="3" t="s">
        <v>577</v>
      </c>
      <c r="J185" s="3">
        <v>2.0</v>
      </c>
      <c r="K185" s="3" t="b">
        <v>1</v>
      </c>
      <c r="L185" s="3" t="s">
        <v>578</v>
      </c>
      <c r="M185" s="3">
        <v>40.0</v>
      </c>
      <c r="N185" s="3" t="s">
        <v>579</v>
      </c>
      <c r="P185" s="3">
        <v>67.0</v>
      </c>
      <c r="S185" s="4" t="str">
        <f t="shared" si="1"/>
        <v>2014</v>
      </c>
    </row>
    <row r="186">
      <c r="A186" s="3">
        <v>4045.0</v>
      </c>
      <c r="B186" s="3" t="b">
        <v>0</v>
      </c>
      <c r="C186" s="3" t="s">
        <v>69</v>
      </c>
      <c r="G186" s="3" t="s">
        <v>580</v>
      </c>
      <c r="K186" s="3" t="b">
        <v>0</v>
      </c>
      <c r="L186" s="3" t="s">
        <v>581</v>
      </c>
      <c r="N186" s="3" t="s">
        <v>582</v>
      </c>
      <c r="S186" s="4" t="str">
        <f t="shared" si="1"/>
        <v>2014</v>
      </c>
    </row>
    <row r="187">
      <c r="A187" s="3">
        <v>3895.0</v>
      </c>
      <c r="B187" s="3" t="b">
        <v>0</v>
      </c>
      <c r="C187" s="3" t="s">
        <v>69</v>
      </c>
      <c r="G187" s="3" t="s">
        <v>583</v>
      </c>
      <c r="K187" s="3" t="b">
        <v>0</v>
      </c>
      <c r="L187" s="3" t="s">
        <v>119</v>
      </c>
      <c r="N187" s="3" t="s">
        <v>584</v>
      </c>
      <c r="S187" s="4" t="str">
        <f t="shared" si="1"/>
        <v>2014</v>
      </c>
    </row>
    <row r="188">
      <c r="A188" s="3">
        <v>2143.0</v>
      </c>
      <c r="B188" s="3" t="b">
        <v>0</v>
      </c>
      <c r="C188" s="3" t="s">
        <v>134</v>
      </c>
      <c r="D188" s="3">
        <v>22.0</v>
      </c>
      <c r="F188" s="3">
        <v>25.0</v>
      </c>
      <c r="G188" s="3" t="s">
        <v>585</v>
      </c>
      <c r="J188" s="3">
        <v>3.0</v>
      </c>
      <c r="K188" s="3" t="b">
        <v>1</v>
      </c>
      <c r="L188" s="3" t="s">
        <v>586</v>
      </c>
      <c r="M188" s="3">
        <v>583.0</v>
      </c>
      <c r="N188" s="3" t="s">
        <v>587</v>
      </c>
      <c r="O188" s="7">
        <v>1.0</v>
      </c>
      <c r="P188" s="3">
        <v>0.0</v>
      </c>
      <c r="S188" s="4" t="str">
        <f t="shared" si="1"/>
        <v>2014</v>
      </c>
    </row>
    <row r="189">
      <c r="A189" s="3">
        <v>1995.0</v>
      </c>
      <c r="B189" s="3" t="b">
        <v>0</v>
      </c>
      <c r="C189" s="3" t="s">
        <v>62</v>
      </c>
      <c r="D189" s="3">
        <v>13.0</v>
      </c>
      <c r="E189" s="7">
        <v>1.0</v>
      </c>
      <c r="F189" s="3">
        <v>21.0</v>
      </c>
      <c r="G189" s="3" t="s">
        <v>588</v>
      </c>
      <c r="J189" s="3">
        <v>3.0</v>
      </c>
      <c r="K189" s="3" t="b">
        <v>1</v>
      </c>
      <c r="L189" s="3" t="s">
        <v>589</v>
      </c>
      <c r="M189" s="3">
        <v>514.0</v>
      </c>
      <c r="N189" s="3" t="s">
        <v>590</v>
      </c>
      <c r="P189" s="3">
        <v>40.0</v>
      </c>
      <c r="S189" s="4" t="str">
        <f t="shared" si="1"/>
        <v>2014</v>
      </c>
    </row>
    <row r="190">
      <c r="A190" s="3">
        <v>1952.0</v>
      </c>
      <c r="B190" s="3" t="b">
        <v>0</v>
      </c>
      <c r="C190" s="3" t="s">
        <v>23</v>
      </c>
      <c r="G190" s="3" t="s">
        <v>591</v>
      </c>
      <c r="K190" s="3" t="b">
        <v>0</v>
      </c>
      <c r="L190" s="3" t="s">
        <v>592</v>
      </c>
      <c r="N190" s="3" t="s">
        <v>593</v>
      </c>
      <c r="S190" s="4" t="str">
        <f t="shared" si="1"/>
        <v>2014</v>
      </c>
    </row>
    <row r="191">
      <c r="A191" s="3">
        <v>1680.0</v>
      </c>
      <c r="B191" s="3" t="b">
        <v>0</v>
      </c>
      <c r="C191" s="3" t="s">
        <v>69</v>
      </c>
      <c r="G191" s="3" t="s">
        <v>594</v>
      </c>
      <c r="K191" s="3" t="b">
        <v>0</v>
      </c>
      <c r="L191" s="3" t="s">
        <v>595</v>
      </c>
      <c r="N191" s="3" t="s">
        <v>596</v>
      </c>
      <c r="S191" s="4" t="str">
        <f t="shared" si="1"/>
        <v>2014</v>
      </c>
    </row>
    <row r="192">
      <c r="A192" s="3">
        <v>1651.0</v>
      </c>
      <c r="B192" s="3" t="b">
        <v>0</v>
      </c>
      <c r="C192" s="3" t="s">
        <v>145</v>
      </c>
      <c r="G192" s="3" t="s">
        <v>597</v>
      </c>
      <c r="K192" s="3" t="b">
        <v>0</v>
      </c>
      <c r="L192" s="3" t="s">
        <v>598</v>
      </c>
      <c r="N192" s="3" t="s">
        <v>599</v>
      </c>
      <c r="S192" s="4" t="str">
        <f t="shared" si="1"/>
        <v>2014</v>
      </c>
    </row>
    <row r="193">
      <c r="A193" s="3">
        <v>1548.0</v>
      </c>
      <c r="B193" s="3" t="b">
        <v>0</v>
      </c>
      <c r="C193" s="3" t="s">
        <v>62</v>
      </c>
      <c r="D193" s="3">
        <v>4.0</v>
      </c>
      <c r="G193" s="3" t="s">
        <v>600</v>
      </c>
      <c r="J193" s="7">
        <v>3.0</v>
      </c>
      <c r="K193" s="3" t="b">
        <v>1</v>
      </c>
      <c r="L193" s="3" t="s">
        <v>601</v>
      </c>
      <c r="M193" s="3">
        <v>211.0</v>
      </c>
      <c r="N193" s="3" t="s">
        <v>602</v>
      </c>
      <c r="R193" s="7">
        <v>50.0</v>
      </c>
      <c r="S193" s="4" t="str">
        <f t="shared" si="1"/>
        <v>2014</v>
      </c>
    </row>
    <row r="194">
      <c r="A194" s="3">
        <v>1469.0</v>
      </c>
      <c r="B194" s="3" t="b">
        <v>0</v>
      </c>
      <c r="C194" s="3" t="s">
        <v>145</v>
      </c>
      <c r="D194" s="3">
        <v>8.0</v>
      </c>
      <c r="F194" s="7">
        <v>17.0</v>
      </c>
      <c r="G194" s="3" t="s">
        <v>603</v>
      </c>
      <c r="I194" s="7">
        <v>2.0</v>
      </c>
      <c r="K194" s="3" t="b">
        <v>1</v>
      </c>
      <c r="L194" s="3" t="s">
        <v>604</v>
      </c>
      <c r="M194" s="3">
        <v>427.0</v>
      </c>
      <c r="N194" s="3" t="s">
        <v>605</v>
      </c>
      <c r="S194" s="4" t="str">
        <f t="shared" si="1"/>
        <v>2014</v>
      </c>
    </row>
    <row r="195">
      <c r="A195" s="3">
        <v>1457.0</v>
      </c>
      <c r="B195" s="3" t="b">
        <v>0</v>
      </c>
      <c r="C195" s="3" t="s">
        <v>62</v>
      </c>
      <c r="G195" s="3" t="s">
        <v>606</v>
      </c>
      <c r="K195" s="3" t="b">
        <v>0</v>
      </c>
      <c r="L195" s="3" t="s">
        <v>607</v>
      </c>
      <c r="N195" s="3" t="s">
        <v>608</v>
      </c>
      <c r="S195" s="4" t="str">
        <f t="shared" si="1"/>
        <v>2014</v>
      </c>
    </row>
    <row r="196">
      <c r="A196" s="3">
        <v>1375.0</v>
      </c>
      <c r="B196" s="3" t="b">
        <v>0</v>
      </c>
      <c r="C196" s="3" t="s">
        <v>58</v>
      </c>
      <c r="D196" s="7">
        <v>4.0</v>
      </c>
      <c r="F196" s="7">
        <v>7.0</v>
      </c>
      <c r="G196" s="3" t="s">
        <v>609</v>
      </c>
      <c r="J196" s="7">
        <v>4.0</v>
      </c>
      <c r="K196" s="3" t="b">
        <v>1</v>
      </c>
      <c r="L196" s="3" t="s">
        <v>604</v>
      </c>
      <c r="M196" s="7">
        <v>169.0</v>
      </c>
      <c r="N196" s="3" t="s">
        <v>610</v>
      </c>
      <c r="P196" s="7">
        <v>4.0</v>
      </c>
      <c r="S196" s="4" t="str">
        <f t="shared" si="1"/>
        <v>2014</v>
      </c>
    </row>
    <row r="197">
      <c r="A197" s="3">
        <v>1080.0</v>
      </c>
      <c r="B197" s="3" t="b">
        <v>0</v>
      </c>
      <c r="C197" s="3" t="s">
        <v>101</v>
      </c>
      <c r="G197" s="3" t="s">
        <v>611</v>
      </c>
      <c r="K197" s="3" t="b">
        <v>0</v>
      </c>
      <c r="L197" s="3" t="s">
        <v>612</v>
      </c>
      <c r="N197" s="3" t="s">
        <v>613</v>
      </c>
      <c r="S197" s="4" t="str">
        <f t="shared" si="1"/>
        <v>2014</v>
      </c>
    </row>
    <row r="198">
      <c r="A198" s="3">
        <v>968.0</v>
      </c>
      <c r="B198" s="3" t="b">
        <v>0</v>
      </c>
      <c r="C198" s="3" t="s">
        <v>435</v>
      </c>
      <c r="G198" s="3" t="s">
        <v>614</v>
      </c>
      <c r="K198" s="3" t="b">
        <v>0</v>
      </c>
      <c r="L198" s="3" t="s">
        <v>235</v>
      </c>
      <c r="N198" s="3" t="s">
        <v>615</v>
      </c>
      <c r="S198" s="4" t="str">
        <f t="shared" si="1"/>
        <v>2014</v>
      </c>
    </row>
    <row r="199">
      <c r="A199" s="3">
        <v>865.0</v>
      </c>
      <c r="B199" s="3" t="b">
        <v>0</v>
      </c>
      <c r="C199" s="3" t="s">
        <v>54</v>
      </c>
      <c r="G199" s="3" t="s">
        <v>616</v>
      </c>
      <c r="K199" s="3" t="b">
        <v>0</v>
      </c>
      <c r="L199" s="3" t="s">
        <v>617</v>
      </c>
      <c r="N199" s="3" t="s">
        <v>618</v>
      </c>
      <c r="S199" s="4" t="str">
        <f t="shared" si="1"/>
        <v>2014</v>
      </c>
    </row>
    <row r="200">
      <c r="A200" s="3">
        <v>677.0</v>
      </c>
      <c r="B200" s="3" t="b">
        <v>0</v>
      </c>
      <c r="C200" s="3" t="s">
        <v>101</v>
      </c>
      <c r="D200" s="3">
        <v>2.0</v>
      </c>
      <c r="F200" s="3">
        <v>2.0</v>
      </c>
      <c r="G200" s="3" t="s">
        <v>619</v>
      </c>
      <c r="J200" s="7">
        <v>9.0</v>
      </c>
      <c r="K200" s="3" t="b">
        <v>1</v>
      </c>
      <c r="L200" s="3" t="s">
        <v>620</v>
      </c>
      <c r="M200" s="3">
        <v>32.0</v>
      </c>
      <c r="N200" s="3" t="s">
        <v>621</v>
      </c>
      <c r="P200" s="7">
        <v>3.0</v>
      </c>
      <c r="S200" s="4" t="str">
        <f t="shared" si="1"/>
        <v>2014</v>
      </c>
    </row>
    <row r="201">
      <c r="A201" s="3">
        <v>632.0</v>
      </c>
      <c r="B201" s="3" t="b">
        <v>0</v>
      </c>
      <c r="C201" s="3" t="s">
        <v>97</v>
      </c>
      <c r="D201" s="3">
        <v>10.0</v>
      </c>
      <c r="E201" s="3">
        <v>1.0</v>
      </c>
      <c r="F201" s="3">
        <v>10.0</v>
      </c>
      <c r="G201" s="3" t="s">
        <v>562</v>
      </c>
      <c r="I201" s="7">
        <v>1.0</v>
      </c>
      <c r="K201" s="3" t="b">
        <v>1</v>
      </c>
      <c r="L201" s="3" t="s">
        <v>622</v>
      </c>
      <c r="M201" s="3">
        <v>548.0</v>
      </c>
      <c r="N201" s="3" t="s">
        <v>623</v>
      </c>
      <c r="R201" s="7">
        <v>1200.0</v>
      </c>
      <c r="S201" s="4" t="str">
        <f t="shared" si="1"/>
        <v>2014</v>
      </c>
    </row>
    <row r="202">
      <c r="A202" s="3">
        <v>612.0</v>
      </c>
      <c r="B202" s="3" t="b">
        <v>0</v>
      </c>
      <c r="C202" s="3" t="s">
        <v>156</v>
      </c>
      <c r="D202" s="3">
        <v>6.0</v>
      </c>
      <c r="E202" s="3">
        <v>2.0</v>
      </c>
      <c r="F202" s="3">
        <v>7.0</v>
      </c>
      <c r="G202" s="3" t="s">
        <v>624</v>
      </c>
      <c r="J202" s="7">
        <v>3.0</v>
      </c>
      <c r="K202" s="3" t="b">
        <v>1</v>
      </c>
      <c r="L202" s="3" t="s">
        <v>625</v>
      </c>
      <c r="M202" s="3">
        <v>188.0</v>
      </c>
      <c r="N202" s="3" t="s">
        <v>626</v>
      </c>
      <c r="P202" s="7">
        <v>47.0</v>
      </c>
      <c r="S202" s="4" t="str">
        <f t="shared" si="1"/>
        <v>2014</v>
      </c>
    </row>
    <row r="203">
      <c r="A203" s="3">
        <v>600.0</v>
      </c>
      <c r="B203" s="3" t="b">
        <v>0</v>
      </c>
      <c r="C203" s="3" t="s">
        <v>62</v>
      </c>
      <c r="G203" s="3" t="s">
        <v>627</v>
      </c>
      <c r="K203" s="3" t="b">
        <v>0</v>
      </c>
      <c r="L203" s="3" t="s">
        <v>628</v>
      </c>
      <c r="N203" s="3" t="s">
        <v>629</v>
      </c>
      <c r="S203" s="4" t="str">
        <f t="shared" si="1"/>
        <v>2014</v>
      </c>
    </row>
    <row r="204">
      <c r="A204" s="3">
        <v>580.0</v>
      </c>
      <c r="B204" s="3" t="b">
        <v>0</v>
      </c>
      <c r="C204" s="3" t="s">
        <v>630</v>
      </c>
      <c r="D204" s="3">
        <v>82.0</v>
      </c>
      <c r="F204" s="3">
        <v>3.0</v>
      </c>
      <c r="G204" s="3" t="s">
        <v>631</v>
      </c>
      <c r="J204" s="3">
        <v>2.0</v>
      </c>
      <c r="K204" s="3" t="b">
        <v>1</v>
      </c>
      <c r="L204" s="3" t="s">
        <v>632</v>
      </c>
      <c r="M204" s="3">
        <v>46.0</v>
      </c>
      <c r="N204" s="3" t="s">
        <v>633</v>
      </c>
      <c r="P204" s="3">
        <v>1.0</v>
      </c>
      <c r="S204" s="4" t="str">
        <f t="shared" si="1"/>
        <v>2014</v>
      </c>
    </row>
    <row r="205">
      <c r="A205" s="3">
        <v>516.0</v>
      </c>
      <c r="B205" s="3" t="b">
        <v>0</v>
      </c>
      <c r="C205" s="3" t="s">
        <v>46</v>
      </c>
      <c r="D205" s="3">
        <v>14.0</v>
      </c>
      <c r="E205" s="7">
        <v>2.0</v>
      </c>
      <c r="F205" s="3">
        <v>10.0</v>
      </c>
      <c r="G205" s="3" t="s">
        <v>634</v>
      </c>
      <c r="J205" s="3">
        <v>1.0</v>
      </c>
      <c r="K205" s="3" t="b">
        <v>1</v>
      </c>
      <c r="L205" s="3" t="s">
        <v>635</v>
      </c>
      <c r="M205" s="3">
        <v>453.0</v>
      </c>
      <c r="N205" s="3" t="s">
        <v>636</v>
      </c>
      <c r="O205" s="7">
        <v>7.0</v>
      </c>
      <c r="P205" s="3">
        <v>165.0</v>
      </c>
      <c r="R205" s="7">
        <v>1100.0</v>
      </c>
      <c r="S205" s="4" t="str">
        <f t="shared" si="1"/>
        <v>2014</v>
      </c>
    </row>
    <row r="206">
      <c r="A206" s="3">
        <v>487.0</v>
      </c>
      <c r="B206" s="3" t="b">
        <v>0</v>
      </c>
      <c r="C206" s="3" t="s">
        <v>19</v>
      </c>
      <c r="G206" s="3" t="s">
        <v>637</v>
      </c>
      <c r="K206" s="3" t="b">
        <v>0</v>
      </c>
      <c r="L206" s="3" t="s">
        <v>638</v>
      </c>
      <c r="N206" s="3" t="s">
        <v>639</v>
      </c>
      <c r="S206" s="4" t="str">
        <f t="shared" si="1"/>
        <v>2014</v>
      </c>
    </row>
    <row r="207">
      <c r="A207" s="3">
        <v>459.0</v>
      </c>
      <c r="B207" s="3" t="b">
        <v>0</v>
      </c>
      <c r="C207" s="3" t="s">
        <v>31</v>
      </c>
      <c r="G207" s="3" t="s">
        <v>640</v>
      </c>
      <c r="J207" s="3">
        <v>2.0</v>
      </c>
      <c r="K207" s="3" t="b">
        <v>1</v>
      </c>
      <c r="L207" s="3" t="s">
        <v>641</v>
      </c>
      <c r="N207" s="3" t="s">
        <v>642</v>
      </c>
      <c r="P207" s="3">
        <v>10.0</v>
      </c>
      <c r="S207" s="4" t="str">
        <f t="shared" si="1"/>
        <v>2014</v>
      </c>
    </row>
    <row r="208">
      <c r="A208" s="3">
        <v>403.0</v>
      </c>
      <c r="B208" s="3" t="b">
        <v>0</v>
      </c>
      <c r="C208" s="3" t="s">
        <v>313</v>
      </c>
      <c r="F208" s="7">
        <v>1.0</v>
      </c>
      <c r="G208" s="3" t="s">
        <v>643</v>
      </c>
      <c r="J208" s="3">
        <v>3.0</v>
      </c>
      <c r="K208" s="3" t="b">
        <v>1</v>
      </c>
      <c r="L208" s="3" t="s">
        <v>644</v>
      </c>
      <c r="M208" s="7">
        <v>15.0</v>
      </c>
      <c r="N208" s="3" t="s">
        <v>645</v>
      </c>
      <c r="P208" s="3">
        <v>11.0</v>
      </c>
      <c r="S208" s="4" t="str">
        <f t="shared" si="1"/>
        <v>2014</v>
      </c>
    </row>
    <row r="209">
      <c r="A209" s="3">
        <v>400.0</v>
      </c>
      <c r="B209" s="3" t="b">
        <v>0</v>
      </c>
      <c r="C209" s="3" t="s">
        <v>114</v>
      </c>
      <c r="G209" s="3" t="s">
        <v>646</v>
      </c>
      <c r="K209" s="3" t="b">
        <v>1</v>
      </c>
      <c r="L209" s="3" t="s">
        <v>647</v>
      </c>
      <c r="N209" s="3" t="s">
        <v>648</v>
      </c>
      <c r="S209" s="4" t="str">
        <f t="shared" si="1"/>
        <v>2014</v>
      </c>
    </row>
    <row r="210">
      <c r="A210" s="3">
        <v>389.0</v>
      </c>
      <c r="B210" s="3" t="b">
        <v>0</v>
      </c>
      <c r="C210" s="3" t="s">
        <v>87</v>
      </c>
      <c r="D210" s="7">
        <v>29.0</v>
      </c>
      <c r="E210" s="7">
        <v>5.0</v>
      </c>
      <c r="F210" s="7">
        <v>46.0</v>
      </c>
      <c r="G210" s="3" t="s">
        <v>649</v>
      </c>
      <c r="I210" s="7">
        <v>1.0</v>
      </c>
      <c r="J210" s="7">
        <v>4.0</v>
      </c>
      <c r="K210" s="3" t="b">
        <v>1</v>
      </c>
      <c r="L210" s="3" t="s">
        <v>650</v>
      </c>
      <c r="M210" s="7">
        <v>835.0</v>
      </c>
      <c r="N210" s="3" t="s">
        <v>651</v>
      </c>
      <c r="S210" s="4" t="str">
        <f t="shared" si="1"/>
        <v>2014</v>
      </c>
    </row>
    <row r="211">
      <c r="A211" s="3">
        <v>380.0</v>
      </c>
      <c r="B211" s="3" t="b">
        <v>0</v>
      </c>
      <c r="C211" s="3" t="s">
        <v>62</v>
      </c>
      <c r="G211" s="3" t="s">
        <v>652</v>
      </c>
      <c r="K211" s="3" t="b">
        <v>1</v>
      </c>
      <c r="L211" s="3" t="s">
        <v>653</v>
      </c>
      <c r="N211" s="3" t="s">
        <v>654</v>
      </c>
      <c r="S211" s="4" t="str">
        <f t="shared" si="1"/>
        <v>2014</v>
      </c>
    </row>
    <row r="212">
      <c r="A212" s="3">
        <v>350.0</v>
      </c>
      <c r="B212" s="3" t="b">
        <v>0</v>
      </c>
      <c r="C212" s="3" t="s">
        <v>27</v>
      </c>
      <c r="G212" s="3" t="s">
        <v>655</v>
      </c>
      <c r="K212" s="3" t="b">
        <v>0</v>
      </c>
      <c r="L212" s="3" t="s">
        <v>443</v>
      </c>
      <c r="N212" s="3" t="s">
        <v>656</v>
      </c>
      <c r="S212" s="4" t="str">
        <f t="shared" si="1"/>
        <v>2014</v>
      </c>
    </row>
    <row r="213">
      <c r="A213" s="3">
        <v>333.0</v>
      </c>
      <c r="B213" s="3" t="b">
        <v>0</v>
      </c>
      <c r="C213" s="3" t="s">
        <v>50</v>
      </c>
      <c r="G213" s="3" t="s">
        <v>657</v>
      </c>
      <c r="K213" s="3" t="b">
        <v>0</v>
      </c>
      <c r="L213" s="3" t="s">
        <v>658</v>
      </c>
      <c r="N213" s="3" t="s">
        <v>659</v>
      </c>
      <c r="S213" s="4" t="str">
        <f t="shared" si="1"/>
        <v>2014</v>
      </c>
    </row>
    <row r="214">
      <c r="A214" s="3">
        <v>320.0</v>
      </c>
      <c r="B214" s="3" t="b">
        <v>0</v>
      </c>
      <c r="C214" s="3" t="s">
        <v>156</v>
      </c>
      <c r="D214" s="7">
        <v>2.0</v>
      </c>
      <c r="F214" s="7">
        <v>4.0</v>
      </c>
      <c r="G214" s="3" t="s">
        <v>660</v>
      </c>
      <c r="J214" s="7">
        <v>4.0</v>
      </c>
      <c r="K214" s="3" t="b">
        <v>1</v>
      </c>
      <c r="L214" s="3" t="s">
        <v>661</v>
      </c>
      <c r="M214" s="7">
        <v>90.0</v>
      </c>
      <c r="N214" s="3" t="s">
        <v>662</v>
      </c>
      <c r="O214" s="7">
        <v>2.0</v>
      </c>
      <c r="P214" s="7">
        <v>69.0</v>
      </c>
      <c r="S214" s="4" t="str">
        <f t="shared" si="1"/>
        <v>2014</v>
      </c>
    </row>
    <row r="215">
      <c r="A215" s="3">
        <v>311.0</v>
      </c>
      <c r="B215" s="3" t="b">
        <v>0</v>
      </c>
      <c r="C215" s="3" t="s">
        <v>101</v>
      </c>
      <c r="G215" s="3" t="s">
        <v>663</v>
      </c>
      <c r="K215" s="3" t="b">
        <v>0</v>
      </c>
      <c r="L215" s="3" t="s">
        <v>664</v>
      </c>
      <c r="N215" s="3" t="s">
        <v>665</v>
      </c>
      <c r="S215" s="4" t="str">
        <f t="shared" si="1"/>
        <v>2014</v>
      </c>
    </row>
    <row r="216">
      <c r="A216" s="3">
        <v>300.0</v>
      </c>
      <c r="B216" s="3" t="b">
        <v>0</v>
      </c>
      <c r="C216" s="3" t="s">
        <v>101</v>
      </c>
      <c r="G216" s="3" t="s">
        <v>666</v>
      </c>
      <c r="J216" s="7">
        <v>3.0</v>
      </c>
      <c r="K216" s="3" t="b">
        <v>1</v>
      </c>
      <c r="L216" s="3" t="s">
        <v>667</v>
      </c>
      <c r="N216" s="3" t="s">
        <v>668</v>
      </c>
      <c r="S216" s="4" t="str">
        <f t="shared" si="1"/>
        <v>2014</v>
      </c>
    </row>
    <row r="217">
      <c r="A217" s="3">
        <v>300.0</v>
      </c>
      <c r="B217" s="3" t="b">
        <v>0</v>
      </c>
      <c r="C217" s="3" t="s">
        <v>282</v>
      </c>
      <c r="G217" s="3" t="s">
        <v>669</v>
      </c>
      <c r="K217" s="3" t="b">
        <v>0</v>
      </c>
      <c r="L217" s="3" t="s">
        <v>670</v>
      </c>
      <c r="N217" s="3" t="s">
        <v>671</v>
      </c>
      <c r="S217" s="4" t="str">
        <f t="shared" si="1"/>
        <v>2014</v>
      </c>
    </row>
    <row r="218">
      <c r="A218" s="3">
        <v>274.0</v>
      </c>
      <c r="B218" s="3" t="b">
        <v>0</v>
      </c>
      <c r="C218" s="3" t="s">
        <v>23</v>
      </c>
      <c r="G218" s="3" t="s">
        <v>672</v>
      </c>
      <c r="K218" s="3" t="b">
        <v>0</v>
      </c>
      <c r="L218" s="3" t="s">
        <v>673</v>
      </c>
      <c r="N218" s="3" t="s">
        <v>674</v>
      </c>
      <c r="S218" s="4" t="str">
        <f t="shared" si="1"/>
        <v>2014</v>
      </c>
    </row>
    <row r="219">
      <c r="A219" s="3">
        <v>269.0</v>
      </c>
      <c r="B219" s="3" t="b">
        <v>0</v>
      </c>
      <c r="C219" s="3" t="s">
        <v>19</v>
      </c>
      <c r="G219" s="3" t="s">
        <v>675</v>
      </c>
      <c r="K219" s="3" t="b">
        <v>0</v>
      </c>
      <c r="L219" s="3" t="s">
        <v>676</v>
      </c>
      <c r="N219" s="3" t="s">
        <v>677</v>
      </c>
      <c r="S219" s="4" t="str">
        <f t="shared" si="1"/>
        <v>2014</v>
      </c>
    </row>
    <row r="220">
      <c r="A220" s="3">
        <v>247.0</v>
      </c>
      <c r="B220" s="3" t="b">
        <v>0</v>
      </c>
      <c r="C220" s="3" t="s">
        <v>388</v>
      </c>
      <c r="D220" s="7">
        <v>3.0</v>
      </c>
      <c r="F220" s="7">
        <v>3.0</v>
      </c>
      <c r="G220" s="3" t="s">
        <v>678</v>
      </c>
      <c r="K220" s="3" t="b">
        <v>1</v>
      </c>
      <c r="L220" s="3" t="s">
        <v>679</v>
      </c>
      <c r="M220" s="7">
        <v>53.0</v>
      </c>
      <c r="N220" s="3" t="s">
        <v>680</v>
      </c>
      <c r="S220" s="4" t="str">
        <f t="shared" si="1"/>
        <v>2014</v>
      </c>
    </row>
    <row r="221">
      <c r="A221" s="3">
        <v>225.0</v>
      </c>
      <c r="B221" s="3" t="b">
        <v>0</v>
      </c>
      <c r="C221" s="3" t="s">
        <v>54</v>
      </c>
      <c r="G221" s="3" t="s">
        <v>681</v>
      </c>
      <c r="K221" s="3" t="b">
        <v>0</v>
      </c>
      <c r="L221" s="3" t="s">
        <v>351</v>
      </c>
      <c r="N221" s="3" t="s">
        <v>682</v>
      </c>
      <c r="S221" s="4" t="str">
        <f t="shared" si="1"/>
        <v>2014</v>
      </c>
    </row>
    <row r="222">
      <c r="A222" s="3">
        <v>217.0</v>
      </c>
      <c r="B222" s="3" t="b">
        <v>0</v>
      </c>
      <c r="C222" s="3" t="s">
        <v>62</v>
      </c>
      <c r="D222" s="7">
        <v>4.0</v>
      </c>
      <c r="F222" s="7">
        <v>5.0</v>
      </c>
      <c r="G222" s="3" t="s">
        <v>683</v>
      </c>
      <c r="J222" s="7">
        <v>4.0</v>
      </c>
      <c r="K222" s="3" t="b">
        <v>1</v>
      </c>
      <c r="L222" s="3" t="s">
        <v>684</v>
      </c>
      <c r="M222" s="7">
        <v>91.0</v>
      </c>
      <c r="N222" s="3" t="s">
        <v>685</v>
      </c>
      <c r="P222" s="7">
        <v>3.0</v>
      </c>
      <c r="S222" s="4" t="str">
        <f t="shared" si="1"/>
        <v>2014</v>
      </c>
    </row>
    <row r="223">
      <c r="A223" s="3">
        <v>210.0</v>
      </c>
      <c r="B223" s="3" t="b">
        <v>0</v>
      </c>
      <c r="C223" s="3" t="s">
        <v>50</v>
      </c>
      <c r="G223" s="3" t="s">
        <v>686</v>
      </c>
      <c r="K223" s="3" t="b">
        <v>0</v>
      </c>
      <c r="L223" s="3" t="s">
        <v>687</v>
      </c>
      <c r="N223" s="3" t="s">
        <v>688</v>
      </c>
      <c r="S223" s="4" t="str">
        <f t="shared" si="1"/>
        <v>2014</v>
      </c>
    </row>
    <row r="224">
      <c r="A224" s="3">
        <v>190.0</v>
      </c>
      <c r="B224" s="3" t="b">
        <v>0</v>
      </c>
      <c r="C224" s="3" t="s">
        <v>23</v>
      </c>
      <c r="G224" s="3" t="s">
        <v>689</v>
      </c>
      <c r="K224" s="3" t="b">
        <v>0</v>
      </c>
      <c r="L224" s="3" t="s">
        <v>690</v>
      </c>
      <c r="N224" s="3" t="s">
        <v>691</v>
      </c>
      <c r="S224" s="4" t="str">
        <f t="shared" si="1"/>
        <v>2014</v>
      </c>
    </row>
    <row r="225">
      <c r="A225" s="3">
        <v>175.0</v>
      </c>
      <c r="B225" s="3" t="b">
        <v>0</v>
      </c>
      <c r="C225" s="3" t="s">
        <v>186</v>
      </c>
      <c r="G225" s="3" t="s">
        <v>692</v>
      </c>
      <c r="K225" s="3" t="b">
        <v>0</v>
      </c>
      <c r="L225" s="3" t="s">
        <v>461</v>
      </c>
      <c r="N225" s="3" t="s">
        <v>693</v>
      </c>
      <c r="S225" s="4" t="str">
        <f t="shared" si="1"/>
        <v>2014</v>
      </c>
    </row>
    <row r="226">
      <c r="A226" s="3">
        <v>143.0</v>
      </c>
      <c r="B226" s="3" t="b">
        <v>0</v>
      </c>
      <c r="C226" s="3" t="s">
        <v>58</v>
      </c>
      <c r="G226" s="3" t="s">
        <v>694</v>
      </c>
      <c r="K226" s="3" t="b">
        <v>0</v>
      </c>
      <c r="L226" s="3" t="s">
        <v>695</v>
      </c>
      <c r="N226" s="3" t="s">
        <v>696</v>
      </c>
      <c r="S226" s="4" t="str">
        <f t="shared" si="1"/>
        <v>2014</v>
      </c>
    </row>
    <row r="227">
      <c r="A227" s="3">
        <v>130.0</v>
      </c>
      <c r="B227" s="3" t="b">
        <v>0</v>
      </c>
      <c r="C227" s="3" t="s">
        <v>101</v>
      </c>
      <c r="E227" s="7">
        <v>1.0</v>
      </c>
      <c r="G227" s="3" t="s">
        <v>697</v>
      </c>
      <c r="J227" s="7">
        <v>1.0</v>
      </c>
      <c r="K227" s="3" t="b">
        <v>1</v>
      </c>
      <c r="L227" s="3" t="s">
        <v>698</v>
      </c>
      <c r="M227" s="7">
        <v>10.0</v>
      </c>
      <c r="N227" s="3" t="s">
        <v>699</v>
      </c>
      <c r="S227" s="4" t="str">
        <f t="shared" si="1"/>
        <v>2014</v>
      </c>
    </row>
    <row r="228">
      <c r="A228" s="3">
        <v>125.0</v>
      </c>
      <c r="B228" s="3" t="b">
        <v>0</v>
      </c>
      <c r="C228" s="3" t="s">
        <v>401</v>
      </c>
      <c r="G228" s="3" t="s">
        <v>700</v>
      </c>
      <c r="K228" s="3" t="b">
        <v>0</v>
      </c>
      <c r="L228" s="3" t="s">
        <v>701</v>
      </c>
      <c r="N228" s="3" t="s">
        <v>702</v>
      </c>
      <c r="S228" s="4" t="str">
        <f t="shared" si="1"/>
        <v>2014</v>
      </c>
    </row>
    <row r="229">
      <c r="A229" s="3">
        <v>125.0</v>
      </c>
      <c r="B229" s="3" t="b">
        <v>0</v>
      </c>
      <c r="C229" s="3" t="s">
        <v>62</v>
      </c>
      <c r="G229" s="3" t="s">
        <v>703</v>
      </c>
      <c r="K229" s="3" t="b">
        <v>0</v>
      </c>
      <c r="L229" s="3" t="s">
        <v>704</v>
      </c>
      <c r="N229" s="3" t="s">
        <v>705</v>
      </c>
      <c r="S229" s="4" t="str">
        <f t="shared" si="1"/>
        <v>2014</v>
      </c>
    </row>
    <row r="230">
      <c r="A230" s="3">
        <v>120.0</v>
      </c>
      <c r="B230" s="3" t="b">
        <v>0</v>
      </c>
      <c r="C230" s="3" t="s">
        <v>411</v>
      </c>
      <c r="G230" s="3" t="s">
        <v>565</v>
      </c>
      <c r="K230" s="3" t="b">
        <v>0</v>
      </c>
      <c r="L230" s="3" t="s">
        <v>706</v>
      </c>
      <c r="N230" s="3" t="s">
        <v>707</v>
      </c>
      <c r="S230" s="4" t="str">
        <f t="shared" si="1"/>
        <v>2014</v>
      </c>
    </row>
    <row r="231">
      <c r="A231" s="3">
        <v>120.0</v>
      </c>
      <c r="B231" s="3" t="b">
        <v>0</v>
      </c>
      <c r="C231" s="3" t="s">
        <v>31</v>
      </c>
      <c r="G231" s="3" t="s">
        <v>708</v>
      </c>
      <c r="K231" s="3" t="b">
        <v>0</v>
      </c>
      <c r="L231" s="3" t="s">
        <v>709</v>
      </c>
      <c r="N231" s="3" t="s">
        <v>710</v>
      </c>
      <c r="S231" s="4" t="str">
        <f t="shared" si="1"/>
        <v>2014</v>
      </c>
    </row>
    <row r="232">
      <c r="A232" s="3">
        <v>113.0</v>
      </c>
      <c r="B232" s="3" t="b">
        <v>0</v>
      </c>
      <c r="C232" s="3" t="s">
        <v>162</v>
      </c>
      <c r="D232" s="7">
        <v>11.0</v>
      </c>
      <c r="E232" s="7">
        <v>1.0</v>
      </c>
      <c r="F232" s="7">
        <v>12.0</v>
      </c>
      <c r="G232" s="3" t="s">
        <v>711</v>
      </c>
      <c r="I232" s="7">
        <v>2.0</v>
      </c>
      <c r="K232" s="3" t="b">
        <v>1</v>
      </c>
      <c r="L232" s="3" t="s">
        <v>413</v>
      </c>
      <c r="M232" s="7">
        <v>256.0</v>
      </c>
      <c r="N232" s="3" t="s">
        <v>712</v>
      </c>
      <c r="S232" s="4" t="str">
        <f t="shared" si="1"/>
        <v>2014</v>
      </c>
    </row>
    <row r="233">
      <c r="A233" s="3">
        <v>106.0</v>
      </c>
      <c r="B233" s="3" t="b">
        <v>0</v>
      </c>
      <c r="C233" s="3" t="s">
        <v>39</v>
      </c>
      <c r="G233" s="3" t="s">
        <v>713</v>
      </c>
      <c r="K233" s="3" t="b">
        <v>0</v>
      </c>
      <c r="L233" s="3" t="s">
        <v>125</v>
      </c>
      <c r="N233" s="3" t="s">
        <v>714</v>
      </c>
      <c r="S233" s="4" t="str">
        <f t="shared" si="1"/>
        <v>2014</v>
      </c>
    </row>
    <row r="234">
      <c r="A234" s="3">
        <v>105.0</v>
      </c>
      <c r="B234" s="3" t="b">
        <v>0</v>
      </c>
      <c r="C234" s="3" t="s">
        <v>62</v>
      </c>
      <c r="G234" s="3" t="s">
        <v>562</v>
      </c>
      <c r="K234" s="3" t="b">
        <v>0</v>
      </c>
      <c r="L234" s="3" t="s">
        <v>164</v>
      </c>
      <c r="N234" s="3" t="s">
        <v>715</v>
      </c>
      <c r="S234" s="4" t="str">
        <f t="shared" si="1"/>
        <v>2014</v>
      </c>
    </row>
    <row r="235">
      <c r="A235" s="3">
        <v>101.0</v>
      </c>
      <c r="B235" s="3" t="b">
        <v>0</v>
      </c>
      <c r="C235" s="3" t="s">
        <v>145</v>
      </c>
      <c r="G235" s="3" t="s">
        <v>716</v>
      </c>
      <c r="K235" s="3" t="b">
        <v>0</v>
      </c>
      <c r="L235" s="3" t="s">
        <v>318</v>
      </c>
      <c r="N235" s="3" t="s">
        <v>717</v>
      </c>
      <c r="S235" s="4" t="str">
        <f t="shared" si="1"/>
        <v>2014</v>
      </c>
    </row>
    <row r="236">
      <c r="A236" s="3">
        <v>100.0</v>
      </c>
      <c r="B236" s="3" t="b">
        <v>0</v>
      </c>
      <c r="C236" s="3" t="s">
        <v>186</v>
      </c>
      <c r="G236" s="3" t="s">
        <v>718</v>
      </c>
      <c r="K236" s="3" t="b">
        <v>0</v>
      </c>
      <c r="L236" s="3" t="s">
        <v>719</v>
      </c>
      <c r="N236" s="3" t="s">
        <v>720</v>
      </c>
      <c r="S236" s="4" t="str">
        <f t="shared" si="1"/>
        <v>2014</v>
      </c>
    </row>
    <row r="237">
      <c r="A237" s="3">
        <v>100.0</v>
      </c>
      <c r="B237" s="3" t="b">
        <v>0</v>
      </c>
      <c r="C237" s="3" t="s">
        <v>27</v>
      </c>
      <c r="G237" s="3" t="s">
        <v>721</v>
      </c>
      <c r="K237" s="3" t="b">
        <v>0</v>
      </c>
      <c r="L237" s="3" t="s">
        <v>722</v>
      </c>
      <c r="N237" s="3" t="s">
        <v>723</v>
      </c>
      <c r="S237" s="4" t="str">
        <f t="shared" si="1"/>
        <v>2014</v>
      </c>
    </row>
    <row r="238">
      <c r="A238" s="3">
        <v>94.0</v>
      </c>
      <c r="B238" s="3" t="b">
        <v>0</v>
      </c>
      <c r="C238" s="3" t="s">
        <v>130</v>
      </c>
      <c r="G238" s="3" t="s">
        <v>724</v>
      </c>
      <c r="K238" s="3" t="b">
        <v>0</v>
      </c>
      <c r="L238" s="3" t="s">
        <v>725</v>
      </c>
      <c r="N238" s="3" t="s">
        <v>726</v>
      </c>
      <c r="S238" s="4" t="str">
        <f t="shared" si="1"/>
        <v>2014</v>
      </c>
    </row>
    <row r="239">
      <c r="A239" s="3">
        <v>90.0</v>
      </c>
      <c r="B239" s="3" t="b">
        <v>0</v>
      </c>
      <c r="C239" s="3" t="s">
        <v>101</v>
      </c>
      <c r="D239" s="7">
        <v>12.0</v>
      </c>
      <c r="E239" s="7">
        <v>5.0</v>
      </c>
      <c r="F239" s="7">
        <v>15.0</v>
      </c>
      <c r="G239" s="3" t="s">
        <v>727</v>
      </c>
      <c r="I239" s="7">
        <v>4.0</v>
      </c>
      <c r="K239" s="3" t="b">
        <v>1</v>
      </c>
      <c r="L239" s="3" t="s">
        <v>440</v>
      </c>
      <c r="M239" s="7">
        <v>356.0</v>
      </c>
      <c r="N239" s="3" t="s">
        <v>728</v>
      </c>
      <c r="R239" s="7">
        <v>40.0</v>
      </c>
      <c r="S239" s="4" t="str">
        <f t="shared" si="1"/>
        <v>2014</v>
      </c>
    </row>
    <row r="240">
      <c r="A240" s="3">
        <v>85.0</v>
      </c>
      <c r="B240" s="3" t="b">
        <v>0</v>
      </c>
      <c r="C240" s="3" t="s">
        <v>411</v>
      </c>
      <c r="G240" s="3" t="s">
        <v>729</v>
      </c>
      <c r="J240" s="7">
        <v>1.0</v>
      </c>
      <c r="K240" s="3" t="b">
        <v>1</v>
      </c>
      <c r="L240" s="3" t="s">
        <v>730</v>
      </c>
      <c r="N240" s="3" t="s">
        <v>731</v>
      </c>
      <c r="P240" s="7">
        <v>1.0</v>
      </c>
      <c r="S240" s="4" t="str">
        <f t="shared" si="1"/>
        <v>2014</v>
      </c>
    </row>
    <row r="241">
      <c r="A241" s="3">
        <v>84.0</v>
      </c>
      <c r="B241" s="3" t="b">
        <v>0</v>
      </c>
      <c r="C241" s="3" t="s">
        <v>388</v>
      </c>
      <c r="G241" s="3" t="s">
        <v>732</v>
      </c>
      <c r="K241" s="3" t="b">
        <v>0</v>
      </c>
      <c r="L241" s="3" t="s">
        <v>733</v>
      </c>
      <c r="N241" s="3" t="s">
        <v>559</v>
      </c>
      <c r="S241" s="4" t="str">
        <f t="shared" si="1"/>
        <v>2014</v>
      </c>
    </row>
    <row r="242">
      <c r="A242" s="3">
        <v>80.0</v>
      </c>
      <c r="B242" s="3" t="b">
        <v>0</v>
      </c>
      <c r="C242" s="3" t="s">
        <v>401</v>
      </c>
      <c r="G242" s="3" t="s">
        <v>734</v>
      </c>
      <c r="K242" s="3" t="b">
        <v>0</v>
      </c>
      <c r="L242" s="3" t="s">
        <v>735</v>
      </c>
      <c r="N242" s="3" t="s">
        <v>736</v>
      </c>
      <c r="S242" s="4" t="str">
        <f t="shared" si="1"/>
        <v>2014</v>
      </c>
    </row>
    <row r="243">
      <c r="A243" s="3">
        <v>80.0</v>
      </c>
      <c r="B243" s="3" t="b">
        <v>0</v>
      </c>
      <c r="C243" s="3" t="s">
        <v>80</v>
      </c>
      <c r="G243" s="3" t="s">
        <v>553</v>
      </c>
      <c r="K243" s="3" t="b">
        <v>1</v>
      </c>
      <c r="L243" s="3" t="s">
        <v>737</v>
      </c>
      <c r="N243" s="3" t="s">
        <v>738</v>
      </c>
      <c r="S243" s="4" t="str">
        <f t="shared" si="1"/>
        <v>2014</v>
      </c>
    </row>
    <row r="244">
      <c r="A244" s="3">
        <v>79.0</v>
      </c>
      <c r="B244" s="3" t="b">
        <v>0</v>
      </c>
      <c r="C244" s="3" t="s">
        <v>101</v>
      </c>
      <c r="G244" s="3" t="s">
        <v>739</v>
      </c>
      <c r="K244" s="3" t="b">
        <v>0</v>
      </c>
      <c r="L244" s="3" t="s">
        <v>740</v>
      </c>
      <c r="N244" s="3" t="s">
        <v>741</v>
      </c>
      <c r="S244" s="4" t="str">
        <f t="shared" si="1"/>
        <v>2014</v>
      </c>
    </row>
    <row r="245">
      <c r="A245" s="3">
        <v>78.0</v>
      </c>
      <c r="B245" s="3" t="b">
        <v>0</v>
      </c>
      <c r="C245" s="3" t="s">
        <v>27</v>
      </c>
      <c r="G245" s="3" t="s">
        <v>742</v>
      </c>
      <c r="K245" s="3" t="b">
        <v>0</v>
      </c>
      <c r="L245" s="3" t="s">
        <v>743</v>
      </c>
      <c r="N245" s="3" t="s">
        <v>744</v>
      </c>
      <c r="S245" s="4" t="str">
        <f t="shared" si="1"/>
        <v>2014</v>
      </c>
    </row>
    <row r="246">
      <c r="A246" s="3">
        <v>75.0</v>
      </c>
      <c r="B246" s="3" t="b">
        <v>0</v>
      </c>
      <c r="C246" s="3" t="s">
        <v>58</v>
      </c>
      <c r="D246" s="7">
        <v>5.0</v>
      </c>
      <c r="E246" s="7">
        <v>1.0</v>
      </c>
      <c r="F246" s="7">
        <v>3.0</v>
      </c>
      <c r="G246" s="3" t="s">
        <v>745</v>
      </c>
      <c r="K246" s="3" t="b">
        <v>1</v>
      </c>
      <c r="L246" s="3" t="s">
        <v>746</v>
      </c>
      <c r="M246" s="7">
        <v>108.0</v>
      </c>
      <c r="N246" s="3" t="s">
        <v>747</v>
      </c>
      <c r="S246" s="4" t="str">
        <f t="shared" si="1"/>
        <v>2014</v>
      </c>
    </row>
    <row r="247">
      <c r="A247" s="3">
        <v>75.0</v>
      </c>
      <c r="B247" s="3" t="b">
        <v>0</v>
      </c>
      <c r="C247" s="3" t="s">
        <v>114</v>
      </c>
      <c r="G247" s="3" t="s">
        <v>748</v>
      </c>
      <c r="K247" s="3" t="b">
        <v>0</v>
      </c>
      <c r="L247" s="3" t="s">
        <v>749</v>
      </c>
      <c r="N247" s="3" t="s">
        <v>750</v>
      </c>
      <c r="S247" s="4" t="str">
        <f t="shared" si="1"/>
        <v>2014</v>
      </c>
    </row>
    <row r="248">
      <c r="A248" s="3">
        <v>72.0</v>
      </c>
      <c r="B248" s="3" t="b">
        <v>0</v>
      </c>
      <c r="C248" s="3" t="s">
        <v>87</v>
      </c>
      <c r="G248" s="3" t="s">
        <v>751</v>
      </c>
      <c r="K248" s="3" t="b">
        <v>0</v>
      </c>
      <c r="L248" s="3" t="s">
        <v>752</v>
      </c>
      <c r="N248" s="3" t="s">
        <v>753</v>
      </c>
      <c r="S248" s="4" t="str">
        <f t="shared" si="1"/>
        <v>2014</v>
      </c>
    </row>
    <row r="249">
      <c r="A249" s="3">
        <v>70.0</v>
      </c>
      <c r="B249" s="3" t="b">
        <v>0</v>
      </c>
      <c r="C249" s="3" t="s">
        <v>19</v>
      </c>
      <c r="G249" s="3" t="s">
        <v>754</v>
      </c>
      <c r="K249" s="3" t="b">
        <v>0</v>
      </c>
      <c r="L249" s="3" t="s">
        <v>755</v>
      </c>
      <c r="N249" s="3" t="s">
        <v>756</v>
      </c>
      <c r="S249" s="4" t="str">
        <f t="shared" si="1"/>
        <v>2014</v>
      </c>
    </row>
    <row r="250">
      <c r="A250" s="3">
        <v>70.0</v>
      </c>
      <c r="B250" s="3" t="b">
        <v>0</v>
      </c>
      <c r="C250" s="3" t="s">
        <v>69</v>
      </c>
      <c r="G250" s="3" t="s">
        <v>757</v>
      </c>
      <c r="K250" s="3" t="b">
        <v>0</v>
      </c>
      <c r="L250" s="3" t="s">
        <v>758</v>
      </c>
      <c r="N250" s="3" t="s">
        <v>759</v>
      </c>
      <c r="S250" s="4" t="str">
        <f t="shared" si="1"/>
        <v>2014</v>
      </c>
    </row>
    <row r="251">
      <c r="A251" s="3">
        <v>70.0</v>
      </c>
      <c r="B251" s="3" t="b">
        <v>0</v>
      </c>
      <c r="C251" s="3" t="s">
        <v>278</v>
      </c>
      <c r="G251" s="3" t="s">
        <v>760</v>
      </c>
      <c r="K251" s="3" t="b">
        <v>0</v>
      </c>
      <c r="L251" s="3" t="s">
        <v>761</v>
      </c>
      <c r="N251" s="3" t="s">
        <v>762</v>
      </c>
      <c r="S251" s="4" t="str">
        <f t="shared" si="1"/>
        <v>2014</v>
      </c>
    </row>
    <row r="252">
      <c r="A252" s="3">
        <v>65.0</v>
      </c>
      <c r="B252" s="3" t="b">
        <v>0</v>
      </c>
      <c r="C252" s="3" t="s">
        <v>162</v>
      </c>
      <c r="G252" s="3" t="s">
        <v>763</v>
      </c>
      <c r="K252" s="3" t="b">
        <v>0</v>
      </c>
      <c r="L252" s="3" t="s">
        <v>764</v>
      </c>
      <c r="N252" s="3" t="s">
        <v>765</v>
      </c>
      <c r="S252" s="4" t="str">
        <f t="shared" si="1"/>
        <v>2014</v>
      </c>
    </row>
    <row r="253">
      <c r="A253" s="3">
        <v>62.0</v>
      </c>
      <c r="B253" s="3" t="b">
        <v>0</v>
      </c>
      <c r="C253" s="3" t="s">
        <v>313</v>
      </c>
      <c r="D253" s="7">
        <v>2.0</v>
      </c>
      <c r="F253" s="7">
        <v>2.0</v>
      </c>
      <c r="G253" s="3" t="s">
        <v>766</v>
      </c>
      <c r="K253" s="3" t="b">
        <v>1</v>
      </c>
      <c r="L253" s="3" t="s">
        <v>767</v>
      </c>
      <c r="M253" s="7">
        <v>42.0</v>
      </c>
      <c r="N253" s="3" t="s">
        <v>768</v>
      </c>
      <c r="S253" s="4" t="str">
        <f t="shared" si="1"/>
        <v>2014</v>
      </c>
    </row>
    <row r="254">
      <c r="A254" s="3">
        <v>60.0</v>
      </c>
      <c r="B254" s="3" t="b">
        <v>0</v>
      </c>
      <c r="C254" s="3" t="s">
        <v>87</v>
      </c>
      <c r="G254" s="3" t="s">
        <v>769</v>
      </c>
      <c r="K254" s="3" t="b">
        <v>0</v>
      </c>
      <c r="L254" s="3" t="s">
        <v>770</v>
      </c>
      <c r="N254" s="3" t="s">
        <v>771</v>
      </c>
      <c r="S254" s="4" t="str">
        <f t="shared" si="1"/>
        <v>2014</v>
      </c>
    </row>
    <row r="255">
      <c r="A255" s="3">
        <v>57.0</v>
      </c>
      <c r="B255" s="3" t="b">
        <v>0</v>
      </c>
      <c r="C255" s="3" t="s">
        <v>27</v>
      </c>
      <c r="G255" s="3" t="s">
        <v>772</v>
      </c>
      <c r="K255" s="3" t="b">
        <v>0</v>
      </c>
      <c r="L255" s="3" t="s">
        <v>773</v>
      </c>
      <c r="N255" s="3" t="s">
        <v>774</v>
      </c>
      <c r="S255" s="4" t="str">
        <f t="shared" si="1"/>
        <v>2014</v>
      </c>
    </row>
    <row r="256">
      <c r="A256" s="3">
        <v>56.0</v>
      </c>
      <c r="B256" s="3" t="b">
        <v>0</v>
      </c>
      <c r="C256" s="3" t="s">
        <v>62</v>
      </c>
      <c r="G256" s="3" t="s">
        <v>775</v>
      </c>
      <c r="K256" s="3" t="b">
        <v>0</v>
      </c>
      <c r="L256" s="3" t="s">
        <v>776</v>
      </c>
      <c r="N256" s="3" t="s">
        <v>777</v>
      </c>
      <c r="S256" s="4" t="str">
        <f t="shared" si="1"/>
        <v>2014</v>
      </c>
    </row>
    <row r="257">
      <c r="A257" s="3">
        <v>50.0</v>
      </c>
      <c r="B257" s="3" t="b">
        <v>0</v>
      </c>
      <c r="C257" s="3" t="s">
        <v>58</v>
      </c>
      <c r="G257" s="3" t="s">
        <v>778</v>
      </c>
      <c r="K257" s="3" t="b">
        <v>0</v>
      </c>
      <c r="L257" s="3" t="s">
        <v>424</v>
      </c>
      <c r="N257" s="3" t="s">
        <v>779</v>
      </c>
      <c r="S257" s="4" t="str">
        <f t="shared" si="1"/>
        <v>2014</v>
      </c>
    </row>
    <row r="258">
      <c r="A258" s="3">
        <v>48.0</v>
      </c>
      <c r="B258" s="3" t="b">
        <v>0</v>
      </c>
      <c r="C258" s="3" t="s">
        <v>134</v>
      </c>
      <c r="G258" s="3" t="s">
        <v>780</v>
      </c>
      <c r="K258" s="3" t="b">
        <v>0</v>
      </c>
      <c r="L258" s="3" t="s">
        <v>781</v>
      </c>
      <c r="N258" s="3" t="s">
        <v>782</v>
      </c>
      <c r="S258" s="4" t="str">
        <f t="shared" si="1"/>
        <v>2014</v>
      </c>
    </row>
    <row r="259">
      <c r="A259" s="3">
        <v>47.0</v>
      </c>
      <c r="B259" s="3" t="b">
        <v>0</v>
      </c>
      <c r="C259" s="3" t="s">
        <v>149</v>
      </c>
      <c r="G259" s="3" t="s">
        <v>745</v>
      </c>
      <c r="K259" s="3" t="b">
        <v>0</v>
      </c>
      <c r="L259" s="3" t="s">
        <v>783</v>
      </c>
      <c r="N259" s="3" t="s">
        <v>784</v>
      </c>
      <c r="S259" s="4" t="str">
        <f t="shared" si="1"/>
        <v>2014</v>
      </c>
    </row>
    <row r="260">
      <c r="A260" s="3">
        <v>40.0</v>
      </c>
      <c r="B260" s="3" t="b">
        <v>0</v>
      </c>
      <c r="C260" s="3" t="s">
        <v>39</v>
      </c>
      <c r="G260" s="3" t="s">
        <v>785</v>
      </c>
      <c r="J260" s="7">
        <v>4.0</v>
      </c>
      <c r="K260" s="3" t="b">
        <v>1</v>
      </c>
      <c r="L260" s="3" t="s">
        <v>82</v>
      </c>
      <c r="N260" s="3" t="s">
        <v>786</v>
      </c>
      <c r="P260" s="7">
        <v>1.0</v>
      </c>
      <c r="S260" s="4" t="str">
        <f t="shared" si="1"/>
        <v>2014</v>
      </c>
    </row>
    <row r="261">
      <c r="A261" s="3">
        <v>38.0</v>
      </c>
      <c r="B261" s="3" t="b">
        <v>0</v>
      </c>
      <c r="C261" s="3" t="s">
        <v>388</v>
      </c>
      <c r="G261" s="3" t="s">
        <v>787</v>
      </c>
      <c r="K261" s="3" t="b">
        <v>0</v>
      </c>
      <c r="L261" s="3" t="s">
        <v>788</v>
      </c>
      <c r="N261" s="3" t="s">
        <v>789</v>
      </c>
      <c r="S261" s="4" t="str">
        <f t="shared" si="1"/>
        <v>2014</v>
      </c>
    </row>
    <row r="262">
      <c r="A262" s="3">
        <v>37.0</v>
      </c>
      <c r="B262" s="3" t="b">
        <v>0</v>
      </c>
      <c r="C262" s="3" t="s">
        <v>50</v>
      </c>
      <c r="G262" s="3" t="s">
        <v>790</v>
      </c>
      <c r="K262" s="3" t="b">
        <v>0</v>
      </c>
      <c r="L262" s="3" t="s">
        <v>791</v>
      </c>
      <c r="N262" s="3" t="s">
        <v>792</v>
      </c>
      <c r="S262" s="4" t="str">
        <f t="shared" si="1"/>
        <v>2014</v>
      </c>
    </row>
    <row r="263">
      <c r="A263" s="3">
        <v>37.0</v>
      </c>
      <c r="B263" s="3" t="b">
        <v>0</v>
      </c>
      <c r="C263" s="3" t="s">
        <v>260</v>
      </c>
      <c r="G263" s="3" t="s">
        <v>793</v>
      </c>
      <c r="K263" s="3" t="b">
        <v>0</v>
      </c>
      <c r="L263" s="3" t="s">
        <v>125</v>
      </c>
      <c r="N263" s="3" t="s">
        <v>794</v>
      </c>
      <c r="S263" s="4" t="str">
        <f t="shared" si="1"/>
        <v>2014</v>
      </c>
    </row>
    <row r="264">
      <c r="A264" s="3">
        <v>31.0</v>
      </c>
      <c r="B264" s="3" t="b">
        <v>0</v>
      </c>
      <c r="C264" s="3" t="s">
        <v>27</v>
      </c>
      <c r="D264" s="7">
        <v>1.0</v>
      </c>
      <c r="F264" s="7">
        <v>1.0</v>
      </c>
      <c r="G264" s="3" t="s">
        <v>795</v>
      </c>
      <c r="K264" s="3" t="b">
        <v>1</v>
      </c>
      <c r="L264" s="3" t="s">
        <v>796</v>
      </c>
      <c r="M264" s="7">
        <v>51.0</v>
      </c>
      <c r="N264" s="3" t="s">
        <v>797</v>
      </c>
      <c r="S264" s="4" t="str">
        <f t="shared" si="1"/>
        <v>2014</v>
      </c>
    </row>
    <row r="265">
      <c r="A265" s="3">
        <v>30.0</v>
      </c>
      <c r="B265" s="3" t="b">
        <v>0</v>
      </c>
      <c r="C265" s="3" t="s">
        <v>46</v>
      </c>
      <c r="G265" s="3" t="s">
        <v>798</v>
      </c>
      <c r="K265" s="3" t="b">
        <v>1</v>
      </c>
      <c r="L265" s="3" t="s">
        <v>799</v>
      </c>
      <c r="N265" s="3" t="s">
        <v>800</v>
      </c>
      <c r="S265" s="4" t="str">
        <f t="shared" si="1"/>
        <v>2014</v>
      </c>
    </row>
    <row r="266">
      <c r="A266" s="3">
        <v>30.0</v>
      </c>
      <c r="B266" s="3" t="b">
        <v>0</v>
      </c>
      <c r="C266" s="3" t="s">
        <v>130</v>
      </c>
      <c r="G266" s="3" t="s">
        <v>801</v>
      </c>
      <c r="K266" s="3" t="b">
        <v>0</v>
      </c>
      <c r="L266" s="3" t="s">
        <v>802</v>
      </c>
      <c r="N266" s="3" t="s">
        <v>803</v>
      </c>
      <c r="S266" s="4" t="str">
        <f t="shared" si="1"/>
        <v>2014</v>
      </c>
    </row>
    <row r="267">
      <c r="A267" s="3">
        <v>29.0</v>
      </c>
      <c r="B267" s="3" t="b">
        <v>0</v>
      </c>
      <c r="C267" s="3" t="s">
        <v>62</v>
      </c>
      <c r="G267" s="3" t="s">
        <v>804</v>
      </c>
      <c r="K267" s="3" t="b">
        <v>0</v>
      </c>
      <c r="L267" s="3" t="s">
        <v>805</v>
      </c>
      <c r="N267" s="3" t="s">
        <v>806</v>
      </c>
      <c r="S267" s="4" t="str">
        <f t="shared" si="1"/>
        <v>2014</v>
      </c>
    </row>
    <row r="268">
      <c r="A268" s="3">
        <v>27.0</v>
      </c>
      <c r="B268" s="3" t="b">
        <v>0</v>
      </c>
      <c r="C268" s="3" t="s">
        <v>166</v>
      </c>
      <c r="G268" s="3" t="s">
        <v>807</v>
      </c>
      <c r="K268" s="3" t="b">
        <v>0</v>
      </c>
      <c r="L268" s="3" t="s">
        <v>808</v>
      </c>
      <c r="N268" s="3" t="s">
        <v>809</v>
      </c>
      <c r="S268" s="4" t="str">
        <f t="shared" si="1"/>
        <v>2014</v>
      </c>
    </row>
    <row r="269">
      <c r="A269" s="3">
        <v>25.0</v>
      </c>
      <c r="B269" s="3" t="b">
        <v>0</v>
      </c>
      <c r="C269" s="3" t="s">
        <v>35</v>
      </c>
      <c r="G269" s="3" t="s">
        <v>810</v>
      </c>
      <c r="K269" s="3" t="b">
        <v>0</v>
      </c>
      <c r="L269" s="3" t="s">
        <v>811</v>
      </c>
      <c r="N269" s="3" t="s">
        <v>812</v>
      </c>
      <c r="S269" s="4" t="str">
        <f t="shared" si="1"/>
        <v>2014</v>
      </c>
    </row>
    <row r="270">
      <c r="A270" s="3">
        <v>25.0</v>
      </c>
      <c r="B270" s="3" t="b">
        <v>0</v>
      </c>
      <c r="C270" s="3" t="s">
        <v>58</v>
      </c>
      <c r="G270" s="3" t="s">
        <v>813</v>
      </c>
      <c r="K270" s="3" t="b">
        <v>0</v>
      </c>
      <c r="L270" s="3" t="s">
        <v>814</v>
      </c>
      <c r="N270" s="3" t="s">
        <v>815</v>
      </c>
      <c r="S270" s="4" t="str">
        <f t="shared" si="1"/>
        <v>2014</v>
      </c>
    </row>
    <row r="271">
      <c r="A271" s="3">
        <v>25.0</v>
      </c>
      <c r="B271" s="3" t="b">
        <v>0</v>
      </c>
      <c r="C271" s="3" t="s">
        <v>39</v>
      </c>
      <c r="G271" s="3" t="s">
        <v>816</v>
      </c>
      <c r="K271" s="3" t="b">
        <v>0</v>
      </c>
      <c r="L271" s="3" t="s">
        <v>817</v>
      </c>
      <c r="N271" s="3" t="s">
        <v>785</v>
      </c>
      <c r="S271" s="4" t="str">
        <f t="shared" si="1"/>
        <v>2014</v>
      </c>
    </row>
    <row r="272">
      <c r="A272" s="3">
        <v>20.0</v>
      </c>
      <c r="B272" s="3" t="b">
        <v>0</v>
      </c>
      <c r="C272" s="3" t="s">
        <v>130</v>
      </c>
      <c r="G272" s="3" t="s">
        <v>818</v>
      </c>
      <c r="K272" s="3" t="b">
        <v>0</v>
      </c>
      <c r="L272" s="3" t="s">
        <v>819</v>
      </c>
      <c r="N272" s="3" t="s">
        <v>820</v>
      </c>
      <c r="S272" s="4" t="str">
        <f t="shared" si="1"/>
        <v>2014</v>
      </c>
    </row>
    <row r="273">
      <c r="A273" s="3">
        <v>20.0</v>
      </c>
      <c r="B273" s="3" t="b">
        <v>0</v>
      </c>
      <c r="C273" s="3" t="s">
        <v>62</v>
      </c>
      <c r="G273" s="3" t="s">
        <v>821</v>
      </c>
      <c r="K273" s="3" t="b">
        <v>0</v>
      </c>
      <c r="L273" s="3" t="s">
        <v>311</v>
      </c>
      <c r="N273" s="3" t="s">
        <v>822</v>
      </c>
      <c r="S273" s="4" t="str">
        <f t="shared" si="1"/>
        <v>2014</v>
      </c>
    </row>
    <row r="274">
      <c r="A274" s="3">
        <v>18.0</v>
      </c>
      <c r="B274" s="3" t="b">
        <v>0</v>
      </c>
      <c r="C274" s="3" t="s">
        <v>50</v>
      </c>
      <c r="G274" s="3" t="s">
        <v>823</v>
      </c>
      <c r="K274" s="3" t="b">
        <v>0</v>
      </c>
      <c r="L274" s="3" t="s">
        <v>667</v>
      </c>
      <c r="N274" s="3" t="s">
        <v>824</v>
      </c>
      <c r="S274" s="4" t="str">
        <f t="shared" si="1"/>
        <v>2014</v>
      </c>
    </row>
    <row r="275">
      <c r="A275" s="3">
        <v>15.0</v>
      </c>
      <c r="B275" s="3" t="b">
        <v>0</v>
      </c>
      <c r="C275" s="3" t="s">
        <v>630</v>
      </c>
      <c r="G275" s="3" t="s">
        <v>825</v>
      </c>
      <c r="K275" s="3" t="b">
        <v>0</v>
      </c>
      <c r="L275" s="3" t="s">
        <v>826</v>
      </c>
      <c r="N275" s="3" t="s">
        <v>827</v>
      </c>
      <c r="S275" s="4" t="str">
        <f t="shared" si="1"/>
        <v>2014</v>
      </c>
    </row>
    <row r="276">
      <c r="A276" s="3">
        <v>14.0</v>
      </c>
      <c r="B276" s="3" t="b">
        <v>0</v>
      </c>
      <c r="C276" s="3" t="s">
        <v>31</v>
      </c>
      <c r="G276" s="3" t="s">
        <v>828</v>
      </c>
      <c r="K276" s="3" t="b">
        <v>0</v>
      </c>
      <c r="L276" s="3" t="s">
        <v>829</v>
      </c>
      <c r="N276" s="3" t="s">
        <v>830</v>
      </c>
      <c r="S276" s="4" t="str">
        <f t="shared" si="1"/>
        <v>2014</v>
      </c>
    </row>
    <row r="277">
      <c r="A277" s="3">
        <v>14.0</v>
      </c>
      <c r="B277" s="3" t="b">
        <v>0</v>
      </c>
      <c r="C277" s="3" t="s">
        <v>27</v>
      </c>
      <c r="G277" s="3" t="s">
        <v>831</v>
      </c>
      <c r="K277" s="3" t="b">
        <v>0</v>
      </c>
      <c r="L277" s="3" t="s">
        <v>832</v>
      </c>
      <c r="N277" s="3" t="s">
        <v>833</v>
      </c>
      <c r="S277" s="4" t="str">
        <f t="shared" si="1"/>
        <v>2014</v>
      </c>
    </row>
    <row r="278">
      <c r="A278" s="3">
        <v>10.0</v>
      </c>
      <c r="B278" s="3" t="b">
        <v>0</v>
      </c>
      <c r="C278" s="3" t="s">
        <v>156</v>
      </c>
      <c r="G278" s="3" t="s">
        <v>568</v>
      </c>
      <c r="K278" s="3" t="b">
        <v>0</v>
      </c>
      <c r="L278" s="3" t="s">
        <v>834</v>
      </c>
      <c r="N278" s="3" t="s">
        <v>835</v>
      </c>
      <c r="S278" s="4" t="str">
        <f t="shared" si="1"/>
        <v>2014</v>
      </c>
    </row>
    <row r="279">
      <c r="A279" s="3">
        <v>6.0</v>
      </c>
      <c r="B279" s="3" t="b">
        <v>0</v>
      </c>
      <c r="C279" s="3" t="s">
        <v>166</v>
      </c>
      <c r="G279" s="3" t="s">
        <v>836</v>
      </c>
      <c r="K279" s="3" t="b">
        <v>0</v>
      </c>
      <c r="L279" s="3" t="s">
        <v>837</v>
      </c>
      <c r="N279" s="3" t="s">
        <v>838</v>
      </c>
      <c r="S279" s="4" t="str">
        <f t="shared" si="1"/>
        <v>2014</v>
      </c>
    </row>
    <row r="280">
      <c r="A280" s="3">
        <v>0.0</v>
      </c>
      <c r="B280" s="3" t="b">
        <v>0</v>
      </c>
      <c r="C280" s="3" t="s">
        <v>46</v>
      </c>
      <c r="G280" s="3" t="s">
        <v>839</v>
      </c>
      <c r="K280" s="3" t="b">
        <v>0</v>
      </c>
      <c r="L280" s="3" t="s">
        <v>840</v>
      </c>
      <c r="N280" s="3" t="s">
        <v>841</v>
      </c>
      <c r="S280" s="4" t="str">
        <f t="shared" si="1"/>
        <v>2014</v>
      </c>
    </row>
    <row r="281">
      <c r="A281" s="3">
        <v>151623.0</v>
      </c>
      <c r="B281" s="3" t="b">
        <v>0</v>
      </c>
      <c r="C281" s="3" t="s">
        <v>39</v>
      </c>
      <c r="G281" s="3" t="s">
        <v>842</v>
      </c>
      <c r="K281" s="3" t="b">
        <v>0</v>
      </c>
      <c r="L281" s="3" t="s">
        <v>843</v>
      </c>
      <c r="N281" s="3" t="s">
        <v>844</v>
      </c>
      <c r="S281" s="4" t="str">
        <f t="shared" si="1"/>
        <v>2015</v>
      </c>
    </row>
    <row r="282">
      <c r="A282" s="3">
        <v>77081.0</v>
      </c>
      <c r="B282" s="3" t="b">
        <v>0</v>
      </c>
      <c r="C282" s="3" t="s">
        <v>630</v>
      </c>
      <c r="G282" s="3" t="s">
        <v>845</v>
      </c>
      <c r="K282" s="3" t="b">
        <v>0</v>
      </c>
      <c r="L282" s="3" t="s">
        <v>846</v>
      </c>
      <c r="N282" s="3" t="s">
        <v>847</v>
      </c>
      <c r="S282" s="4" t="str">
        <f t="shared" si="1"/>
        <v>2015</v>
      </c>
    </row>
    <row r="283">
      <c r="A283" s="3">
        <v>69438.0</v>
      </c>
      <c r="B283" s="3" t="b">
        <v>0</v>
      </c>
      <c r="C283" s="3" t="s">
        <v>186</v>
      </c>
      <c r="D283" s="7">
        <v>6.0</v>
      </c>
      <c r="E283" s="7">
        <v>14.0</v>
      </c>
      <c r="F283" s="7">
        <v>24.0</v>
      </c>
      <c r="G283" s="3" t="s">
        <v>848</v>
      </c>
      <c r="K283" s="3" t="b">
        <v>1</v>
      </c>
      <c r="L283" s="3" t="s">
        <v>849</v>
      </c>
      <c r="M283" s="7">
        <v>227.0</v>
      </c>
      <c r="N283" s="3" t="s">
        <v>850</v>
      </c>
      <c r="O283" s="7">
        <v>8.0</v>
      </c>
      <c r="P283" s="7">
        <v>96.0</v>
      </c>
      <c r="S283" s="4" t="str">
        <f t="shared" si="1"/>
        <v>2015</v>
      </c>
    </row>
    <row r="284">
      <c r="A284" s="3">
        <v>36503.0</v>
      </c>
      <c r="B284" s="3" t="b">
        <v>0</v>
      </c>
      <c r="C284" s="3" t="s">
        <v>630</v>
      </c>
      <c r="G284" s="3" t="s">
        <v>851</v>
      </c>
      <c r="K284" s="3" t="b">
        <v>0</v>
      </c>
      <c r="L284" s="3" t="s">
        <v>852</v>
      </c>
      <c r="N284" s="3" t="s">
        <v>853</v>
      </c>
      <c r="S284" s="4" t="str">
        <f t="shared" si="1"/>
        <v>2015</v>
      </c>
    </row>
    <row r="285">
      <c r="A285" s="3">
        <v>31359.0</v>
      </c>
      <c r="B285" s="3" t="b">
        <v>0</v>
      </c>
      <c r="C285" s="3" t="s">
        <v>134</v>
      </c>
      <c r="G285" s="3" t="s">
        <v>854</v>
      </c>
      <c r="K285" s="3" t="b">
        <v>0</v>
      </c>
      <c r="L285" s="3" t="s">
        <v>125</v>
      </c>
      <c r="N285" s="3" t="s">
        <v>855</v>
      </c>
      <c r="S285" s="4" t="str">
        <f t="shared" si="1"/>
        <v>2015</v>
      </c>
    </row>
    <row r="286">
      <c r="A286" s="3">
        <v>30361.0</v>
      </c>
      <c r="B286" s="3" t="b">
        <v>0</v>
      </c>
      <c r="C286" s="3" t="s">
        <v>856</v>
      </c>
      <c r="G286" s="3" t="s">
        <v>857</v>
      </c>
      <c r="K286" s="3" t="b">
        <v>0</v>
      </c>
      <c r="L286" s="3" t="s">
        <v>858</v>
      </c>
      <c r="N286" s="3" t="s">
        <v>859</v>
      </c>
      <c r="S286" s="4" t="str">
        <f t="shared" si="1"/>
        <v>2015</v>
      </c>
    </row>
    <row r="287">
      <c r="A287" s="3">
        <v>29416.0</v>
      </c>
      <c r="B287" s="3" t="b">
        <v>0</v>
      </c>
      <c r="C287" s="3" t="s">
        <v>630</v>
      </c>
      <c r="G287" s="3" t="s">
        <v>860</v>
      </c>
      <c r="K287" s="3" t="b">
        <v>0</v>
      </c>
      <c r="L287" s="3" t="s">
        <v>861</v>
      </c>
      <c r="N287" s="3" t="s">
        <v>862</v>
      </c>
      <c r="S287" s="4" t="str">
        <f t="shared" si="1"/>
        <v>2015</v>
      </c>
    </row>
    <row r="288">
      <c r="A288" s="3">
        <v>25118.0</v>
      </c>
      <c r="B288" s="3" t="b">
        <v>0</v>
      </c>
      <c r="C288" s="3" t="s">
        <v>186</v>
      </c>
      <c r="G288" s="3" t="s">
        <v>863</v>
      </c>
      <c r="K288" s="3" t="b">
        <v>1</v>
      </c>
      <c r="L288" s="3" t="s">
        <v>864</v>
      </c>
      <c r="N288" s="3" t="s">
        <v>865</v>
      </c>
      <c r="P288" s="3">
        <v>27.0</v>
      </c>
      <c r="R288" s="3">
        <v>0.0</v>
      </c>
      <c r="S288" s="4" t="str">
        <f t="shared" si="1"/>
        <v>2015</v>
      </c>
    </row>
    <row r="289">
      <c r="A289" s="3">
        <v>25118.0</v>
      </c>
      <c r="B289" s="3" t="b">
        <v>0</v>
      </c>
      <c r="C289" s="3" t="s">
        <v>166</v>
      </c>
      <c r="G289" s="3" t="s">
        <v>863</v>
      </c>
      <c r="K289" s="3" t="b">
        <v>1</v>
      </c>
      <c r="L289" s="3" t="s">
        <v>864</v>
      </c>
      <c r="N289" s="3" t="s">
        <v>865</v>
      </c>
      <c r="P289" s="3">
        <v>27.0</v>
      </c>
      <c r="R289" s="3">
        <v>0.0</v>
      </c>
      <c r="S289" s="4" t="str">
        <f t="shared" si="1"/>
        <v>2015</v>
      </c>
    </row>
    <row r="290">
      <c r="A290" s="3">
        <v>10570.0</v>
      </c>
      <c r="B290" s="3" t="b">
        <v>0</v>
      </c>
      <c r="C290" s="3" t="s">
        <v>320</v>
      </c>
      <c r="G290" s="3" t="s">
        <v>866</v>
      </c>
      <c r="K290" s="3" t="b">
        <v>0</v>
      </c>
      <c r="L290" s="3" t="s">
        <v>867</v>
      </c>
      <c r="N290" s="3" t="s">
        <v>868</v>
      </c>
      <c r="S290" s="4" t="str">
        <f t="shared" si="1"/>
        <v>2015</v>
      </c>
    </row>
    <row r="291">
      <c r="A291" s="3">
        <v>7509.0</v>
      </c>
      <c r="B291" s="3" t="b">
        <v>0</v>
      </c>
      <c r="C291" s="3" t="s">
        <v>856</v>
      </c>
      <c r="G291" s="3" t="s">
        <v>842</v>
      </c>
      <c r="K291" s="3" t="b">
        <v>0</v>
      </c>
      <c r="L291" s="3" t="s">
        <v>869</v>
      </c>
      <c r="N291" s="3" t="s">
        <v>870</v>
      </c>
      <c r="S291" s="4" t="str">
        <f t="shared" si="1"/>
        <v>2015</v>
      </c>
    </row>
    <row r="292">
      <c r="A292" s="3">
        <v>7000.0</v>
      </c>
      <c r="B292" s="3" t="b">
        <v>0</v>
      </c>
      <c r="C292" s="3" t="s">
        <v>162</v>
      </c>
      <c r="D292" s="3">
        <v>6.0</v>
      </c>
      <c r="E292" s="3">
        <v>1.0</v>
      </c>
      <c r="F292" s="3">
        <v>7.0</v>
      </c>
      <c r="G292" s="3" t="s">
        <v>871</v>
      </c>
      <c r="J292" s="3">
        <v>4.0</v>
      </c>
      <c r="K292" s="3" t="b">
        <v>1</v>
      </c>
      <c r="L292" s="3" t="s">
        <v>872</v>
      </c>
      <c r="M292" s="3">
        <v>100.0</v>
      </c>
      <c r="N292" s="3" t="s">
        <v>873</v>
      </c>
      <c r="O292" s="3">
        <v>5.0</v>
      </c>
      <c r="P292" s="3">
        <v>40.0</v>
      </c>
      <c r="S292" s="4" t="str">
        <f t="shared" si="1"/>
        <v>2015</v>
      </c>
    </row>
    <row r="293">
      <c r="A293" s="3">
        <v>7000.0</v>
      </c>
      <c r="B293" s="3" t="b">
        <v>0</v>
      </c>
      <c r="C293" s="3" t="s">
        <v>874</v>
      </c>
      <c r="D293" s="3">
        <v>6.0</v>
      </c>
      <c r="E293" s="3">
        <v>1.0</v>
      </c>
      <c r="F293" s="3">
        <v>7.0</v>
      </c>
      <c r="G293" s="3" t="s">
        <v>871</v>
      </c>
      <c r="J293" s="3">
        <v>4.0</v>
      </c>
      <c r="K293" s="3" t="b">
        <v>1</v>
      </c>
      <c r="L293" s="3" t="s">
        <v>872</v>
      </c>
      <c r="M293" s="3">
        <v>100.0</v>
      </c>
      <c r="N293" s="3" t="s">
        <v>873</v>
      </c>
      <c r="O293" s="3">
        <v>5.0</v>
      </c>
      <c r="P293" s="3">
        <v>40.0</v>
      </c>
      <c r="S293" s="4" t="str">
        <f t="shared" si="1"/>
        <v>2015</v>
      </c>
    </row>
    <row r="294">
      <c r="A294" s="3">
        <v>6980.0</v>
      </c>
      <c r="B294" s="3" t="b">
        <v>0</v>
      </c>
      <c r="C294" s="3" t="s">
        <v>94</v>
      </c>
      <c r="G294" s="3" t="s">
        <v>875</v>
      </c>
      <c r="K294" s="3" t="b">
        <v>0</v>
      </c>
      <c r="L294" s="3" t="s">
        <v>876</v>
      </c>
      <c r="N294" s="3" t="s">
        <v>877</v>
      </c>
      <c r="S294" s="4" t="str">
        <f t="shared" si="1"/>
        <v>2015</v>
      </c>
    </row>
    <row r="295">
      <c r="A295" s="3">
        <v>5702.0</v>
      </c>
      <c r="B295" s="3" t="b">
        <v>0</v>
      </c>
      <c r="C295" s="3" t="s">
        <v>156</v>
      </c>
      <c r="G295" s="3" t="s">
        <v>878</v>
      </c>
      <c r="K295" s="3" t="b">
        <v>0</v>
      </c>
      <c r="L295" s="3" t="s">
        <v>879</v>
      </c>
      <c r="N295" s="3" t="s">
        <v>880</v>
      </c>
      <c r="S295" s="4" t="str">
        <f t="shared" si="1"/>
        <v>2015</v>
      </c>
    </row>
    <row r="296">
      <c r="A296" s="3">
        <v>4883.0</v>
      </c>
      <c r="B296" s="3" t="b">
        <v>0</v>
      </c>
      <c r="C296" s="3" t="s">
        <v>50</v>
      </c>
      <c r="D296" s="7">
        <v>39.0</v>
      </c>
      <c r="E296" s="7">
        <v>8.0</v>
      </c>
      <c r="F296" s="7">
        <v>57.0</v>
      </c>
      <c r="G296" s="3" t="s">
        <v>881</v>
      </c>
      <c r="I296" s="7">
        <v>10.0</v>
      </c>
      <c r="J296" s="7">
        <v>14.0</v>
      </c>
      <c r="K296" s="3" t="b">
        <v>1</v>
      </c>
      <c r="L296" s="3" t="s">
        <v>882</v>
      </c>
      <c r="M296" s="7">
        <v>1392.0</v>
      </c>
      <c r="N296" s="3" t="s">
        <v>883</v>
      </c>
      <c r="P296" s="7">
        <v>7.0</v>
      </c>
      <c r="S296" s="4" t="str">
        <f t="shared" si="1"/>
        <v>2015</v>
      </c>
    </row>
    <row r="297">
      <c r="A297" s="3">
        <v>4863.0</v>
      </c>
      <c r="B297" s="3" t="b">
        <v>0</v>
      </c>
      <c r="C297" s="3" t="s">
        <v>145</v>
      </c>
      <c r="G297" s="3" t="s">
        <v>884</v>
      </c>
      <c r="K297" s="3" t="b">
        <v>0</v>
      </c>
      <c r="L297" s="3" t="s">
        <v>885</v>
      </c>
      <c r="N297" s="3" t="s">
        <v>886</v>
      </c>
      <c r="S297" s="4" t="str">
        <f t="shared" si="1"/>
        <v>2015</v>
      </c>
    </row>
    <row r="298">
      <c r="A298" s="3">
        <v>4250.0</v>
      </c>
      <c r="B298" s="3" t="b">
        <v>0</v>
      </c>
      <c r="C298" s="3" t="s">
        <v>134</v>
      </c>
      <c r="D298" s="7">
        <v>4.0</v>
      </c>
      <c r="E298" s="7">
        <v>1.0</v>
      </c>
      <c r="G298" s="3" t="s">
        <v>887</v>
      </c>
      <c r="K298" s="3" t="b">
        <v>1</v>
      </c>
      <c r="L298" s="3" t="s">
        <v>888</v>
      </c>
      <c r="M298" s="7">
        <v>215.0</v>
      </c>
      <c r="N298" s="3" t="s">
        <v>889</v>
      </c>
      <c r="O298" s="7">
        <v>4.0</v>
      </c>
      <c r="P298" s="7">
        <v>68.0</v>
      </c>
      <c r="S298" s="4" t="str">
        <f t="shared" si="1"/>
        <v>2015</v>
      </c>
    </row>
    <row r="299">
      <c r="A299" s="3">
        <v>3676.0</v>
      </c>
      <c r="B299" s="3" t="b">
        <v>0</v>
      </c>
      <c r="C299" s="3" t="s">
        <v>874</v>
      </c>
      <c r="G299" s="3" t="s">
        <v>890</v>
      </c>
      <c r="K299" s="3" t="b">
        <v>0</v>
      </c>
      <c r="L299" s="3" t="s">
        <v>891</v>
      </c>
      <c r="N299" s="3" t="s">
        <v>892</v>
      </c>
      <c r="S299" s="4" t="str">
        <f t="shared" si="1"/>
        <v>2015</v>
      </c>
    </row>
    <row r="300">
      <c r="A300" s="3">
        <v>2700.0</v>
      </c>
      <c r="B300" s="3" t="b">
        <v>0</v>
      </c>
      <c r="C300" s="3" t="s">
        <v>205</v>
      </c>
      <c r="F300" s="3">
        <v>5.0</v>
      </c>
      <c r="G300" s="3" t="s">
        <v>893</v>
      </c>
      <c r="K300" s="3" t="b">
        <v>1</v>
      </c>
      <c r="L300" s="3" t="s">
        <v>894</v>
      </c>
      <c r="M300" s="3">
        <v>18.0</v>
      </c>
      <c r="N300" s="3" t="s">
        <v>895</v>
      </c>
      <c r="S300" s="4" t="str">
        <f t="shared" si="1"/>
        <v>2015</v>
      </c>
    </row>
    <row r="301">
      <c r="A301" s="3">
        <v>2446.0</v>
      </c>
      <c r="B301" s="3" t="b">
        <v>0</v>
      </c>
      <c r="C301" s="3" t="s">
        <v>149</v>
      </c>
      <c r="D301" s="7">
        <v>26.0</v>
      </c>
      <c r="E301" s="7">
        <v>3.0</v>
      </c>
      <c r="F301" s="3">
        <v>23.0</v>
      </c>
      <c r="G301" s="3" t="s">
        <v>896</v>
      </c>
      <c r="I301" s="7">
        <v>3.0</v>
      </c>
      <c r="J301" s="3">
        <v>1.0</v>
      </c>
      <c r="K301" s="3" t="b">
        <v>1</v>
      </c>
      <c r="L301" s="3" t="s">
        <v>897</v>
      </c>
      <c r="M301" s="3">
        <v>692.0</v>
      </c>
      <c r="N301" s="3" t="s">
        <v>898</v>
      </c>
      <c r="P301" s="3">
        <v>1.0</v>
      </c>
      <c r="R301" s="3">
        <v>0.0</v>
      </c>
      <c r="S301" s="4" t="str">
        <f t="shared" si="1"/>
        <v>2015</v>
      </c>
    </row>
    <row r="302">
      <c r="A302" s="3">
        <v>2304.0</v>
      </c>
      <c r="B302" s="3" t="b">
        <v>0</v>
      </c>
      <c r="C302" s="3" t="s">
        <v>388</v>
      </c>
      <c r="F302" s="3">
        <v>1.0</v>
      </c>
      <c r="G302" s="3" t="s">
        <v>899</v>
      </c>
      <c r="J302" s="3">
        <v>6.0</v>
      </c>
      <c r="K302" s="3" t="b">
        <v>1</v>
      </c>
      <c r="L302" s="3" t="s">
        <v>900</v>
      </c>
      <c r="M302" s="3">
        <v>27.0</v>
      </c>
      <c r="N302" s="3" t="s">
        <v>901</v>
      </c>
      <c r="O302" s="7">
        <v>1.0</v>
      </c>
      <c r="P302" s="3">
        <v>2.0</v>
      </c>
      <c r="R302" s="3">
        <v>54.0</v>
      </c>
      <c r="S302" s="4" t="str">
        <f t="shared" si="1"/>
        <v>2015</v>
      </c>
    </row>
    <row r="303">
      <c r="A303" s="3">
        <v>1850.0</v>
      </c>
      <c r="B303" s="3" t="b">
        <v>0</v>
      </c>
      <c r="C303" s="3" t="s">
        <v>62</v>
      </c>
      <c r="G303" s="3" t="s">
        <v>902</v>
      </c>
      <c r="K303" s="3" t="b">
        <v>0</v>
      </c>
      <c r="L303" s="3" t="s">
        <v>903</v>
      </c>
      <c r="N303" s="3" t="s">
        <v>904</v>
      </c>
      <c r="S303" s="4" t="str">
        <f t="shared" si="1"/>
        <v>2015</v>
      </c>
    </row>
    <row r="304">
      <c r="A304" s="3">
        <v>1791.0</v>
      </c>
      <c r="B304" s="3" t="b">
        <v>0</v>
      </c>
      <c r="C304" s="3" t="s">
        <v>149</v>
      </c>
      <c r="F304" s="7">
        <v>3.0</v>
      </c>
      <c r="G304" s="3" t="s">
        <v>905</v>
      </c>
      <c r="J304" s="7">
        <v>4.0</v>
      </c>
      <c r="K304" s="3" t="b">
        <v>1</v>
      </c>
      <c r="L304" s="3" t="s">
        <v>906</v>
      </c>
      <c r="M304" s="7">
        <v>15.0</v>
      </c>
      <c r="N304" s="3" t="s">
        <v>907</v>
      </c>
      <c r="P304" s="7">
        <v>23.0</v>
      </c>
      <c r="S304" s="4" t="str">
        <f t="shared" si="1"/>
        <v>2015</v>
      </c>
    </row>
    <row r="305">
      <c r="A305" s="3">
        <v>1542.0</v>
      </c>
      <c r="B305" s="3" t="b">
        <v>0</v>
      </c>
      <c r="C305" s="3" t="s">
        <v>630</v>
      </c>
      <c r="G305" s="3" t="s">
        <v>908</v>
      </c>
      <c r="K305" s="3" t="b">
        <v>0</v>
      </c>
      <c r="L305" s="3" t="s">
        <v>909</v>
      </c>
      <c r="N305" s="3" t="s">
        <v>910</v>
      </c>
      <c r="S305" s="4" t="str">
        <f t="shared" si="1"/>
        <v>2015</v>
      </c>
    </row>
    <row r="306">
      <c r="A306" s="3">
        <v>1450.0</v>
      </c>
      <c r="B306" s="3" t="b">
        <v>0</v>
      </c>
      <c r="C306" s="3" t="s">
        <v>282</v>
      </c>
      <c r="G306" s="3" t="s">
        <v>911</v>
      </c>
      <c r="K306" s="3" t="b">
        <v>0</v>
      </c>
      <c r="L306" s="3" t="s">
        <v>329</v>
      </c>
      <c r="N306" s="3" t="s">
        <v>912</v>
      </c>
      <c r="S306" s="4" t="str">
        <f t="shared" si="1"/>
        <v>2015</v>
      </c>
    </row>
    <row r="307">
      <c r="A307" s="3">
        <v>1333.0</v>
      </c>
      <c r="B307" s="3" t="b">
        <v>0</v>
      </c>
      <c r="C307" s="3" t="s">
        <v>282</v>
      </c>
      <c r="E307" s="7">
        <v>1.0</v>
      </c>
      <c r="F307" s="7">
        <v>2.0</v>
      </c>
      <c r="G307" s="3" t="s">
        <v>913</v>
      </c>
      <c r="K307" s="3" t="b">
        <v>1</v>
      </c>
      <c r="L307" s="3" t="s">
        <v>75</v>
      </c>
      <c r="M307" s="3">
        <v>13.0</v>
      </c>
      <c r="N307" s="3" t="s">
        <v>914</v>
      </c>
      <c r="S307" s="4" t="str">
        <f t="shared" si="1"/>
        <v>2015</v>
      </c>
    </row>
    <row r="308">
      <c r="A308" s="3">
        <v>1086.0</v>
      </c>
      <c r="B308" s="3" t="b">
        <v>0</v>
      </c>
      <c r="C308" s="3" t="s">
        <v>114</v>
      </c>
      <c r="G308" s="3" t="s">
        <v>915</v>
      </c>
      <c r="H308" s="7">
        <v>1.0</v>
      </c>
      <c r="J308" s="7">
        <v>0.0</v>
      </c>
      <c r="K308" s="3" t="b">
        <v>1</v>
      </c>
      <c r="L308" s="3" t="s">
        <v>220</v>
      </c>
      <c r="M308" s="3">
        <v>55.0</v>
      </c>
      <c r="N308" s="3" t="s">
        <v>916</v>
      </c>
      <c r="O308" s="7">
        <v>1.0</v>
      </c>
      <c r="P308" s="7">
        <v>20.0</v>
      </c>
      <c r="S308" s="4" t="str">
        <f t="shared" si="1"/>
        <v>2015</v>
      </c>
    </row>
    <row r="309">
      <c r="A309" s="3">
        <v>1049.0</v>
      </c>
      <c r="B309" s="3" t="b">
        <v>0</v>
      </c>
      <c r="C309" s="3" t="s">
        <v>27</v>
      </c>
      <c r="D309" s="3">
        <v>3.0</v>
      </c>
      <c r="F309" s="3">
        <v>4.0</v>
      </c>
      <c r="G309" s="3" t="s">
        <v>917</v>
      </c>
      <c r="K309" s="3" t="b">
        <v>1</v>
      </c>
      <c r="L309" s="3" t="s">
        <v>653</v>
      </c>
      <c r="M309" s="3">
        <v>54.0</v>
      </c>
      <c r="N309" s="3" t="s">
        <v>918</v>
      </c>
      <c r="S309" s="4" t="str">
        <f t="shared" si="1"/>
        <v>2015</v>
      </c>
    </row>
    <row r="310">
      <c r="A310" s="3">
        <v>1042.0</v>
      </c>
      <c r="B310" s="3" t="b">
        <v>0</v>
      </c>
      <c r="C310" s="3" t="s">
        <v>87</v>
      </c>
      <c r="D310" s="3">
        <v>20.0</v>
      </c>
      <c r="E310" s="3">
        <v>12.0</v>
      </c>
      <c r="F310" s="3">
        <v>35.0</v>
      </c>
      <c r="G310" s="3" t="s">
        <v>919</v>
      </c>
      <c r="I310" s="7">
        <v>2.0</v>
      </c>
      <c r="J310" s="7">
        <v>1.0</v>
      </c>
      <c r="K310" s="3" t="b">
        <v>1</v>
      </c>
      <c r="L310" s="3" t="s">
        <v>920</v>
      </c>
      <c r="M310" s="3">
        <v>613.0</v>
      </c>
      <c r="N310" s="3" t="s">
        <v>921</v>
      </c>
      <c r="S310" s="4" t="str">
        <f t="shared" si="1"/>
        <v>2015</v>
      </c>
    </row>
    <row r="311">
      <c r="A311" s="3">
        <v>920.0</v>
      </c>
      <c r="B311" s="3" t="b">
        <v>0</v>
      </c>
      <c r="C311" s="3" t="s">
        <v>156</v>
      </c>
      <c r="D311" s="3">
        <v>2.0</v>
      </c>
      <c r="E311" s="3">
        <v>2.0</v>
      </c>
      <c r="G311" s="3" t="s">
        <v>922</v>
      </c>
      <c r="K311" s="3" t="b">
        <v>1</v>
      </c>
      <c r="L311" s="3" t="s">
        <v>923</v>
      </c>
      <c r="M311" s="3">
        <v>43.0</v>
      </c>
      <c r="N311" s="3" t="s">
        <v>924</v>
      </c>
      <c r="P311" s="7">
        <v>3.0</v>
      </c>
      <c r="S311" s="4" t="str">
        <f t="shared" si="1"/>
        <v>2015</v>
      </c>
    </row>
    <row r="312">
      <c r="A312" s="3">
        <v>860.0</v>
      </c>
      <c r="B312" s="3" t="b">
        <v>0</v>
      </c>
      <c r="C312" s="3" t="s">
        <v>87</v>
      </c>
      <c r="D312" s="3">
        <v>2.0</v>
      </c>
      <c r="E312" s="3">
        <v>3.0</v>
      </c>
      <c r="F312" s="3">
        <v>18.0</v>
      </c>
      <c r="G312" s="3" t="s">
        <v>925</v>
      </c>
      <c r="K312" s="3" t="b">
        <v>1</v>
      </c>
      <c r="L312" s="3" t="s">
        <v>926</v>
      </c>
      <c r="M312" s="3">
        <v>102.0</v>
      </c>
      <c r="N312" s="3" t="s">
        <v>927</v>
      </c>
      <c r="S312" s="4" t="str">
        <f t="shared" si="1"/>
        <v>2015</v>
      </c>
    </row>
    <row r="313">
      <c r="A313" s="3">
        <v>673.0</v>
      </c>
      <c r="B313" s="3" t="b">
        <v>0</v>
      </c>
      <c r="C313" s="3" t="s">
        <v>186</v>
      </c>
      <c r="D313" s="3">
        <v>4.0</v>
      </c>
      <c r="E313" s="3">
        <v>1.0</v>
      </c>
      <c r="F313" s="3">
        <v>10.0</v>
      </c>
      <c r="G313" s="3" t="s">
        <v>928</v>
      </c>
      <c r="K313" s="3" t="b">
        <v>1</v>
      </c>
      <c r="L313" s="3" t="s">
        <v>929</v>
      </c>
      <c r="M313" s="3">
        <v>270.0</v>
      </c>
      <c r="N313" s="3" t="s">
        <v>930</v>
      </c>
      <c r="S313" s="4" t="str">
        <f t="shared" si="1"/>
        <v>2015</v>
      </c>
    </row>
    <row r="314">
      <c r="A314" s="3">
        <v>670.0</v>
      </c>
      <c r="B314" s="3" t="b">
        <v>0</v>
      </c>
      <c r="C314" s="3" t="s">
        <v>170</v>
      </c>
      <c r="D314" s="3">
        <v>2.0</v>
      </c>
      <c r="E314" s="3">
        <v>3.0</v>
      </c>
      <c r="F314" s="3">
        <v>4.0</v>
      </c>
      <c r="G314" s="3" t="s">
        <v>931</v>
      </c>
      <c r="J314" s="7">
        <v>3.0</v>
      </c>
      <c r="K314" s="3" t="b">
        <v>1</v>
      </c>
      <c r="L314" s="3" t="s">
        <v>932</v>
      </c>
      <c r="M314" s="3">
        <v>108.0</v>
      </c>
      <c r="N314" s="3" t="s">
        <v>933</v>
      </c>
      <c r="S314" s="4" t="str">
        <f t="shared" si="1"/>
        <v>2015</v>
      </c>
    </row>
    <row r="315">
      <c r="A315" s="3">
        <v>543.0</v>
      </c>
      <c r="B315" s="3" t="b">
        <v>0</v>
      </c>
      <c r="C315" s="3" t="s">
        <v>27</v>
      </c>
      <c r="G315" s="3" t="s">
        <v>934</v>
      </c>
      <c r="K315" s="3" t="b">
        <v>0</v>
      </c>
      <c r="L315" s="3" t="s">
        <v>935</v>
      </c>
      <c r="N315" s="3" t="s">
        <v>936</v>
      </c>
      <c r="S315" s="4" t="str">
        <f t="shared" si="1"/>
        <v>2015</v>
      </c>
    </row>
    <row r="316">
      <c r="A316" s="3">
        <v>509.0</v>
      </c>
      <c r="B316" s="3" t="b">
        <v>0</v>
      </c>
      <c r="C316" s="3" t="s">
        <v>874</v>
      </c>
      <c r="G316" s="3" t="s">
        <v>937</v>
      </c>
      <c r="K316" s="3" t="b">
        <v>0</v>
      </c>
      <c r="L316" s="3" t="s">
        <v>938</v>
      </c>
      <c r="N316" s="3" t="s">
        <v>939</v>
      </c>
      <c r="S316" s="4" t="str">
        <f t="shared" si="1"/>
        <v>2015</v>
      </c>
    </row>
    <row r="317">
      <c r="A317" s="3">
        <v>500.0</v>
      </c>
      <c r="B317" s="3" t="b">
        <v>0</v>
      </c>
      <c r="C317" s="3" t="s">
        <v>156</v>
      </c>
      <c r="G317" s="3" t="s">
        <v>940</v>
      </c>
      <c r="K317" s="3" t="b">
        <v>0</v>
      </c>
      <c r="L317" s="3" t="s">
        <v>941</v>
      </c>
      <c r="N317" s="3" t="s">
        <v>942</v>
      </c>
      <c r="S317" s="4" t="str">
        <f t="shared" si="1"/>
        <v>2015</v>
      </c>
    </row>
    <row r="318">
      <c r="A318" s="3">
        <v>430.0</v>
      </c>
      <c r="B318" s="3" t="b">
        <v>0</v>
      </c>
      <c r="C318" s="3" t="s">
        <v>94</v>
      </c>
      <c r="G318" s="3" t="s">
        <v>943</v>
      </c>
      <c r="K318" s="3" t="b">
        <v>1</v>
      </c>
      <c r="L318" s="3" t="s">
        <v>944</v>
      </c>
      <c r="N318" s="3" t="s">
        <v>945</v>
      </c>
      <c r="S318" s="4" t="str">
        <f t="shared" si="1"/>
        <v>2015</v>
      </c>
    </row>
    <row r="319">
      <c r="A319" s="3">
        <v>415.0</v>
      </c>
      <c r="B319" s="3" t="b">
        <v>0</v>
      </c>
      <c r="C319" s="3" t="s">
        <v>101</v>
      </c>
      <c r="G319" s="3" t="s">
        <v>946</v>
      </c>
      <c r="K319" s="3" t="b">
        <v>0</v>
      </c>
      <c r="L319" s="3" t="s">
        <v>947</v>
      </c>
      <c r="N319" s="3" t="s">
        <v>948</v>
      </c>
      <c r="S319" s="4" t="str">
        <f t="shared" si="1"/>
        <v>2015</v>
      </c>
    </row>
    <row r="320">
      <c r="A320" s="3">
        <v>415.0</v>
      </c>
      <c r="B320" s="3" t="b">
        <v>0</v>
      </c>
      <c r="C320" s="3" t="s">
        <v>23</v>
      </c>
      <c r="G320" s="3" t="s">
        <v>949</v>
      </c>
      <c r="K320" s="3" t="b">
        <v>0</v>
      </c>
      <c r="L320" s="3" t="s">
        <v>950</v>
      </c>
      <c r="N320" s="3" t="s">
        <v>951</v>
      </c>
      <c r="S320" s="4" t="str">
        <f t="shared" si="1"/>
        <v>2015</v>
      </c>
    </row>
    <row r="321">
      <c r="A321" s="3">
        <v>400.0</v>
      </c>
      <c r="B321" s="3" t="b">
        <v>0</v>
      </c>
      <c r="C321" s="3" t="s">
        <v>87</v>
      </c>
      <c r="G321" s="3" t="s">
        <v>952</v>
      </c>
      <c r="K321" s="3" t="b">
        <v>1</v>
      </c>
      <c r="L321" s="3" t="s">
        <v>89</v>
      </c>
      <c r="M321" s="7">
        <v>8.0</v>
      </c>
      <c r="N321" s="3" t="s">
        <v>953</v>
      </c>
      <c r="P321" s="7">
        <v>16.0</v>
      </c>
      <c r="S321" s="4" t="str">
        <f t="shared" si="1"/>
        <v>2015</v>
      </c>
    </row>
    <row r="322">
      <c r="A322" s="3">
        <v>374.0</v>
      </c>
      <c r="B322" s="3" t="b">
        <v>0</v>
      </c>
      <c r="C322" s="3" t="s">
        <v>23</v>
      </c>
      <c r="G322" s="3" t="s">
        <v>954</v>
      </c>
      <c r="K322" s="3" t="b">
        <v>0</v>
      </c>
      <c r="L322" s="3" t="s">
        <v>955</v>
      </c>
      <c r="N322" s="3" t="s">
        <v>956</v>
      </c>
      <c r="S322" s="4" t="str">
        <f t="shared" si="1"/>
        <v>2015</v>
      </c>
    </row>
    <row r="323">
      <c r="A323" s="3">
        <v>355.0</v>
      </c>
      <c r="B323" s="3" t="b">
        <v>0</v>
      </c>
      <c r="C323" s="3" t="s">
        <v>324</v>
      </c>
      <c r="D323" s="7">
        <v>1.0</v>
      </c>
      <c r="E323" s="7">
        <v>2.0</v>
      </c>
      <c r="F323" s="7">
        <v>13.0</v>
      </c>
      <c r="G323" s="3" t="s">
        <v>957</v>
      </c>
      <c r="K323" s="3" t="b">
        <v>1</v>
      </c>
      <c r="L323" s="3" t="s">
        <v>958</v>
      </c>
      <c r="N323" s="3" t="s">
        <v>959</v>
      </c>
      <c r="S323" s="4" t="str">
        <f t="shared" si="1"/>
        <v>2015</v>
      </c>
    </row>
    <row r="324">
      <c r="A324" s="3">
        <v>300.0</v>
      </c>
      <c r="B324" s="3" t="b">
        <v>0</v>
      </c>
      <c r="C324" s="3" t="s">
        <v>23</v>
      </c>
      <c r="G324" s="3" t="s">
        <v>960</v>
      </c>
      <c r="K324" s="3" t="b">
        <v>0</v>
      </c>
      <c r="L324" s="3" t="s">
        <v>961</v>
      </c>
      <c r="N324" s="3" t="s">
        <v>962</v>
      </c>
      <c r="S324" s="4" t="str">
        <f t="shared" si="1"/>
        <v>2015</v>
      </c>
    </row>
    <row r="325">
      <c r="A325" s="3">
        <v>300.0</v>
      </c>
      <c r="B325" s="3" t="b">
        <v>0</v>
      </c>
      <c r="C325" s="3" t="s">
        <v>205</v>
      </c>
      <c r="G325" s="3" t="s">
        <v>963</v>
      </c>
      <c r="K325" s="3" t="b">
        <v>0</v>
      </c>
      <c r="L325" s="3" t="s">
        <v>964</v>
      </c>
      <c r="N325" s="3" t="s">
        <v>965</v>
      </c>
      <c r="S325" s="4" t="str">
        <f t="shared" si="1"/>
        <v>2015</v>
      </c>
    </row>
    <row r="326">
      <c r="A326" s="3">
        <v>282.0</v>
      </c>
      <c r="B326" s="3" t="b">
        <v>0</v>
      </c>
      <c r="C326" s="3" t="s">
        <v>35</v>
      </c>
      <c r="G326" s="3" t="s">
        <v>966</v>
      </c>
      <c r="K326" s="3" t="b">
        <v>0</v>
      </c>
      <c r="L326" s="3" t="s">
        <v>967</v>
      </c>
      <c r="N326" s="3" t="s">
        <v>968</v>
      </c>
      <c r="S326" s="4" t="str">
        <f t="shared" si="1"/>
        <v>2015</v>
      </c>
    </row>
    <row r="327">
      <c r="A327" s="3">
        <v>275.0</v>
      </c>
      <c r="B327" s="3" t="b">
        <v>0</v>
      </c>
      <c r="C327" s="3" t="s">
        <v>282</v>
      </c>
      <c r="G327" s="3" t="s">
        <v>969</v>
      </c>
      <c r="K327" s="3" t="b">
        <v>0</v>
      </c>
      <c r="L327" s="3" t="s">
        <v>970</v>
      </c>
      <c r="N327" s="3" t="s">
        <v>971</v>
      </c>
      <c r="S327" s="4" t="str">
        <f t="shared" si="1"/>
        <v>2015</v>
      </c>
    </row>
    <row r="328">
      <c r="A328" s="3">
        <v>242.0</v>
      </c>
      <c r="B328" s="3" t="b">
        <v>0</v>
      </c>
      <c r="C328" s="3" t="s">
        <v>205</v>
      </c>
      <c r="G328" s="3" t="s">
        <v>972</v>
      </c>
      <c r="K328" s="3" t="b">
        <v>0</v>
      </c>
      <c r="L328" s="3" t="s">
        <v>973</v>
      </c>
      <c r="N328" s="3" t="s">
        <v>974</v>
      </c>
      <c r="S328" s="4" t="str">
        <f t="shared" si="1"/>
        <v>2015</v>
      </c>
    </row>
    <row r="329">
      <c r="A329" s="3">
        <v>227.0</v>
      </c>
      <c r="B329" s="3" t="b">
        <v>0</v>
      </c>
      <c r="C329" s="3" t="s">
        <v>313</v>
      </c>
      <c r="G329" s="3" t="s">
        <v>975</v>
      </c>
      <c r="K329" s="3" t="b">
        <v>0</v>
      </c>
      <c r="L329" s="3" t="s">
        <v>976</v>
      </c>
      <c r="N329" s="3" t="s">
        <v>977</v>
      </c>
      <c r="S329" s="4" t="str">
        <f t="shared" si="1"/>
        <v>2015</v>
      </c>
    </row>
    <row r="330">
      <c r="A330" s="3">
        <v>215.0</v>
      </c>
      <c r="B330" s="3" t="b">
        <v>0</v>
      </c>
      <c r="C330" s="3" t="s">
        <v>401</v>
      </c>
      <c r="G330" s="3" t="s">
        <v>978</v>
      </c>
      <c r="K330" s="3" t="b">
        <v>0</v>
      </c>
      <c r="L330" s="3" t="s">
        <v>979</v>
      </c>
      <c r="N330" s="3" t="s">
        <v>980</v>
      </c>
      <c r="S330" s="4" t="str">
        <f t="shared" si="1"/>
        <v>2015</v>
      </c>
    </row>
    <row r="331">
      <c r="A331" s="3">
        <v>215.0</v>
      </c>
      <c r="B331" s="3" t="b">
        <v>0</v>
      </c>
      <c r="C331" s="3" t="s">
        <v>186</v>
      </c>
      <c r="F331" s="7">
        <v>4.0</v>
      </c>
      <c r="G331" s="3" t="s">
        <v>981</v>
      </c>
      <c r="K331" s="3" t="b">
        <v>1</v>
      </c>
      <c r="L331" s="3" t="s">
        <v>982</v>
      </c>
      <c r="N331" s="3" t="s">
        <v>983</v>
      </c>
      <c r="S331" s="4" t="str">
        <f t="shared" si="1"/>
        <v>2015</v>
      </c>
    </row>
    <row r="332">
      <c r="A332" s="3">
        <v>214.0</v>
      </c>
      <c r="B332" s="3" t="b">
        <v>0</v>
      </c>
      <c r="C332" s="3" t="s">
        <v>435</v>
      </c>
      <c r="G332" s="3" t="s">
        <v>984</v>
      </c>
      <c r="K332" s="3" t="b">
        <v>0</v>
      </c>
      <c r="L332" s="3" t="s">
        <v>985</v>
      </c>
      <c r="N332" s="3" t="s">
        <v>986</v>
      </c>
      <c r="S332" s="4" t="str">
        <f t="shared" si="1"/>
        <v>2015</v>
      </c>
    </row>
    <row r="333">
      <c r="A333" s="3">
        <v>212.0</v>
      </c>
      <c r="B333" s="3" t="b">
        <v>0</v>
      </c>
      <c r="C333" s="3" t="s">
        <v>58</v>
      </c>
      <c r="D333" s="7">
        <v>3.0</v>
      </c>
      <c r="E333" s="7">
        <v>1.0</v>
      </c>
      <c r="F333" s="7">
        <v>20.0</v>
      </c>
      <c r="G333" s="3" t="s">
        <v>911</v>
      </c>
      <c r="I333" s="7">
        <v>2.0</v>
      </c>
      <c r="J333" s="7">
        <v>2.0</v>
      </c>
      <c r="K333" s="3" t="b">
        <v>1</v>
      </c>
      <c r="L333" s="3" t="s">
        <v>987</v>
      </c>
      <c r="M333" s="7">
        <v>120.0</v>
      </c>
      <c r="N333" s="3" t="s">
        <v>988</v>
      </c>
      <c r="O333" s="7">
        <v>1.0</v>
      </c>
      <c r="P333" s="7">
        <v>5.0</v>
      </c>
      <c r="S333" s="4" t="str">
        <f t="shared" si="1"/>
        <v>2015</v>
      </c>
    </row>
    <row r="334">
      <c r="A334" s="3">
        <v>211.0</v>
      </c>
      <c r="B334" s="3" t="b">
        <v>0</v>
      </c>
      <c r="C334" s="3" t="s">
        <v>97</v>
      </c>
      <c r="G334" s="3" t="s">
        <v>989</v>
      </c>
      <c r="K334" s="3" t="b">
        <v>0</v>
      </c>
      <c r="L334" s="3" t="s">
        <v>990</v>
      </c>
      <c r="N334" s="3" t="s">
        <v>991</v>
      </c>
      <c r="S334" s="4" t="str">
        <f t="shared" si="1"/>
        <v>2015</v>
      </c>
    </row>
    <row r="335">
      <c r="A335" s="3">
        <v>204.0</v>
      </c>
      <c r="B335" s="3" t="b">
        <v>0</v>
      </c>
      <c r="C335" s="3" t="s">
        <v>19</v>
      </c>
      <c r="D335" s="7">
        <v>5.0</v>
      </c>
      <c r="E335" s="7">
        <v>1.0</v>
      </c>
      <c r="F335" s="7">
        <v>9.0</v>
      </c>
      <c r="G335" s="3" t="s">
        <v>992</v>
      </c>
      <c r="K335" s="3" t="b">
        <v>1</v>
      </c>
      <c r="L335" s="3" t="s">
        <v>993</v>
      </c>
      <c r="M335" s="7">
        <v>115.0</v>
      </c>
      <c r="N335" s="3" t="s">
        <v>994</v>
      </c>
      <c r="S335" s="4" t="str">
        <f t="shared" si="1"/>
        <v>2015</v>
      </c>
    </row>
    <row r="336">
      <c r="A336" s="3">
        <v>200.0</v>
      </c>
      <c r="B336" s="3" t="b">
        <v>0</v>
      </c>
      <c r="C336" s="3" t="s">
        <v>23</v>
      </c>
      <c r="G336" s="3" t="s">
        <v>995</v>
      </c>
      <c r="K336" s="3" t="b">
        <v>0</v>
      </c>
      <c r="L336" s="3" t="s">
        <v>834</v>
      </c>
      <c r="N336" s="3" t="s">
        <v>996</v>
      </c>
      <c r="S336" s="4" t="str">
        <f t="shared" si="1"/>
        <v>2015</v>
      </c>
    </row>
    <row r="337">
      <c r="A337" s="3">
        <v>200.0</v>
      </c>
      <c r="B337" s="3" t="b">
        <v>0</v>
      </c>
      <c r="C337" s="3" t="s">
        <v>46</v>
      </c>
      <c r="G337" s="3" t="s">
        <v>997</v>
      </c>
      <c r="K337" s="3" t="b">
        <v>0</v>
      </c>
      <c r="L337" s="3" t="s">
        <v>998</v>
      </c>
      <c r="N337" s="3" t="s">
        <v>999</v>
      </c>
      <c r="S337" s="4" t="str">
        <f t="shared" si="1"/>
        <v>2015</v>
      </c>
    </row>
    <row r="338">
      <c r="A338" s="3">
        <v>195.0</v>
      </c>
      <c r="B338" s="3" t="b">
        <v>0</v>
      </c>
      <c r="C338" s="3" t="s">
        <v>80</v>
      </c>
      <c r="G338" s="3" t="s">
        <v>862</v>
      </c>
      <c r="K338" s="3" t="b">
        <v>0</v>
      </c>
      <c r="L338" s="3" t="s">
        <v>207</v>
      </c>
      <c r="N338" s="3" t="s">
        <v>1000</v>
      </c>
      <c r="S338" s="4" t="str">
        <f t="shared" si="1"/>
        <v>2015</v>
      </c>
    </row>
    <row r="339">
      <c r="A339" s="3">
        <v>186.0</v>
      </c>
      <c r="B339" s="3" t="b">
        <v>0</v>
      </c>
      <c r="C339" s="3" t="s">
        <v>35</v>
      </c>
      <c r="G339" s="3" t="s">
        <v>1001</v>
      </c>
      <c r="K339" s="3" t="b">
        <v>0</v>
      </c>
      <c r="L339" s="3" t="s">
        <v>1002</v>
      </c>
      <c r="N339" s="3" t="s">
        <v>1003</v>
      </c>
      <c r="S339" s="4" t="str">
        <f t="shared" si="1"/>
        <v>2015</v>
      </c>
    </row>
    <row r="340">
      <c r="A340" s="3">
        <v>181.0</v>
      </c>
      <c r="B340" s="3" t="b">
        <v>0</v>
      </c>
      <c r="C340" s="3" t="s">
        <v>46</v>
      </c>
      <c r="G340" s="3" t="s">
        <v>1004</v>
      </c>
      <c r="K340" s="3" t="b">
        <v>0</v>
      </c>
      <c r="L340" s="3" t="s">
        <v>1005</v>
      </c>
      <c r="N340" s="3" t="s">
        <v>1006</v>
      </c>
      <c r="S340" s="4" t="str">
        <f t="shared" si="1"/>
        <v>2015</v>
      </c>
    </row>
    <row r="341">
      <c r="A341" s="3">
        <v>171.0</v>
      </c>
      <c r="B341" s="3" t="b">
        <v>0</v>
      </c>
      <c r="C341" s="3" t="s">
        <v>62</v>
      </c>
      <c r="G341" s="3" t="s">
        <v>1007</v>
      </c>
      <c r="K341" s="3" t="b">
        <v>0</v>
      </c>
      <c r="L341" s="3" t="s">
        <v>1008</v>
      </c>
      <c r="N341" s="3" t="s">
        <v>1009</v>
      </c>
      <c r="S341" s="4" t="str">
        <f t="shared" si="1"/>
        <v>2015</v>
      </c>
    </row>
    <row r="342">
      <c r="A342" s="3">
        <v>170.0</v>
      </c>
      <c r="B342" s="3" t="b">
        <v>0</v>
      </c>
      <c r="C342" s="3" t="s">
        <v>39</v>
      </c>
      <c r="G342" s="3" t="s">
        <v>1010</v>
      </c>
      <c r="K342" s="3" t="b">
        <v>0</v>
      </c>
      <c r="L342" s="3" t="s">
        <v>329</v>
      </c>
      <c r="N342" s="3" t="s">
        <v>1011</v>
      </c>
      <c r="S342" s="4" t="str">
        <f t="shared" si="1"/>
        <v>2015</v>
      </c>
    </row>
    <row r="343">
      <c r="A343" s="3">
        <v>170.0</v>
      </c>
      <c r="B343" s="3" t="b">
        <v>0</v>
      </c>
      <c r="C343" s="3" t="s">
        <v>54</v>
      </c>
      <c r="G343" s="3" t="s">
        <v>1012</v>
      </c>
      <c r="K343" s="3" t="b">
        <v>0</v>
      </c>
      <c r="L343" s="3" t="s">
        <v>644</v>
      </c>
      <c r="N343" s="3" t="s">
        <v>1013</v>
      </c>
      <c r="S343" s="4" t="str">
        <f t="shared" si="1"/>
        <v>2015</v>
      </c>
    </row>
    <row r="344">
      <c r="A344" s="3">
        <v>167.0</v>
      </c>
      <c r="B344" s="3" t="b">
        <v>0</v>
      </c>
      <c r="C344" s="3" t="s">
        <v>69</v>
      </c>
      <c r="G344" s="3" t="s">
        <v>1014</v>
      </c>
      <c r="K344" s="3" t="b">
        <v>0</v>
      </c>
      <c r="L344" s="3" t="s">
        <v>1015</v>
      </c>
      <c r="N344" s="3" t="s">
        <v>1016</v>
      </c>
      <c r="S344" s="4" t="str">
        <f t="shared" si="1"/>
        <v>2015</v>
      </c>
    </row>
    <row r="345">
      <c r="A345" s="3">
        <v>167.0</v>
      </c>
      <c r="B345" s="3" t="b">
        <v>0</v>
      </c>
      <c r="C345" s="3" t="s">
        <v>62</v>
      </c>
      <c r="G345" s="3" t="s">
        <v>1017</v>
      </c>
      <c r="K345" s="3" t="b">
        <v>0</v>
      </c>
      <c r="L345" s="3" t="s">
        <v>1018</v>
      </c>
      <c r="N345" s="3" t="s">
        <v>1019</v>
      </c>
      <c r="S345" s="4" t="str">
        <f t="shared" si="1"/>
        <v>2015</v>
      </c>
    </row>
    <row r="346">
      <c r="A346" s="3">
        <v>164.0</v>
      </c>
      <c r="B346" s="3" t="b">
        <v>0</v>
      </c>
      <c r="C346" s="3" t="s">
        <v>35</v>
      </c>
      <c r="G346" s="3" t="s">
        <v>1020</v>
      </c>
      <c r="K346" s="3" t="b">
        <v>0</v>
      </c>
      <c r="L346" s="3" t="s">
        <v>164</v>
      </c>
      <c r="N346" s="3" t="s">
        <v>1021</v>
      </c>
      <c r="S346" s="4" t="str">
        <f t="shared" si="1"/>
        <v>2015</v>
      </c>
    </row>
    <row r="347">
      <c r="A347" s="3">
        <v>158.0</v>
      </c>
      <c r="B347" s="3" t="b">
        <v>0</v>
      </c>
      <c r="C347" s="3" t="s">
        <v>50</v>
      </c>
      <c r="E347" s="3">
        <v>5.0</v>
      </c>
      <c r="F347" s="3">
        <v>10.0</v>
      </c>
      <c r="G347" s="3" t="s">
        <v>1022</v>
      </c>
      <c r="J347" s="3">
        <v>2.0</v>
      </c>
      <c r="K347" s="3" t="b">
        <v>1</v>
      </c>
      <c r="L347" s="3" t="s">
        <v>1023</v>
      </c>
      <c r="M347" s="3">
        <v>57.0</v>
      </c>
      <c r="N347" s="3" t="s">
        <v>1024</v>
      </c>
      <c r="S347" s="4" t="str">
        <f t="shared" si="1"/>
        <v>2015</v>
      </c>
    </row>
    <row r="348">
      <c r="A348" s="3">
        <v>158.0</v>
      </c>
      <c r="B348" s="3" t="b">
        <v>0</v>
      </c>
      <c r="C348" s="3" t="s">
        <v>367</v>
      </c>
      <c r="D348" s="3">
        <v>11.0</v>
      </c>
      <c r="E348" s="3">
        <v>9.0</v>
      </c>
      <c r="F348" s="3">
        <v>25.0</v>
      </c>
      <c r="G348" s="3" t="s">
        <v>1025</v>
      </c>
      <c r="I348" s="3">
        <v>4.0</v>
      </c>
      <c r="J348" s="3">
        <v>3.0</v>
      </c>
      <c r="K348" s="3" t="b">
        <v>1</v>
      </c>
      <c r="L348" s="3" t="s">
        <v>1026</v>
      </c>
      <c r="M348" s="3">
        <v>250.0</v>
      </c>
      <c r="N348" s="3" t="s">
        <v>1027</v>
      </c>
      <c r="S348" s="4" t="str">
        <f t="shared" si="1"/>
        <v>2015</v>
      </c>
    </row>
    <row r="349">
      <c r="A349" s="3">
        <v>150.0</v>
      </c>
      <c r="B349" s="3" t="b">
        <v>0</v>
      </c>
      <c r="C349" s="3" t="s">
        <v>278</v>
      </c>
      <c r="D349" s="3">
        <v>13.0</v>
      </c>
      <c r="E349" s="3">
        <v>3.0</v>
      </c>
      <c r="F349" s="3">
        <v>15.0</v>
      </c>
      <c r="G349" s="3" t="s">
        <v>1028</v>
      </c>
      <c r="I349" s="3">
        <v>0.0</v>
      </c>
      <c r="K349" s="3" t="b">
        <v>1</v>
      </c>
      <c r="L349" s="3" t="s">
        <v>941</v>
      </c>
      <c r="M349" s="3">
        <v>275.0</v>
      </c>
      <c r="N349" s="3" t="s">
        <v>1029</v>
      </c>
      <c r="S349" s="4" t="str">
        <f t="shared" si="1"/>
        <v>2015</v>
      </c>
    </row>
    <row r="350">
      <c r="A350" s="3">
        <v>150.0</v>
      </c>
      <c r="B350" s="3" t="b">
        <v>0</v>
      </c>
      <c r="C350" s="3" t="s">
        <v>27</v>
      </c>
      <c r="G350" s="3" t="s">
        <v>1030</v>
      </c>
      <c r="K350" s="3" t="b">
        <v>0</v>
      </c>
      <c r="L350" s="3" t="s">
        <v>1031</v>
      </c>
      <c r="N350" s="3" t="s">
        <v>1032</v>
      </c>
      <c r="S350" s="4" t="str">
        <f t="shared" si="1"/>
        <v>2015</v>
      </c>
    </row>
    <row r="351">
      <c r="A351" s="3">
        <v>146.0</v>
      </c>
      <c r="B351" s="3" t="b">
        <v>0</v>
      </c>
      <c r="C351" s="3" t="s">
        <v>50</v>
      </c>
      <c r="G351" s="3" t="s">
        <v>1033</v>
      </c>
      <c r="K351" s="3" t="b">
        <v>1</v>
      </c>
      <c r="L351" s="3" t="s">
        <v>1034</v>
      </c>
      <c r="M351" s="7">
        <v>45.0</v>
      </c>
      <c r="N351" s="3" t="s">
        <v>1035</v>
      </c>
      <c r="S351" s="4" t="str">
        <f t="shared" si="1"/>
        <v>2015</v>
      </c>
    </row>
    <row r="352">
      <c r="A352" s="3">
        <v>137.0</v>
      </c>
      <c r="B352" s="3" t="b">
        <v>0</v>
      </c>
      <c r="C352" s="3" t="s">
        <v>138</v>
      </c>
      <c r="G352" s="3" t="s">
        <v>1036</v>
      </c>
      <c r="K352" s="3" t="b">
        <v>0</v>
      </c>
      <c r="L352" s="3" t="s">
        <v>1037</v>
      </c>
      <c r="N352" s="3" t="s">
        <v>1038</v>
      </c>
      <c r="S352" s="4" t="str">
        <f t="shared" si="1"/>
        <v>2015</v>
      </c>
    </row>
    <row r="353">
      <c r="A353" s="3">
        <v>135.0</v>
      </c>
      <c r="B353" s="3" t="b">
        <v>0</v>
      </c>
      <c r="C353" s="3" t="s">
        <v>156</v>
      </c>
      <c r="G353" s="3" t="s">
        <v>1039</v>
      </c>
      <c r="K353" s="3" t="b">
        <v>0</v>
      </c>
      <c r="L353" s="3" t="s">
        <v>658</v>
      </c>
      <c r="N353" s="3" t="s">
        <v>1040</v>
      </c>
      <c r="S353" s="4" t="str">
        <f t="shared" si="1"/>
        <v>2015</v>
      </c>
    </row>
    <row r="354">
      <c r="A354" s="3">
        <v>128.0</v>
      </c>
      <c r="B354" s="3" t="b">
        <v>0</v>
      </c>
      <c r="C354" s="3" t="s">
        <v>630</v>
      </c>
      <c r="G354" s="3" t="s">
        <v>1041</v>
      </c>
      <c r="K354" s="3" t="b">
        <v>1</v>
      </c>
      <c r="L354" s="3" t="s">
        <v>1042</v>
      </c>
      <c r="N354" s="3" t="s">
        <v>1043</v>
      </c>
      <c r="S354" s="4" t="str">
        <f t="shared" si="1"/>
        <v>2015</v>
      </c>
    </row>
    <row r="355">
      <c r="A355" s="3">
        <v>122.0</v>
      </c>
      <c r="B355" s="3" t="b">
        <v>0</v>
      </c>
      <c r="C355" s="3" t="s">
        <v>179</v>
      </c>
      <c r="G355" s="3" t="s">
        <v>1044</v>
      </c>
      <c r="K355" s="3" t="b">
        <v>0</v>
      </c>
      <c r="L355" s="3" t="s">
        <v>1045</v>
      </c>
      <c r="N355" s="3" t="s">
        <v>1046</v>
      </c>
      <c r="S355" s="4" t="str">
        <f t="shared" si="1"/>
        <v>2015</v>
      </c>
    </row>
    <row r="356">
      <c r="A356" s="3">
        <v>116.0</v>
      </c>
      <c r="B356" s="3" t="b">
        <v>0</v>
      </c>
      <c r="C356" s="3" t="s">
        <v>145</v>
      </c>
      <c r="G356" s="3" t="s">
        <v>1047</v>
      </c>
      <c r="K356" s="3" t="b">
        <v>0</v>
      </c>
      <c r="L356" s="3" t="s">
        <v>1048</v>
      </c>
      <c r="N356" s="3" t="s">
        <v>1049</v>
      </c>
      <c r="S356" s="4" t="str">
        <f t="shared" si="1"/>
        <v>2015</v>
      </c>
    </row>
    <row r="357">
      <c r="A357" s="3">
        <v>114.0</v>
      </c>
      <c r="B357" s="3" t="b">
        <v>0</v>
      </c>
      <c r="C357" s="3" t="s">
        <v>411</v>
      </c>
      <c r="F357" s="7">
        <v>5.0</v>
      </c>
      <c r="G357" s="3" t="s">
        <v>1050</v>
      </c>
      <c r="K357" s="3" t="b">
        <v>1</v>
      </c>
      <c r="L357" s="3" t="s">
        <v>1051</v>
      </c>
      <c r="M357" s="7">
        <v>20.0</v>
      </c>
      <c r="N357" s="3" t="s">
        <v>1052</v>
      </c>
      <c r="S357" s="4" t="str">
        <f t="shared" si="1"/>
        <v>2015</v>
      </c>
    </row>
    <row r="358">
      <c r="A358" s="3">
        <v>112.0</v>
      </c>
      <c r="B358" s="3" t="b">
        <v>0</v>
      </c>
      <c r="C358" s="3" t="s">
        <v>19</v>
      </c>
      <c r="G358" s="3" t="s">
        <v>1053</v>
      </c>
      <c r="K358" s="3" t="b">
        <v>0</v>
      </c>
      <c r="L358" s="3" t="s">
        <v>1054</v>
      </c>
      <c r="N358" s="3" t="s">
        <v>1055</v>
      </c>
      <c r="S358" s="4" t="str">
        <f t="shared" si="1"/>
        <v>2015</v>
      </c>
    </row>
    <row r="359">
      <c r="A359" s="3">
        <v>111.0</v>
      </c>
      <c r="B359" s="3" t="b">
        <v>0</v>
      </c>
      <c r="C359" s="3" t="s">
        <v>320</v>
      </c>
      <c r="G359" s="3" t="s">
        <v>1056</v>
      </c>
      <c r="K359" s="3" t="b">
        <v>0</v>
      </c>
      <c r="L359" s="3" t="s">
        <v>1057</v>
      </c>
      <c r="N359" s="3" t="s">
        <v>1058</v>
      </c>
      <c r="S359" s="4" t="str">
        <f t="shared" si="1"/>
        <v>2015</v>
      </c>
    </row>
    <row r="360">
      <c r="A360" s="3">
        <v>110.0</v>
      </c>
      <c r="B360" s="3" t="b">
        <v>0</v>
      </c>
      <c r="C360" s="3" t="s">
        <v>247</v>
      </c>
      <c r="D360" s="7">
        <v>1.0</v>
      </c>
      <c r="E360" s="7">
        <v>2.0</v>
      </c>
      <c r="F360" s="7">
        <v>11.0</v>
      </c>
      <c r="G360" s="3" t="s">
        <v>1059</v>
      </c>
      <c r="I360" s="7">
        <v>2.0</v>
      </c>
      <c r="K360" s="3" t="b">
        <v>1</v>
      </c>
      <c r="L360" s="3" t="s">
        <v>1060</v>
      </c>
      <c r="N360" s="3" t="s">
        <v>1061</v>
      </c>
      <c r="S360" s="4" t="str">
        <f t="shared" si="1"/>
        <v>2015</v>
      </c>
    </row>
    <row r="361">
      <c r="A361" s="3">
        <v>110.0</v>
      </c>
      <c r="B361" s="3" t="b">
        <v>0</v>
      </c>
      <c r="C361" s="3" t="s">
        <v>54</v>
      </c>
      <c r="G361" s="3" t="s">
        <v>1062</v>
      </c>
      <c r="K361" s="3" t="b">
        <v>1</v>
      </c>
      <c r="L361" s="3" t="s">
        <v>1063</v>
      </c>
      <c r="N361" s="3" t="s">
        <v>1064</v>
      </c>
      <c r="P361" s="7">
        <v>1.0</v>
      </c>
      <c r="S361" s="4" t="str">
        <f t="shared" si="1"/>
        <v>2015</v>
      </c>
    </row>
    <row r="362">
      <c r="A362" s="3">
        <v>110.0</v>
      </c>
      <c r="B362" s="3" t="b">
        <v>0</v>
      </c>
      <c r="C362" s="3" t="s">
        <v>31</v>
      </c>
      <c r="G362" s="3" t="s">
        <v>1065</v>
      </c>
      <c r="K362" s="3" t="b">
        <v>1</v>
      </c>
      <c r="L362" s="3" t="s">
        <v>1066</v>
      </c>
      <c r="N362" s="3" t="s">
        <v>1067</v>
      </c>
      <c r="S362" s="4" t="str">
        <f t="shared" si="1"/>
        <v>2015</v>
      </c>
    </row>
    <row r="363">
      <c r="A363" s="3">
        <v>109.0</v>
      </c>
      <c r="B363" s="3" t="b">
        <v>0</v>
      </c>
      <c r="C363" s="3" t="s">
        <v>58</v>
      </c>
      <c r="D363" s="3">
        <v>2.0</v>
      </c>
      <c r="F363" s="3">
        <v>2.0</v>
      </c>
      <c r="G363" s="3" t="s">
        <v>1068</v>
      </c>
      <c r="K363" s="3" t="b">
        <v>1</v>
      </c>
      <c r="L363" s="3" t="s">
        <v>891</v>
      </c>
      <c r="M363" s="3">
        <v>45.0</v>
      </c>
      <c r="N363" s="3" t="s">
        <v>1069</v>
      </c>
      <c r="S363" s="4" t="str">
        <f t="shared" si="1"/>
        <v>2015</v>
      </c>
    </row>
    <row r="364">
      <c r="A364" s="3">
        <v>108.0</v>
      </c>
      <c r="B364" s="3" t="b">
        <v>0</v>
      </c>
      <c r="C364" s="3" t="s">
        <v>19</v>
      </c>
      <c r="D364" s="3">
        <v>3.0</v>
      </c>
      <c r="F364" s="3">
        <v>3.0</v>
      </c>
      <c r="G364" s="3" t="s">
        <v>1070</v>
      </c>
      <c r="J364" s="7">
        <v>1.0</v>
      </c>
      <c r="K364" s="3" t="b">
        <v>1</v>
      </c>
      <c r="L364" s="3" t="s">
        <v>730</v>
      </c>
      <c r="M364" s="3">
        <v>59.0</v>
      </c>
      <c r="N364" s="3" t="s">
        <v>1071</v>
      </c>
      <c r="P364" s="7">
        <v>3.0</v>
      </c>
      <c r="S364" s="4" t="str">
        <f t="shared" si="1"/>
        <v>2015</v>
      </c>
    </row>
    <row r="365">
      <c r="A365" s="3">
        <v>104.0</v>
      </c>
      <c r="B365" s="3" t="b">
        <v>0</v>
      </c>
      <c r="C365" s="3" t="s">
        <v>87</v>
      </c>
      <c r="G365" s="3" t="s">
        <v>1072</v>
      </c>
      <c r="K365" s="3" t="b">
        <v>0</v>
      </c>
      <c r="L365" s="3" t="s">
        <v>1073</v>
      </c>
      <c r="N365" s="3" t="s">
        <v>1074</v>
      </c>
      <c r="S365" s="4" t="str">
        <f t="shared" si="1"/>
        <v>2015</v>
      </c>
    </row>
    <row r="366">
      <c r="A366" s="3">
        <v>100.0</v>
      </c>
      <c r="B366" s="3" t="b">
        <v>0</v>
      </c>
      <c r="C366" s="3" t="s">
        <v>134</v>
      </c>
      <c r="G366" s="3" t="s">
        <v>908</v>
      </c>
      <c r="K366" s="3" t="b">
        <v>0</v>
      </c>
      <c r="L366" s="3" t="s">
        <v>1075</v>
      </c>
      <c r="N366" s="3" t="s">
        <v>1076</v>
      </c>
      <c r="S366" s="4" t="str">
        <f t="shared" si="1"/>
        <v>2015</v>
      </c>
    </row>
    <row r="367">
      <c r="A367" s="3">
        <v>95.0</v>
      </c>
      <c r="B367" s="3" t="b">
        <v>0</v>
      </c>
      <c r="C367" s="3" t="s">
        <v>114</v>
      </c>
      <c r="G367" s="3" t="s">
        <v>1077</v>
      </c>
      <c r="K367" s="3" t="b">
        <v>0</v>
      </c>
      <c r="L367" s="3" t="s">
        <v>1078</v>
      </c>
      <c r="N367" s="3" t="s">
        <v>1079</v>
      </c>
      <c r="S367" s="4" t="str">
        <f t="shared" si="1"/>
        <v>2015</v>
      </c>
    </row>
    <row r="368">
      <c r="A368" s="3">
        <v>95.0</v>
      </c>
      <c r="B368" s="3" t="b">
        <v>0</v>
      </c>
      <c r="C368" s="3" t="s">
        <v>149</v>
      </c>
      <c r="D368" s="7">
        <v>14.0</v>
      </c>
      <c r="E368" s="7">
        <v>1.0</v>
      </c>
      <c r="F368" s="7">
        <v>15.0</v>
      </c>
      <c r="G368" s="3" t="s">
        <v>1080</v>
      </c>
      <c r="I368" s="7">
        <v>2.0</v>
      </c>
      <c r="K368" s="3" t="b">
        <v>1</v>
      </c>
      <c r="L368" s="3" t="s">
        <v>56</v>
      </c>
      <c r="M368" s="7">
        <v>379.0</v>
      </c>
      <c r="N368" s="3" t="s">
        <v>1081</v>
      </c>
      <c r="S368" s="4" t="str">
        <f t="shared" si="1"/>
        <v>2015</v>
      </c>
    </row>
    <row r="369">
      <c r="A369" s="3">
        <v>90.0</v>
      </c>
      <c r="B369" s="3" t="b">
        <v>0</v>
      </c>
      <c r="C369" s="3" t="s">
        <v>58</v>
      </c>
      <c r="G369" s="3" t="s">
        <v>1082</v>
      </c>
      <c r="K369" s="3" t="b">
        <v>0</v>
      </c>
      <c r="L369" s="3" t="s">
        <v>1083</v>
      </c>
      <c r="N369" s="3" t="s">
        <v>1084</v>
      </c>
      <c r="S369" s="4" t="str">
        <f t="shared" si="1"/>
        <v>2015</v>
      </c>
    </row>
    <row r="370">
      <c r="A370" s="3">
        <v>86.0</v>
      </c>
      <c r="B370" s="3" t="b">
        <v>0</v>
      </c>
      <c r="C370" s="3" t="s">
        <v>94</v>
      </c>
      <c r="D370" s="7">
        <v>6.0</v>
      </c>
      <c r="F370" s="7">
        <v>10.0</v>
      </c>
      <c r="G370" s="3" t="s">
        <v>1085</v>
      </c>
      <c r="J370" s="7">
        <v>4.0</v>
      </c>
      <c r="K370" s="3" t="b">
        <v>1</v>
      </c>
      <c r="L370" s="3" t="s">
        <v>1086</v>
      </c>
      <c r="M370" s="7">
        <v>150.0</v>
      </c>
      <c r="N370" s="3" t="s">
        <v>1087</v>
      </c>
      <c r="S370" s="4" t="str">
        <f t="shared" si="1"/>
        <v>2015</v>
      </c>
    </row>
    <row r="371">
      <c r="A371" s="3">
        <v>80.0</v>
      </c>
      <c r="B371" s="3" t="b">
        <v>0</v>
      </c>
      <c r="C371" s="3" t="s">
        <v>62</v>
      </c>
      <c r="G371" s="3" t="s">
        <v>1088</v>
      </c>
      <c r="K371" s="3" t="b">
        <v>0</v>
      </c>
      <c r="L371" s="3" t="s">
        <v>1089</v>
      </c>
      <c r="N371" s="3" t="s">
        <v>1090</v>
      </c>
      <c r="S371" s="4" t="str">
        <f t="shared" si="1"/>
        <v>2015</v>
      </c>
    </row>
    <row r="372">
      <c r="A372" s="3">
        <v>80.0</v>
      </c>
      <c r="B372" s="3" t="b">
        <v>0</v>
      </c>
      <c r="C372" s="3" t="s">
        <v>27</v>
      </c>
      <c r="G372" s="3" t="s">
        <v>1091</v>
      </c>
      <c r="K372" s="3" t="b">
        <v>0</v>
      </c>
      <c r="L372" s="3" t="s">
        <v>1092</v>
      </c>
      <c r="N372" s="3" t="s">
        <v>1093</v>
      </c>
      <c r="S372" s="4" t="str">
        <f t="shared" si="1"/>
        <v>2015</v>
      </c>
    </row>
    <row r="373">
      <c r="A373" s="3">
        <v>77.0</v>
      </c>
      <c r="B373" s="3" t="b">
        <v>0</v>
      </c>
      <c r="C373" s="3" t="s">
        <v>145</v>
      </c>
      <c r="G373" s="3" t="s">
        <v>1094</v>
      </c>
      <c r="K373" s="3" t="b">
        <v>0</v>
      </c>
      <c r="L373" s="3" t="s">
        <v>1095</v>
      </c>
      <c r="N373" s="3" t="s">
        <v>1096</v>
      </c>
      <c r="S373" s="4" t="str">
        <f t="shared" si="1"/>
        <v>2015</v>
      </c>
    </row>
    <row r="374">
      <c r="A374" s="3">
        <v>75.0</v>
      </c>
      <c r="B374" s="3" t="b">
        <v>0</v>
      </c>
      <c r="C374" s="3" t="s">
        <v>58</v>
      </c>
      <c r="G374" s="3" t="s">
        <v>992</v>
      </c>
      <c r="K374" s="3" t="b">
        <v>1</v>
      </c>
      <c r="L374" s="3" t="s">
        <v>1097</v>
      </c>
      <c r="N374" s="3" t="s">
        <v>1098</v>
      </c>
      <c r="S374" s="4" t="str">
        <f t="shared" si="1"/>
        <v>2015</v>
      </c>
    </row>
    <row r="375">
      <c r="A375" s="3">
        <v>75.0</v>
      </c>
      <c r="B375" s="3" t="b">
        <v>0</v>
      </c>
      <c r="C375" s="3" t="s">
        <v>58</v>
      </c>
      <c r="D375" s="7">
        <v>1.0</v>
      </c>
      <c r="F375" s="7">
        <v>4.0</v>
      </c>
      <c r="G375" s="3" t="s">
        <v>1099</v>
      </c>
      <c r="J375" s="7">
        <v>2.0</v>
      </c>
      <c r="K375" s="3" t="b">
        <v>1</v>
      </c>
      <c r="L375" s="3" t="s">
        <v>1100</v>
      </c>
      <c r="M375" s="7">
        <v>40.0</v>
      </c>
      <c r="N375" s="3" t="s">
        <v>994</v>
      </c>
      <c r="P375" s="7">
        <v>1.0</v>
      </c>
      <c r="S375" s="4" t="str">
        <f t="shared" si="1"/>
        <v>2015</v>
      </c>
    </row>
    <row r="376">
      <c r="A376" s="3">
        <v>75.0</v>
      </c>
      <c r="B376" s="3" t="b">
        <v>0</v>
      </c>
      <c r="C376" s="3" t="s">
        <v>130</v>
      </c>
      <c r="G376" s="3" t="s">
        <v>1101</v>
      </c>
      <c r="K376" s="3" t="b">
        <v>0</v>
      </c>
      <c r="L376" s="3" t="s">
        <v>132</v>
      </c>
      <c r="N376" s="3" t="s">
        <v>1102</v>
      </c>
      <c r="S376" s="4" t="str">
        <f t="shared" si="1"/>
        <v>2015</v>
      </c>
    </row>
    <row r="377">
      <c r="A377" s="3">
        <v>75.0</v>
      </c>
      <c r="B377" s="3" t="b">
        <v>0</v>
      </c>
      <c r="C377" s="3" t="s">
        <v>87</v>
      </c>
      <c r="G377" s="3" t="s">
        <v>1103</v>
      </c>
      <c r="K377" s="3" t="b">
        <v>0</v>
      </c>
      <c r="L377" s="3" t="s">
        <v>1104</v>
      </c>
      <c r="N377" s="3" t="s">
        <v>1105</v>
      </c>
      <c r="S377" s="4" t="str">
        <f t="shared" si="1"/>
        <v>2015</v>
      </c>
    </row>
    <row r="378">
      <c r="A378" s="3">
        <v>72.0</v>
      </c>
      <c r="B378" s="3" t="b">
        <v>0</v>
      </c>
      <c r="C378" s="3" t="s">
        <v>87</v>
      </c>
      <c r="D378" s="7">
        <v>5.0</v>
      </c>
      <c r="E378" s="7">
        <v>3.0</v>
      </c>
      <c r="F378" s="7">
        <v>14.0</v>
      </c>
      <c r="G378" s="3" t="s">
        <v>1106</v>
      </c>
      <c r="I378" s="7">
        <v>3.0</v>
      </c>
      <c r="K378" s="3" t="b">
        <v>1</v>
      </c>
      <c r="L378" s="3" t="s">
        <v>238</v>
      </c>
      <c r="M378" s="7">
        <v>190.0</v>
      </c>
      <c r="N378" s="3" t="s">
        <v>1107</v>
      </c>
      <c r="P378" s="7">
        <v>1.0</v>
      </c>
      <c r="S378" s="4" t="str">
        <f t="shared" si="1"/>
        <v>2015</v>
      </c>
    </row>
    <row r="379">
      <c r="A379" s="3">
        <v>69.0</v>
      </c>
      <c r="B379" s="3" t="b">
        <v>0</v>
      </c>
      <c r="C379" s="3" t="s">
        <v>46</v>
      </c>
      <c r="G379" s="3" t="s">
        <v>1108</v>
      </c>
      <c r="K379" s="3" t="b">
        <v>0</v>
      </c>
      <c r="L379" s="3" t="s">
        <v>1109</v>
      </c>
      <c r="N379" s="3" t="s">
        <v>1110</v>
      </c>
      <c r="S379" s="4" t="str">
        <f t="shared" si="1"/>
        <v>2015</v>
      </c>
    </row>
    <row r="380">
      <c r="A380" s="3">
        <v>67.0</v>
      </c>
      <c r="B380" s="3" t="b">
        <v>0</v>
      </c>
      <c r="C380" s="3" t="s">
        <v>69</v>
      </c>
      <c r="G380" s="3" t="s">
        <v>1111</v>
      </c>
      <c r="K380" s="3" t="b">
        <v>0</v>
      </c>
      <c r="L380" s="3" t="s">
        <v>1112</v>
      </c>
      <c r="N380" s="3" t="s">
        <v>1113</v>
      </c>
      <c r="S380" s="4" t="str">
        <f t="shared" si="1"/>
        <v>2015</v>
      </c>
    </row>
    <row r="381">
      <c r="A381" s="3">
        <v>65.0</v>
      </c>
      <c r="B381" s="3" t="b">
        <v>0</v>
      </c>
      <c r="C381" s="3" t="s">
        <v>134</v>
      </c>
      <c r="G381" s="3" t="s">
        <v>1114</v>
      </c>
      <c r="K381" s="3" t="b">
        <v>0</v>
      </c>
      <c r="L381" s="3" t="s">
        <v>1115</v>
      </c>
      <c r="N381" s="3" t="s">
        <v>1116</v>
      </c>
      <c r="S381" s="4" t="str">
        <f t="shared" si="1"/>
        <v>2015</v>
      </c>
    </row>
    <row r="382">
      <c r="A382" s="3">
        <v>60.0</v>
      </c>
      <c r="B382" s="3" t="b">
        <v>0</v>
      </c>
      <c r="C382" s="3" t="s">
        <v>39</v>
      </c>
      <c r="G382" s="3" t="s">
        <v>1117</v>
      </c>
      <c r="K382" s="3" t="b">
        <v>0</v>
      </c>
      <c r="L382" s="3" t="s">
        <v>1118</v>
      </c>
      <c r="N382" s="3" t="s">
        <v>1119</v>
      </c>
      <c r="S382" s="4" t="str">
        <f t="shared" si="1"/>
        <v>2015</v>
      </c>
    </row>
    <row r="383">
      <c r="A383" s="3">
        <v>60.0</v>
      </c>
      <c r="B383" s="3" t="b">
        <v>0</v>
      </c>
      <c r="C383" s="3" t="s">
        <v>320</v>
      </c>
      <c r="G383" s="3" t="s">
        <v>1120</v>
      </c>
      <c r="K383" s="3" t="b">
        <v>0</v>
      </c>
      <c r="L383" s="3" t="s">
        <v>1121</v>
      </c>
      <c r="N383" s="3" t="s">
        <v>1122</v>
      </c>
      <c r="S383" s="4" t="str">
        <f t="shared" si="1"/>
        <v>2015</v>
      </c>
    </row>
    <row r="384">
      <c r="A384" s="3">
        <v>60.0</v>
      </c>
      <c r="B384" s="3" t="b">
        <v>0</v>
      </c>
      <c r="C384" s="3" t="s">
        <v>27</v>
      </c>
      <c r="G384" s="3" t="s">
        <v>1123</v>
      </c>
      <c r="K384" s="3" t="b">
        <v>0</v>
      </c>
      <c r="L384" s="3" t="s">
        <v>1124</v>
      </c>
      <c r="N384" s="3" t="s">
        <v>1125</v>
      </c>
      <c r="S384" s="4" t="str">
        <f t="shared" si="1"/>
        <v>2015</v>
      </c>
    </row>
    <row r="385">
      <c r="A385" s="3">
        <v>60.0</v>
      </c>
      <c r="B385" s="3" t="b">
        <v>0</v>
      </c>
      <c r="C385" s="3" t="s">
        <v>101</v>
      </c>
      <c r="G385" s="3" t="s">
        <v>1126</v>
      </c>
      <c r="K385" s="3" t="b">
        <v>1</v>
      </c>
      <c r="L385" s="3" t="s">
        <v>1127</v>
      </c>
      <c r="N385" s="3" t="s">
        <v>1128</v>
      </c>
      <c r="S385" s="4" t="str">
        <f t="shared" si="1"/>
        <v>2015</v>
      </c>
    </row>
    <row r="386">
      <c r="A386" s="3">
        <v>60.0</v>
      </c>
      <c r="B386" s="3" t="b">
        <v>0</v>
      </c>
      <c r="C386" s="3" t="s">
        <v>324</v>
      </c>
      <c r="G386" s="3" t="s">
        <v>1129</v>
      </c>
      <c r="K386" s="3" t="b">
        <v>0</v>
      </c>
      <c r="L386" s="3" t="s">
        <v>888</v>
      </c>
      <c r="N386" s="3" t="s">
        <v>1130</v>
      </c>
      <c r="S386" s="4" t="str">
        <f t="shared" si="1"/>
        <v>2015</v>
      </c>
    </row>
    <row r="387">
      <c r="A387" s="3">
        <v>59.0</v>
      </c>
      <c r="B387" s="3" t="b">
        <v>0</v>
      </c>
      <c r="C387" s="3" t="s">
        <v>58</v>
      </c>
      <c r="F387" s="7">
        <v>2.0</v>
      </c>
      <c r="G387" s="3" t="s">
        <v>995</v>
      </c>
      <c r="K387" s="3" t="b">
        <v>1</v>
      </c>
      <c r="L387" s="3" t="s">
        <v>1131</v>
      </c>
      <c r="N387" s="3" t="s">
        <v>1132</v>
      </c>
      <c r="S387" s="4" t="str">
        <f t="shared" si="1"/>
        <v>2015</v>
      </c>
    </row>
    <row r="388">
      <c r="A388" s="3">
        <v>58.0</v>
      </c>
      <c r="B388" s="3" t="b">
        <v>0</v>
      </c>
      <c r="C388" s="3" t="s">
        <v>46</v>
      </c>
      <c r="G388" s="3" t="s">
        <v>1133</v>
      </c>
      <c r="K388" s="3" t="b">
        <v>0</v>
      </c>
      <c r="L388" s="3" t="s">
        <v>1134</v>
      </c>
      <c r="N388" s="3" t="s">
        <v>1135</v>
      </c>
      <c r="S388" s="4" t="str">
        <f t="shared" si="1"/>
        <v>2015</v>
      </c>
    </row>
    <row r="389">
      <c r="A389" s="3">
        <v>55.0</v>
      </c>
      <c r="B389" s="3" t="b">
        <v>0</v>
      </c>
      <c r="C389" s="3" t="s">
        <v>134</v>
      </c>
      <c r="G389" s="3" t="s">
        <v>1136</v>
      </c>
      <c r="K389" s="3" t="b">
        <v>0</v>
      </c>
      <c r="L389" s="3" t="s">
        <v>78</v>
      </c>
      <c r="N389" s="3" t="s">
        <v>1137</v>
      </c>
      <c r="S389" s="4" t="str">
        <f t="shared" si="1"/>
        <v>2015</v>
      </c>
    </row>
    <row r="390">
      <c r="A390" s="3">
        <v>55.0</v>
      </c>
      <c r="B390" s="3" t="b">
        <v>0</v>
      </c>
      <c r="C390" s="3" t="s">
        <v>62</v>
      </c>
      <c r="G390" s="3" t="s">
        <v>1138</v>
      </c>
      <c r="K390" s="3" t="b">
        <v>0</v>
      </c>
      <c r="L390" s="3" t="s">
        <v>1139</v>
      </c>
      <c r="N390" s="3" t="s">
        <v>1140</v>
      </c>
      <c r="S390" s="4" t="str">
        <f t="shared" si="1"/>
        <v>2015</v>
      </c>
    </row>
    <row r="391">
      <c r="A391" s="3">
        <v>55.0</v>
      </c>
      <c r="B391" s="3" t="b">
        <v>0</v>
      </c>
      <c r="C391" s="3" t="s">
        <v>54</v>
      </c>
      <c r="G391" s="3" t="s">
        <v>1141</v>
      </c>
      <c r="K391" s="3" t="b">
        <v>0</v>
      </c>
      <c r="L391" s="3" t="s">
        <v>1142</v>
      </c>
      <c r="N391" s="3" t="s">
        <v>1143</v>
      </c>
      <c r="S391" s="4" t="str">
        <f t="shared" si="1"/>
        <v>2015</v>
      </c>
    </row>
    <row r="392">
      <c r="A392" s="3">
        <v>54.0</v>
      </c>
      <c r="B392" s="3" t="b">
        <v>0</v>
      </c>
      <c r="C392" s="3" t="s">
        <v>134</v>
      </c>
      <c r="G392" s="3" t="s">
        <v>1144</v>
      </c>
      <c r="K392" s="3" t="b">
        <v>1</v>
      </c>
      <c r="L392" s="3" t="s">
        <v>1145</v>
      </c>
      <c r="N392" s="3" t="s">
        <v>1146</v>
      </c>
      <c r="S392" s="4" t="str">
        <f t="shared" si="1"/>
        <v>2015</v>
      </c>
    </row>
    <row r="393">
      <c r="A393" s="3">
        <v>53.0</v>
      </c>
      <c r="B393" s="3" t="b">
        <v>0</v>
      </c>
      <c r="C393" s="3" t="s">
        <v>205</v>
      </c>
      <c r="G393" s="3" t="s">
        <v>922</v>
      </c>
      <c r="K393" s="3" t="b">
        <v>0</v>
      </c>
      <c r="L393" s="3" t="s">
        <v>894</v>
      </c>
      <c r="N393" s="3" t="s">
        <v>1147</v>
      </c>
      <c r="S393" s="4" t="str">
        <f t="shared" si="1"/>
        <v>2015</v>
      </c>
    </row>
    <row r="394">
      <c r="A394" s="3">
        <v>52.0</v>
      </c>
      <c r="B394" s="3" t="b">
        <v>0</v>
      </c>
      <c r="C394" s="3" t="s">
        <v>97</v>
      </c>
      <c r="G394" s="3" t="s">
        <v>1148</v>
      </c>
      <c r="K394" s="3" t="b">
        <v>0</v>
      </c>
      <c r="L394" s="3" t="s">
        <v>99</v>
      </c>
      <c r="N394" s="3" t="s">
        <v>1149</v>
      </c>
      <c r="S394" s="4" t="str">
        <f t="shared" si="1"/>
        <v>2015</v>
      </c>
    </row>
    <row r="395">
      <c r="A395" s="3">
        <v>50.0</v>
      </c>
      <c r="B395" s="3" t="b">
        <v>0</v>
      </c>
      <c r="C395" s="3" t="s">
        <v>35</v>
      </c>
      <c r="G395" s="3" t="s">
        <v>1150</v>
      </c>
      <c r="K395" s="3" t="b">
        <v>0</v>
      </c>
      <c r="L395" s="3" t="s">
        <v>1151</v>
      </c>
      <c r="N395" s="3" t="s">
        <v>1152</v>
      </c>
      <c r="S395" s="4" t="str">
        <f t="shared" si="1"/>
        <v>2015</v>
      </c>
    </row>
    <row r="396">
      <c r="A396" s="3">
        <v>50.0</v>
      </c>
      <c r="B396" s="3" t="b">
        <v>0</v>
      </c>
      <c r="C396" s="3" t="s">
        <v>313</v>
      </c>
      <c r="G396" s="3" t="s">
        <v>1153</v>
      </c>
      <c r="K396" s="3" t="b">
        <v>0</v>
      </c>
      <c r="L396" s="3" t="s">
        <v>1154</v>
      </c>
      <c r="N396" s="3" t="s">
        <v>1155</v>
      </c>
      <c r="S396" s="4" t="str">
        <f t="shared" si="1"/>
        <v>2015</v>
      </c>
    </row>
    <row r="397">
      <c r="A397" s="3">
        <v>45.0</v>
      </c>
      <c r="B397" s="3" t="b">
        <v>0</v>
      </c>
      <c r="C397" s="3" t="s">
        <v>69</v>
      </c>
      <c r="G397" s="3" t="s">
        <v>1156</v>
      </c>
      <c r="K397" s="3" t="b">
        <v>0</v>
      </c>
      <c r="L397" s="3" t="s">
        <v>1157</v>
      </c>
      <c r="N397" s="3" t="s">
        <v>1158</v>
      </c>
      <c r="S397" s="4" t="str">
        <f t="shared" si="1"/>
        <v>2015</v>
      </c>
    </row>
    <row r="398">
      <c r="A398" s="3">
        <v>45.0</v>
      </c>
      <c r="B398" s="3" t="b">
        <v>0</v>
      </c>
      <c r="C398" s="3" t="s">
        <v>205</v>
      </c>
      <c r="G398" s="3" t="s">
        <v>1159</v>
      </c>
      <c r="K398" s="3" t="b">
        <v>0</v>
      </c>
      <c r="L398" s="3" t="s">
        <v>1160</v>
      </c>
      <c r="N398" s="3" t="s">
        <v>1161</v>
      </c>
      <c r="S398" s="4" t="str">
        <f t="shared" si="1"/>
        <v>2015</v>
      </c>
    </row>
    <row r="399">
      <c r="A399" s="3">
        <v>45.0</v>
      </c>
      <c r="B399" s="3" t="b">
        <v>0</v>
      </c>
      <c r="C399" s="3" t="s">
        <v>39</v>
      </c>
      <c r="G399" s="3" t="s">
        <v>1162</v>
      </c>
      <c r="K399" s="3" t="b">
        <v>0</v>
      </c>
      <c r="L399" s="3" t="s">
        <v>1163</v>
      </c>
      <c r="N399" s="3" t="s">
        <v>1164</v>
      </c>
      <c r="S399" s="4" t="str">
        <f t="shared" si="1"/>
        <v>2015</v>
      </c>
    </row>
    <row r="400">
      <c r="A400" s="3">
        <v>43.0</v>
      </c>
      <c r="B400" s="3" t="b">
        <v>0</v>
      </c>
      <c r="C400" s="3" t="s">
        <v>145</v>
      </c>
      <c r="G400" s="3" t="s">
        <v>1165</v>
      </c>
      <c r="K400" s="3" t="b">
        <v>0</v>
      </c>
      <c r="L400" s="3" t="s">
        <v>1166</v>
      </c>
      <c r="N400" s="3" t="s">
        <v>1167</v>
      </c>
      <c r="S400" s="4" t="str">
        <f t="shared" si="1"/>
        <v>2015</v>
      </c>
    </row>
    <row r="401">
      <c r="A401" s="3">
        <v>42.0</v>
      </c>
      <c r="B401" s="3" t="b">
        <v>0</v>
      </c>
      <c r="C401" s="3" t="s">
        <v>401</v>
      </c>
      <c r="G401" s="3" t="s">
        <v>1168</v>
      </c>
      <c r="K401" s="3" t="b">
        <v>0</v>
      </c>
      <c r="L401" s="3" t="s">
        <v>653</v>
      </c>
      <c r="N401" s="3" t="s">
        <v>1169</v>
      </c>
      <c r="S401" s="4" t="str">
        <f t="shared" si="1"/>
        <v>2015</v>
      </c>
    </row>
    <row r="402">
      <c r="A402" s="3">
        <v>40.0</v>
      </c>
      <c r="B402" s="3" t="b">
        <v>0</v>
      </c>
      <c r="C402" s="3" t="s">
        <v>320</v>
      </c>
      <c r="G402" s="3" t="s">
        <v>1170</v>
      </c>
      <c r="K402" s="3" t="b">
        <v>0</v>
      </c>
      <c r="L402" s="3" t="s">
        <v>1171</v>
      </c>
      <c r="N402" s="3" t="s">
        <v>1172</v>
      </c>
      <c r="S402" s="4" t="str">
        <f t="shared" si="1"/>
        <v>2015</v>
      </c>
    </row>
    <row r="403">
      <c r="A403" s="3">
        <v>40.0</v>
      </c>
      <c r="B403" s="3" t="b">
        <v>0</v>
      </c>
      <c r="C403" s="3" t="s">
        <v>260</v>
      </c>
      <c r="G403" s="3" t="s">
        <v>1173</v>
      </c>
      <c r="K403" s="3" t="b">
        <v>0</v>
      </c>
      <c r="L403" s="3" t="s">
        <v>1174</v>
      </c>
      <c r="N403" s="3" t="s">
        <v>1175</v>
      </c>
      <c r="S403" s="4" t="str">
        <f t="shared" si="1"/>
        <v>2015</v>
      </c>
    </row>
    <row r="404">
      <c r="A404" s="3">
        <v>40.0</v>
      </c>
      <c r="B404" s="3" t="b">
        <v>0</v>
      </c>
      <c r="C404" s="3" t="s">
        <v>278</v>
      </c>
      <c r="D404" s="3">
        <v>2.0</v>
      </c>
      <c r="E404" s="3">
        <v>2.0</v>
      </c>
      <c r="F404" s="3">
        <v>5.0</v>
      </c>
      <c r="G404" s="3" t="s">
        <v>1176</v>
      </c>
      <c r="I404" s="3">
        <v>1.0</v>
      </c>
      <c r="K404" s="3" t="b">
        <v>1</v>
      </c>
      <c r="L404" s="3" t="s">
        <v>1177</v>
      </c>
      <c r="M404" s="3">
        <v>70.0</v>
      </c>
      <c r="N404" s="3" t="s">
        <v>1178</v>
      </c>
      <c r="S404" s="4" t="str">
        <f t="shared" si="1"/>
        <v>2015</v>
      </c>
    </row>
    <row r="405">
      <c r="A405" s="3">
        <v>38.0</v>
      </c>
      <c r="B405" s="3" t="b">
        <v>0</v>
      </c>
      <c r="C405" s="3" t="s">
        <v>166</v>
      </c>
      <c r="D405" s="3">
        <v>4.0</v>
      </c>
      <c r="E405" s="3">
        <v>2.0</v>
      </c>
      <c r="F405" s="3">
        <v>8.0</v>
      </c>
      <c r="G405" s="3" t="s">
        <v>1179</v>
      </c>
      <c r="I405" s="3">
        <v>2.0</v>
      </c>
      <c r="K405" s="3" t="b">
        <v>1</v>
      </c>
      <c r="L405" s="3" t="s">
        <v>1180</v>
      </c>
      <c r="M405" s="3">
        <v>120.0</v>
      </c>
      <c r="N405" s="3" t="s">
        <v>1181</v>
      </c>
      <c r="S405" s="4" t="str">
        <f t="shared" si="1"/>
        <v>2015</v>
      </c>
    </row>
    <row r="406">
      <c r="A406" s="3">
        <v>36.0</v>
      </c>
      <c r="B406" s="3" t="b">
        <v>0</v>
      </c>
      <c r="C406" s="3" t="s">
        <v>166</v>
      </c>
      <c r="D406" s="3">
        <v>2.0</v>
      </c>
      <c r="E406" s="3">
        <v>2.0</v>
      </c>
      <c r="F406" s="3">
        <v>9.0</v>
      </c>
      <c r="G406" s="3" t="s">
        <v>1182</v>
      </c>
      <c r="I406" s="3">
        <v>2.0</v>
      </c>
      <c r="K406" s="3" t="b">
        <v>1</v>
      </c>
      <c r="L406" s="3" t="s">
        <v>1183</v>
      </c>
      <c r="M406" s="3">
        <v>103.0</v>
      </c>
      <c r="N406" s="3" t="s">
        <v>1184</v>
      </c>
      <c r="S406" s="4" t="str">
        <f t="shared" si="1"/>
        <v>2015</v>
      </c>
    </row>
    <row r="407">
      <c r="A407" s="3">
        <v>35.0</v>
      </c>
      <c r="B407" s="3" t="b">
        <v>0</v>
      </c>
      <c r="C407" s="3" t="s">
        <v>630</v>
      </c>
      <c r="G407" s="3" t="s">
        <v>1185</v>
      </c>
      <c r="K407" s="3" t="b">
        <v>0</v>
      </c>
      <c r="L407" s="3" t="s">
        <v>1186</v>
      </c>
      <c r="N407" s="3" t="s">
        <v>1187</v>
      </c>
      <c r="S407" s="4" t="str">
        <f t="shared" si="1"/>
        <v>2015</v>
      </c>
    </row>
    <row r="408">
      <c r="A408" s="3">
        <v>35.0</v>
      </c>
      <c r="B408" s="3" t="b">
        <v>0</v>
      </c>
      <c r="C408" s="3" t="s">
        <v>130</v>
      </c>
      <c r="G408" s="3" t="s">
        <v>1188</v>
      </c>
      <c r="K408" s="3" t="b">
        <v>0</v>
      </c>
      <c r="L408" s="3" t="s">
        <v>758</v>
      </c>
      <c r="N408" s="3" t="s">
        <v>1189</v>
      </c>
      <c r="S408" s="4" t="str">
        <f t="shared" si="1"/>
        <v>2015</v>
      </c>
    </row>
    <row r="409">
      <c r="A409" s="3">
        <v>35.0</v>
      </c>
      <c r="B409" s="3" t="b">
        <v>0</v>
      </c>
      <c r="C409" s="3" t="s">
        <v>313</v>
      </c>
      <c r="G409" s="3" t="s">
        <v>1190</v>
      </c>
      <c r="K409" s="3" t="b">
        <v>0</v>
      </c>
      <c r="L409" s="3" t="s">
        <v>1191</v>
      </c>
      <c r="N409" s="3" t="s">
        <v>1192</v>
      </c>
      <c r="S409" s="4" t="str">
        <f t="shared" si="1"/>
        <v>2015</v>
      </c>
    </row>
    <row r="410">
      <c r="A410" s="3">
        <v>30.0</v>
      </c>
      <c r="B410" s="3" t="b">
        <v>0</v>
      </c>
      <c r="C410" s="3" t="s">
        <v>388</v>
      </c>
      <c r="G410" s="3" t="s">
        <v>1193</v>
      </c>
      <c r="K410" s="3" t="b">
        <v>0</v>
      </c>
      <c r="L410" s="3" t="s">
        <v>1194</v>
      </c>
      <c r="N410" s="3" t="s">
        <v>1195</v>
      </c>
      <c r="S410" s="4" t="str">
        <f t="shared" si="1"/>
        <v>2015</v>
      </c>
    </row>
    <row r="411">
      <c r="A411" s="3">
        <v>30.0</v>
      </c>
      <c r="B411" s="3" t="b">
        <v>0</v>
      </c>
      <c r="C411" s="3" t="s">
        <v>320</v>
      </c>
      <c r="G411" s="3" t="s">
        <v>1196</v>
      </c>
      <c r="K411" s="3" t="b">
        <v>0</v>
      </c>
      <c r="L411" s="3" t="s">
        <v>1197</v>
      </c>
      <c r="N411" s="3" t="s">
        <v>1198</v>
      </c>
      <c r="S411" s="4" t="str">
        <f t="shared" si="1"/>
        <v>2015</v>
      </c>
    </row>
    <row r="412">
      <c r="A412" s="3">
        <v>30.0</v>
      </c>
      <c r="B412" s="3" t="b">
        <v>0</v>
      </c>
      <c r="C412" s="3" t="s">
        <v>367</v>
      </c>
      <c r="G412" s="3" t="s">
        <v>1199</v>
      </c>
      <c r="K412" s="3" t="b">
        <v>0</v>
      </c>
      <c r="L412" s="3" t="s">
        <v>1200</v>
      </c>
      <c r="N412" s="3" t="s">
        <v>1201</v>
      </c>
      <c r="S412" s="4" t="str">
        <f t="shared" si="1"/>
        <v>2015</v>
      </c>
    </row>
    <row r="413">
      <c r="A413" s="3">
        <v>29.0</v>
      </c>
      <c r="B413" s="3" t="b">
        <v>0</v>
      </c>
      <c r="C413" s="3" t="s">
        <v>35</v>
      </c>
      <c r="G413" s="3" t="s">
        <v>1202</v>
      </c>
      <c r="K413" s="3" t="b">
        <v>0</v>
      </c>
      <c r="L413" s="3" t="s">
        <v>1203</v>
      </c>
      <c r="N413" s="3" t="s">
        <v>1204</v>
      </c>
      <c r="S413" s="4" t="str">
        <f t="shared" si="1"/>
        <v>2015</v>
      </c>
    </row>
    <row r="414">
      <c r="A414" s="3">
        <v>26.0</v>
      </c>
      <c r="B414" s="3" t="b">
        <v>0</v>
      </c>
      <c r="C414" s="3" t="s">
        <v>31</v>
      </c>
      <c r="G414" s="3" t="s">
        <v>1205</v>
      </c>
      <c r="K414" s="3" t="b">
        <v>0</v>
      </c>
      <c r="L414" s="3" t="s">
        <v>1206</v>
      </c>
      <c r="N414" s="3" t="s">
        <v>1207</v>
      </c>
      <c r="S414" s="4" t="str">
        <f t="shared" si="1"/>
        <v>2015</v>
      </c>
    </row>
    <row r="415">
      <c r="A415" s="3">
        <v>25.0</v>
      </c>
      <c r="B415" s="3" t="b">
        <v>0</v>
      </c>
      <c r="C415" s="3" t="s">
        <v>62</v>
      </c>
      <c r="G415" s="3" t="s">
        <v>1208</v>
      </c>
      <c r="K415" s="3" t="b">
        <v>0</v>
      </c>
      <c r="L415" s="3" t="s">
        <v>1209</v>
      </c>
      <c r="N415" s="3" t="s">
        <v>1210</v>
      </c>
      <c r="S415" s="4" t="str">
        <f t="shared" si="1"/>
        <v>2015</v>
      </c>
    </row>
    <row r="416">
      <c r="A416" s="3">
        <v>25.0</v>
      </c>
      <c r="B416" s="3" t="b">
        <v>0</v>
      </c>
      <c r="C416" s="3" t="s">
        <v>170</v>
      </c>
      <c r="G416" s="3" t="s">
        <v>1211</v>
      </c>
      <c r="K416" s="3" t="b">
        <v>0</v>
      </c>
      <c r="L416" s="3" t="s">
        <v>1212</v>
      </c>
      <c r="N416" s="3" t="s">
        <v>1213</v>
      </c>
      <c r="S416" s="4" t="str">
        <f t="shared" si="1"/>
        <v>2015</v>
      </c>
    </row>
    <row r="417">
      <c r="A417" s="3">
        <v>25.0</v>
      </c>
      <c r="B417" s="3" t="b">
        <v>0</v>
      </c>
      <c r="C417" s="3" t="s">
        <v>62</v>
      </c>
      <c r="G417" s="3" t="s">
        <v>1214</v>
      </c>
      <c r="K417" s="3" t="b">
        <v>0</v>
      </c>
      <c r="L417" s="3" t="s">
        <v>125</v>
      </c>
      <c r="N417" s="3" t="s">
        <v>1215</v>
      </c>
      <c r="S417" s="4" t="str">
        <f t="shared" si="1"/>
        <v>2015</v>
      </c>
    </row>
    <row r="418">
      <c r="A418" s="3">
        <v>25.0</v>
      </c>
      <c r="B418" s="3" t="b">
        <v>0</v>
      </c>
      <c r="C418" s="3" t="s">
        <v>130</v>
      </c>
      <c r="G418" s="3" t="s">
        <v>1188</v>
      </c>
      <c r="K418" s="3" t="b">
        <v>0</v>
      </c>
      <c r="L418" s="3" t="s">
        <v>1216</v>
      </c>
      <c r="N418" s="3" t="s">
        <v>1217</v>
      </c>
      <c r="S418" s="4" t="str">
        <f t="shared" si="1"/>
        <v>2015</v>
      </c>
    </row>
    <row r="419">
      <c r="A419" s="3">
        <v>25.0</v>
      </c>
      <c r="B419" s="3" t="b">
        <v>0</v>
      </c>
      <c r="C419" s="3" t="s">
        <v>101</v>
      </c>
      <c r="D419" s="7">
        <v>2.0</v>
      </c>
      <c r="F419" s="7">
        <v>5.0</v>
      </c>
      <c r="G419" s="3" t="s">
        <v>1218</v>
      </c>
      <c r="K419" s="3" t="b">
        <v>1</v>
      </c>
      <c r="L419" s="3" t="s">
        <v>1219</v>
      </c>
      <c r="M419" s="7">
        <v>60.0</v>
      </c>
      <c r="N419" s="3" t="s">
        <v>1220</v>
      </c>
      <c r="S419" s="4" t="str">
        <f t="shared" si="1"/>
        <v>2015</v>
      </c>
    </row>
    <row r="420">
      <c r="A420" s="3">
        <v>25.0</v>
      </c>
      <c r="B420" s="3" t="b">
        <v>0</v>
      </c>
      <c r="C420" s="3" t="s">
        <v>186</v>
      </c>
      <c r="G420" s="3" t="s">
        <v>1221</v>
      </c>
      <c r="K420" s="3" t="b">
        <v>0</v>
      </c>
      <c r="L420" s="3" t="s">
        <v>1222</v>
      </c>
      <c r="N420" s="3" t="s">
        <v>1223</v>
      </c>
      <c r="S420" s="4" t="str">
        <f t="shared" si="1"/>
        <v>2015</v>
      </c>
    </row>
    <row r="421">
      <c r="A421" s="3">
        <v>25.0</v>
      </c>
      <c r="B421" s="3" t="b">
        <v>0</v>
      </c>
      <c r="C421" s="3" t="s">
        <v>27</v>
      </c>
      <c r="G421" s="3" t="s">
        <v>1224</v>
      </c>
      <c r="K421" s="3" t="b">
        <v>0</v>
      </c>
      <c r="L421" s="3" t="s">
        <v>1225</v>
      </c>
      <c r="N421" s="3" t="s">
        <v>1226</v>
      </c>
      <c r="S421" s="4" t="str">
        <f t="shared" si="1"/>
        <v>2015</v>
      </c>
    </row>
    <row r="422">
      <c r="A422" s="3">
        <v>24.0</v>
      </c>
      <c r="B422" s="3" t="b">
        <v>0</v>
      </c>
      <c r="C422" s="3" t="s">
        <v>46</v>
      </c>
      <c r="D422" s="7">
        <v>2.0</v>
      </c>
      <c r="F422" s="7">
        <v>3.0</v>
      </c>
      <c r="G422" s="3" t="s">
        <v>1227</v>
      </c>
      <c r="K422" s="3" t="b">
        <v>1</v>
      </c>
      <c r="L422" s="3" t="s">
        <v>1228</v>
      </c>
      <c r="M422" s="7">
        <v>49.0</v>
      </c>
      <c r="N422" s="3" t="s">
        <v>1229</v>
      </c>
      <c r="S422" s="4" t="str">
        <f t="shared" si="1"/>
        <v>2015</v>
      </c>
    </row>
    <row r="423">
      <c r="A423" s="3">
        <v>23.0</v>
      </c>
      <c r="B423" s="3" t="b">
        <v>0</v>
      </c>
      <c r="C423" s="3" t="s">
        <v>313</v>
      </c>
      <c r="G423" s="3" t="s">
        <v>1230</v>
      </c>
      <c r="K423" s="3" t="b">
        <v>0</v>
      </c>
      <c r="L423" s="3" t="s">
        <v>1231</v>
      </c>
      <c r="N423" s="3" t="s">
        <v>1232</v>
      </c>
      <c r="S423" s="4" t="str">
        <f t="shared" si="1"/>
        <v>2015</v>
      </c>
    </row>
    <row r="424">
      <c r="A424" s="3">
        <v>22.0</v>
      </c>
      <c r="B424" s="3" t="b">
        <v>0</v>
      </c>
      <c r="C424" s="3" t="s">
        <v>186</v>
      </c>
      <c r="G424" s="3" t="s">
        <v>1233</v>
      </c>
      <c r="K424" s="3" t="b">
        <v>0</v>
      </c>
      <c r="L424" s="3" t="s">
        <v>1234</v>
      </c>
      <c r="N424" s="3" t="s">
        <v>1235</v>
      </c>
      <c r="S424" s="4" t="str">
        <f t="shared" si="1"/>
        <v>2015</v>
      </c>
    </row>
    <row r="425">
      <c r="A425" s="3">
        <v>21.0</v>
      </c>
      <c r="B425" s="3" t="b">
        <v>0</v>
      </c>
      <c r="C425" s="3" t="s">
        <v>97</v>
      </c>
      <c r="G425" s="3" t="s">
        <v>842</v>
      </c>
      <c r="K425" s="3" t="b">
        <v>0</v>
      </c>
      <c r="L425" s="3" t="s">
        <v>1236</v>
      </c>
      <c r="N425" s="3" t="s">
        <v>1237</v>
      </c>
      <c r="S425" s="4" t="str">
        <f t="shared" si="1"/>
        <v>2015</v>
      </c>
    </row>
    <row r="426">
      <c r="A426" s="3">
        <v>21.0</v>
      </c>
      <c r="B426" s="3" t="b">
        <v>0</v>
      </c>
      <c r="C426" s="3" t="s">
        <v>27</v>
      </c>
      <c r="D426" s="3">
        <v>2.0</v>
      </c>
      <c r="E426" s="3">
        <v>3.0</v>
      </c>
      <c r="F426" s="3">
        <v>11.0</v>
      </c>
      <c r="G426" s="3" t="s">
        <v>1238</v>
      </c>
      <c r="I426" s="7">
        <v>1.0</v>
      </c>
      <c r="K426" s="3" t="b">
        <v>1</v>
      </c>
      <c r="L426" s="3" t="s">
        <v>1239</v>
      </c>
      <c r="N426" s="3" t="s">
        <v>1240</v>
      </c>
      <c r="S426" s="4" t="str">
        <f t="shared" si="1"/>
        <v>2015</v>
      </c>
    </row>
    <row r="427">
      <c r="A427" s="3">
        <v>20.0</v>
      </c>
      <c r="B427" s="3" t="b">
        <v>0</v>
      </c>
      <c r="C427" s="3" t="s">
        <v>50</v>
      </c>
      <c r="D427" s="3">
        <v>10.0</v>
      </c>
      <c r="E427" s="3">
        <v>2.0</v>
      </c>
      <c r="F427" s="3">
        <v>12.0</v>
      </c>
      <c r="G427" s="3" t="s">
        <v>1241</v>
      </c>
      <c r="K427" s="3" t="b">
        <v>1</v>
      </c>
      <c r="L427" s="3" t="s">
        <v>527</v>
      </c>
      <c r="M427" s="7">
        <v>195.0</v>
      </c>
      <c r="N427" s="3" t="s">
        <v>1242</v>
      </c>
      <c r="S427" s="4" t="str">
        <f t="shared" si="1"/>
        <v>2015</v>
      </c>
    </row>
    <row r="428">
      <c r="A428" s="3">
        <v>19.0</v>
      </c>
      <c r="B428" s="3" t="b">
        <v>0</v>
      </c>
      <c r="C428" s="3" t="s">
        <v>166</v>
      </c>
      <c r="G428" s="3" t="s">
        <v>1243</v>
      </c>
      <c r="K428" s="3" t="b">
        <v>0</v>
      </c>
      <c r="L428" s="3" t="s">
        <v>1244</v>
      </c>
      <c r="N428" s="3" t="s">
        <v>1245</v>
      </c>
      <c r="S428" s="4" t="str">
        <f t="shared" si="1"/>
        <v>2015</v>
      </c>
    </row>
    <row r="429">
      <c r="A429" s="3">
        <v>18.0</v>
      </c>
      <c r="B429" s="3" t="b">
        <v>0</v>
      </c>
      <c r="C429" s="3" t="s">
        <v>58</v>
      </c>
      <c r="D429" s="7">
        <v>2.0</v>
      </c>
      <c r="F429" s="7">
        <v>6.0</v>
      </c>
      <c r="G429" s="3" t="s">
        <v>1246</v>
      </c>
      <c r="J429" s="7">
        <v>1.0</v>
      </c>
      <c r="K429" s="3" t="b">
        <v>1</v>
      </c>
      <c r="L429" s="3" t="s">
        <v>1247</v>
      </c>
      <c r="N429" s="3" t="s">
        <v>1248</v>
      </c>
      <c r="S429" s="4" t="str">
        <f t="shared" si="1"/>
        <v>2015</v>
      </c>
    </row>
    <row r="430">
      <c r="A430" s="3">
        <v>16.0</v>
      </c>
      <c r="B430" s="3" t="b">
        <v>0</v>
      </c>
      <c r="C430" s="3" t="s">
        <v>50</v>
      </c>
      <c r="G430" s="3" t="s">
        <v>844</v>
      </c>
      <c r="K430" s="3" t="b">
        <v>0</v>
      </c>
      <c r="L430" s="3" t="s">
        <v>1249</v>
      </c>
      <c r="N430" s="3" t="s">
        <v>1250</v>
      </c>
      <c r="S430" s="4" t="str">
        <f t="shared" si="1"/>
        <v>2015</v>
      </c>
    </row>
    <row r="431">
      <c r="A431" s="3">
        <v>0.0</v>
      </c>
      <c r="B431" s="3" t="b">
        <v>0</v>
      </c>
      <c r="C431" s="3" t="s">
        <v>630</v>
      </c>
      <c r="G431" s="3" t="s">
        <v>1251</v>
      </c>
      <c r="K431" s="3" t="b">
        <v>0</v>
      </c>
      <c r="L431" s="3" t="s">
        <v>1252</v>
      </c>
      <c r="N431" s="3" t="s">
        <v>862</v>
      </c>
      <c r="S431" s="4" t="str">
        <f t="shared" si="1"/>
        <v>2015</v>
      </c>
    </row>
    <row r="432">
      <c r="A432" s="3">
        <v>0.0</v>
      </c>
      <c r="B432" s="3" t="b">
        <v>0</v>
      </c>
      <c r="C432" s="3" t="s">
        <v>1253</v>
      </c>
      <c r="G432" s="3" t="s">
        <v>1254</v>
      </c>
      <c r="K432" s="3" t="b">
        <v>0</v>
      </c>
      <c r="L432" s="3" t="s">
        <v>1255</v>
      </c>
      <c r="N432" s="3" t="s">
        <v>1256</v>
      </c>
      <c r="S432" s="4" t="str">
        <f t="shared" si="1"/>
        <v>2015</v>
      </c>
    </row>
    <row r="433">
      <c r="A433" s="3">
        <v>132127.0</v>
      </c>
      <c r="B433" s="3" t="b">
        <v>0</v>
      </c>
      <c r="C433" s="3" t="s">
        <v>114</v>
      </c>
      <c r="G433" s="3" t="s">
        <v>1257</v>
      </c>
      <c r="K433" s="3" t="b">
        <v>1</v>
      </c>
      <c r="L433" s="3" t="s">
        <v>1258</v>
      </c>
      <c r="N433" s="3" t="s">
        <v>1259</v>
      </c>
      <c r="S433" s="4" t="str">
        <f t="shared" si="1"/>
        <v>2016</v>
      </c>
    </row>
    <row r="434">
      <c r="A434" s="3">
        <v>48019.0</v>
      </c>
      <c r="B434" s="3" t="b">
        <v>0</v>
      </c>
      <c r="C434" s="3" t="s">
        <v>69</v>
      </c>
      <c r="G434" s="3" t="s">
        <v>1260</v>
      </c>
      <c r="K434" s="3" t="b">
        <v>0</v>
      </c>
      <c r="L434" s="3" t="s">
        <v>1261</v>
      </c>
      <c r="N434" s="3" t="s">
        <v>1262</v>
      </c>
      <c r="S434" s="4" t="str">
        <f t="shared" si="1"/>
        <v>2016</v>
      </c>
    </row>
    <row r="435">
      <c r="A435" s="3">
        <v>46344.0</v>
      </c>
      <c r="B435" s="3" t="b">
        <v>0</v>
      </c>
      <c r="C435" s="3" t="s">
        <v>149</v>
      </c>
      <c r="G435" s="3" t="s">
        <v>1263</v>
      </c>
      <c r="J435" s="7">
        <v>1.0</v>
      </c>
      <c r="K435" s="3" t="b">
        <v>1</v>
      </c>
      <c r="L435" s="3" t="s">
        <v>1264</v>
      </c>
      <c r="N435" s="3" t="s">
        <v>1265</v>
      </c>
      <c r="O435" s="3">
        <v>8.0</v>
      </c>
      <c r="P435" s="3">
        <v>70.0</v>
      </c>
      <c r="S435" s="4" t="str">
        <f t="shared" si="1"/>
        <v>2016</v>
      </c>
    </row>
    <row r="436">
      <c r="A436" s="3">
        <v>36274.0</v>
      </c>
      <c r="B436" s="3" t="b">
        <v>0</v>
      </c>
      <c r="C436" s="3" t="s">
        <v>134</v>
      </c>
      <c r="D436" s="7">
        <v>21.0</v>
      </c>
      <c r="E436" s="7">
        <v>6.0</v>
      </c>
      <c r="F436" s="7">
        <v>47.0</v>
      </c>
      <c r="G436" s="3" t="s">
        <v>1266</v>
      </c>
      <c r="I436" s="7">
        <v>5.0</v>
      </c>
      <c r="K436" s="3" t="b">
        <v>1</v>
      </c>
      <c r="L436" s="3" t="s">
        <v>1267</v>
      </c>
      <c r="M436" s="7">
        <v>914.0</v>
      </c>
      <c r="N436" s="3" t="s">
        <v>1268</v>
      </c>
      <c r="O436" s="3">
        <v>3.0</v>
      </c>
      <c r="P436" s="3">
        <v>321.0</v>
      </c>
      <c r="S436" s="4" t="str">
        <f t="shared" si="1"/>
        <v>2016</v>
      </c>
    </row>
    <row r="437">
      <c r="A437" s="3">
        <v>33867.0</v>
      </c>
      <c r="B437" s="3" t="b">
        <v>0</v>
      </c>
      <c r="C437" s="3" t="s">
        <v>46</v>
      </c>
      <c r="G437" s="3" t="s">
        <v>1269</v>
      </c>
      <c r="K437" s="3" t="b">
        <v>0</v>
      </c>
      <c r="L437" s="3" t="s">
        <v>1270</v>
      </c>
      <c r="N437" s="3" t="s">
        <v>1271</v>
      </c>
      <c r="S437" s="4" t="str">
        <f t="shared" si="1"/>
        <v>2016</v>
      </c>
    </row>
    <row r="438">
      <c r="A438" s="3">
        <v>32606.0</v>
      </c>
      <c r="B438" s="3" t="b">
        <v>0</v>
      </c>
      <c r="C438" s="3" t="s">
        <v>97</v>
      </c>
      <c r="G438" s="3" t="s">
        <v>1272</v>
      </c>
      <c r="K438" s="3" t="b">
        <v>0</v>
      </c>
      <c r="L438" s="3" t="s">
        <v>1273</v>
      </c>
      <c r="N438" s="3" t="s">
        <v>1274</v>
      </c>
      <c r="S438" s="4" t="str">
        <f t="shared" si="1"/>
        <v>2016</v>
      </c>
    </row>
    <row r="439">
      <c r="A439" s="3">
        <v>29322.0</v>
      </c>
      <c r="B439" s="3" t="b">
        <v>0</v>
      </c>
      <c r="C439" s="3" t="s">
        <v>69</v>
      </c>
      <c r="G439" s="3" t="s">
        <v>1275</v>
      </c>
      <c r="K439" s="3" t="b">
        <v>0</v>
      </c>
      <c r="L439" s="3" t="s">
        <v>372</v>
      </c>
      <c r="N439" s="3" t="s">
        <v>1276</v>
      </c>
      <c r="S439" s="4" t="str">
        <f t="shared" si="1"/>
        <v>2016</v>
      </c>
    </row>
    <row r="440">
      <c r="A440" s="3">
        <v>12518.0</v>
      </c>
      <c r="B440" s="3" t="b">
        <v>0</v>
      </c>
      <c r="C440" s="3" t="s">
        <v>97</v>
      </c>
      <c r="G440" s="3" t="s">
        <v>1277</v>
      </c>
      <c r="K440" s="3" t="b">
        <v>0</v>
      </c>
      <c r="L440" s="3" t="s">
        <v>1278</v>
      </c>
      <c r="N440" s="3" t="s">
        <v>1279</v>
      </c>
      <c r="S440" s="4" t="str">
        <f t="shared" si="1"/>
        <v>2016</v>
      </c>
    </row>
    <row r="441">
      <c r="A441" s="3">
        <v>8110.0</v>
      </c>
      <c r="B441" s="3" t="b">
        <v>0</v>
      </c>
      <c r="C441" s="3" t="s">
        <v>134</v>
      </c>
      <c r="D441" s="7">
        <v>30.0</v>
      </c>
      <c r="E441" s="7">
        <v>3.0</v>
      </c>
      <c r="F441" s="7">
        <v>37.0</v>
      </c>
      <c r="G441" s="3" t="s">
        <v>1280</v>
      </c>
      <c r="I441" s="7">
        <v>10.0</v>
      </c>
      <c r="J441" s="7">
        <v>1.0</v>
      </c>
      <c r="K441" s="3" t="b">
        <v>1</v>
      </c>
      <c r="L441" s="3" t="s">
        <v>1281</v>
      </c>
      <c r="M441" s="3">
        <v>960.0</v>
      </c>
      <c r="N441" s="3" t="s">
        <v>1282</v>
      </c>
      <c r="S441" s="4" t="str">
        <f t="shared" si="1"/>
        <v>2016</v>
      </c>
    </row>
    <row r="442">
      <c r="A442" s="3">
        <v>7609.0</v>
      </c>
      <c r="B442" s="3" t="b">
        <v>0</v>
      </c>
      <c r="C442" s="3" t="s">
        <v>62</v>
      </c>
      <c r="G442" s="3" t="s">
        <v>1283</v>
      </c>
      <c r="K442" s="3" t="b">
        <v>1</v>
      </c>
      <c r="L442" s="3" t="s">
        <v>311</v>
      </c>
      <c r="M442" s="3">
        <v>78.0</v>
      </c>
      <c r="N442" s="3" t="s">
        <v>1284</v>
      </c>
      <c r="P442" s="7">
        <v>16.0</v>
      </c>
      <c r="S442" s="4" t="str">
        <f t="shared" si="1"/>
        <v>2016</v>
      </c>
    </row>
    <row r="443">
      <c r="A443" s="3">
        <v>7474.0</v>
      </c>
      <c r="B443" s="3" t="b">
        <v>0</v>
      </c>
      <c r="C443" s="3" t="s">
        <v>97</v>
      </c>
      <c r="G443" s="3" t="s">
        <v>1285</v>
      </c>
      <c r="K443" s="3" t="b">
        <v>1</v>
      </c>
      <c r="L443" s="3" t="s">
        <v>1286</v>
      </c>
      <c r="N443" s="3" t="s">
        <v>1287</v>
      </c>
      <c r="S443" s="4" t="str">
        <f t="shared" si="1"/>
        <v>2016</v>
      </c>
    </row>
    <row r="444">
      <c r="A444" s="3">
        <v>7050.0</v>
      </c>
      <c r="B444" s="3" t="b">
        <v>0</v>
      </c>
      <c r="C444" s="3" t="s">
        <v>39</v>
      </c>
      <c r="G444" s="3" t="s">
        <v>1288</v>
      </c>
      <c r="K444" s="3" t="b">
        <v>1</v>
      </c>
      <c r="L444" s="3" t="s">
        <v>1289</v>
      </c>
      <c r="M444" s="3">
        <v>20.0</v>
      </c>
      <c r="N444" s="3" t="s">
        <v>1290</v>
      </c>
      <c r="P444" s="3">
        <v>2.0</v>
      </c>
      <c r="R444" s="7">
        <v>0.0</v>
      </c>
      <c r="S444" s="4" t="str">
        <f t="shared" si="1"/>
        <v>2016</v>
      </c>
    </row>
    <row r="445">
      <c r="A445" s="3">
        <v>5731.0</v>
      </c>
      <c r="B445" s="3" t="b">
        <v>0</v>
      </c>
      <c r="C445" s="3" t="s">
        <v>240</v>
      </c>
      <c r="D445" s="7">
        <v>2.0</v>
      </c>
      <c r="F445" s="7">
        <v>5.0</v>
      </c>
      <c r="G445" s="3" t="s">
        <v>1291</v>
      </c>
      <c r="K445" s="3" t="b">
        <v>1</v>
      </c>
      <c r="L445" s="3" t="s">
        <v>1292</v>
      </c>
      <c r="M445" s="3">
        <v>58.0</v>
      </c>
      <c r="N445" s="3" t="s">
        <v>1293</v>
      </c>
      <c r="P445" s="3">
        <v>2.0</v>
      </c>
      <c r="S445" s="4" t="str">
        <f t="shared" si="1"/>
        <v>2016</v>
      </c>
    </row>
    <row r="446">
      <c r="A446" s="3">
        <v>5646.0</v>
      </c>
      <c r="B446" s="3" t="b">
        <v>0</v>
      </c>
      <c r="C446" s="3" t="s">
        <v>130</v>
      </c>
      <c r="G446" s="3" t="s">
        <v>1294</v>
      </c>
      <c r="J446" s="3">
        <v>3.0</v>
      </c>
      <c r="K446" s="3" t="b">
        <v>1</v>
      </c>
      <c r="L446" s="3" t="s">
        <v>1295</v>
      </c>
      <c r="N446" s="3" t="s">
        <v>1296</v>
      </c>
      <c r="R446" s="3">
        <v>2600.0</v>
      </c>
      <c r="S446" s="4" t="str">
        <f t="shared" si="1"/>
        <v>2016</v>
      </c>
    </row>
    <row r="447">
      <c r="A447" s="3">
        <v>5646.0</v>
      </c>
      <c r="B447" s="3" t="b">
        <v>0</v>
      </c>
      <c r="C447" s="3" t="s">
        <v>31</v>
      </c>
      <c r="G447" s="3" t="s">
        <v>1294</v>
      </c>
      <c r="J447" s="3">
        <v>3.0</v>
      </c>
      <c r="K447" s="3" t="b">
        <v>1</v>
      </c>
      <c r="L447" s="3" t="s">
        <v>1295</v>
      </c>
      <c r="N447" s="3" t="s">
        <v>1296</v>
      </c>
      <c r="R447" s="3">
        <v>2600.0</v>
      </c>
      <c r="S447" s="4" t="str">
        <f t="shared" si="1"/>
        <v>2016</v>
      </c>
    </row>
    <row r="448">
      <c r="A448" s="3">
        <v>5443.0</v>
      </c>
      <c r="B448" s="3" t="b">
        <v>0</v>
      </c>
      <c r="C448" s="3" t="s">
        <v>162</v>
      </c>
      <c r="G448" s="3" t="s">
        <v>1297</v>
      </c>
      <c r="K448" s="3" t="b">
        <v>0</v>
      </c>
      <c r="L448" s="3" t="s">
        <v>1298</v>
      </c>
      <c r="N448" s="3" t="s">
        <v>1299</v>
      </c>
      <c r="S448" s="4" t="str">
        <f t="shared" si="1"/>
        <v>2016</v>
      </c>
    </row>
    <row r="449">
      <c r="A449" s="3">
        <v>5399.0</v>
      </c>
      <c r="B449" s="3" t="b">
        <v>0</v>
      </c>
      <c r="C449" s="3" t="s">
        <v>23</v>
      </c>
      <c r="G449" s="3" t="s">
        <v>1300</v>
      </c>
      <c r="K449" s="3" t="b">
        <v>0</v>
      </c>
      <c r="L449" s="3" t="s">
        <v>1301</v>
      </c>
      <c r="N449" s="3" t="s">
        <v>1302</v>
      </c>
      <c r="S449" s="4" t="str">
        <f t="shared" si="1"/>
        <v>2016</v>
      </c>
    </row>
    <row r="450">
      <c r="A450" s="3">
        <v>4824.0</v>
      </c>
      <c r="B450" s="3" t="b">
        <v>0</v>
      </c>
      <c r="C450" s="3" t="s">
        <v>23</v>
      </c>
      <c r="G450" s="3" t="s">
        <v>1303</v>
      </c>
      <c r="K450" s="3" t="b">
        <v>0</v>
      </c>
      <c r="L450" s="3" t="s">
        <v>1304</v>
      </c>
      <c r="N450" s="3" t="s">
        <v>1305</v>
      </c>
      <c r="S450" s="4" t="str">
        <f t="shared" si="1"/>
        <v>2016</v>
      </c>
    </row>
    <row r="451">
      <c r="A451" s="3">
        <v>4474.0</v>
      </c>
      <c r="B451" s="3" t="b">
        <v>0</v>
      </c>
      <c r="C451" s="3" t="s">
        <v>401</v>
      </c>
      <c r="D451" s="7">
        <v>1.0</v>
      </c>
      <c r="E451" s="7">
        <v>1.0</v>
      </c>
      <c r="F451" s="7">
        <v>3.0</v>
      </c>
      <c r="G451" s="3" t="s">
        <v>1306</v>
      </c>
      <c r="K451" s="3" t="b">
        <v>1</v>
      </c>
      <c r="L451" s="3" t="s">
        <v>1307</v>
      </c>
      <c r="M451" s="7">
        <v>62.0</v>
      </c>
      <c r="N451" s="3" t="s">
        <v>1308</v>
      </c>
      <c r="O451" s="7">
        <v>1.0</v>
      </c>
      <c r="P451" s="7">
        <v>28.0</v>
      </c>
      <c r="S451" s="4" t="str">
        <f t="shared" si="1"/>
        <v>2016</v>
      </c>
    </row>
    <row r="452">
      <c r="A452" s="3">
        <v>4347.0</v>
      </c>
      <c r="B452" s="3" t="b">
        <v>0</v>
      </c>
      <c r="C452" s="3" t="s">
        <v>94</v>
      </c>
      <c r="G452" s="3" t="s">
        <v>1309</v>
      </c>
      <c r="K452" s="3" t="b">
        <v>0</v>
      </c>
      <c r="L452" s="3" t="s">
        <v>569</v>
      </c>
      <c r="N452" s="3" t="s">
        <v>1310</v>
      </c>
      <c r="S452" s="4" t="str">
        <f t="shared" si="1"/>
        <v>2016</v>
      </c>
    </row>
    <row r="453">
      <c r="A453" s="3">
        <v>3929.0</v>
      </c>
      <c r="B453" s="3" t="b">
        <v>0</v>
      </c>
      <c r="C453" s="3" t="s">
        <v>186</v>
      </c>
      <c r="F453" s="3">
        <v>2.0</v>
      </c>
      <c r="G453" s="3" t="s">
        <v>1311</v>
      </c>
      <c r="I453" s="7">
        <v>1.0</v>
      </c>
      <c r="K453" s="3" t="b">
        <v>1</v>
      </c>
      <c r="L453" s="3" t="s">
        <v>1312</v>
      </c>
      <c r="M453" s="3">
        <v>32.0</v>
      </c>
      <c r="N453" s="3" t="s">
        <v>1313</v>
      </c>
      <c r="O453" s="7">
        <v>28.0</v>
      </c>
      <c r="P453" s="7">
        <v>300.0</v>
      </c>
      <c r="S453" s="4" t="str">
        <f t="shared" si="1"/>
        <v>2016</v>
      </c>
    </row>
    <row r="454">
      <c r="A454" s="3">
        <v>3876.0</v>
      </c>
      <c r="B454" s="3" t="b">
        <v>0</v>
      </c>
      <c r="C454" s="3" t="s">
        <v>114</v>
      </c>
      <c r="F454" s="3">
        <v>5.0</v>
      </c>
      <c r="G454" s="3" t="s">
        <v>1314</v>
      </c>
      <c r="J454" s="7">
        <v>1.0</v>
      </c>
      <c r="K454" s="3" t="b">
        <v>1</v>
      </c>
      <c r="L454" s="3" t="s">
        <v>1315</v>
      </c>
      <c r="M454" s="3">
        <v>22.0</v>
      </c>
      <c r="N454" s="3" t="s">
        <v>1316</v>
      </c>
      <c r="S454" s="4" t="str">
        <f t="shared" si="1"/>
        <v>2016</v>
      </c>
    </row>
    <row r="455">
      <c r="A455" s="3">
        <v>3712.0</v>
      </c>
      <c r="B455" s="3" t="b">
        <v>0</v>
      </c>
      <c r="C455" s="3" t="s">
        <v>149</v>
      </c>
      <c r="G455" s="3" t="s">
        <v>1317</v>
      </c>
      <c r="K455" s="3" t="b">
        <v>0</v>
      </c>
      <c r="L455" s="3" t="s">
        <v>1318</v>
      </c>
      <c r="N455" s="3" t="s">
        <v>1319</v>
      </c>
      <c r="S455" s="4" t="str">
        <f t="shared" si="1"/>
        <v>2016</v>
      </c>
    </row>
    <row r="456">
      <c r="A456" s="3">
        <v>2944.0</v>
      </c>
      <c r="B456" s="3" t="b">
        <v>0</v>
      </c>
      <c r="C456" s="3" t="s">
        <v>39</v>
      </c>
      <c r="D456" s="7">
        <v>12.0</v>
      </c>
      <c r="E456" s="7">
        <v>5.0</v>
      </c>
      <c r="F456" s="7">
        <v>29.0</v>
      </c>
      <c r="G456" s="3" t="s">
        <v>1320</v>
      </c>
      <c r="I456" s="7">
        <v>2.0</v>
      </c>
      <c r="K456" s="3" t="b">
        <v>1</v>
      </c>
      <c r="L456" s="3" t="s">
        <v>1321</v>
      </c>
      <c r="M456" s="7">
        <v>188.0</v>
      </c>
      <c r="N456" s="3" t="s">
        <v>1322</v>
      </c>
      <c r="S456" s="4" t="str">
        <f t="shared" si="1"/>
        <v>2016</v>
      </c>
    </row>
    <row r="457">
      <c r="A457" s="3">
        <v>2860.0</v>
      </c>
      <c r="B457" s="3" t="b">
        <v>0</v>
      </c>
      <c r="C457" s="3" t="s">
        <v>46</v>
      </c>
      <c r="G457" s="3" t="s">
        <v>1323</v>
      </c>
      <c r="K457" s="3" t="b">
        <v>0</v>
      </c>
      <c r="L457" s="3" t="s">
        <v>1324</v>
      </c>
      <c r="N457" s="3" t="s">
        <v>1325</v>
      </c>
      <c r="S457" s="4" t="str">
        <f t="shared" si="1"/>
        <v>2016</v>
      </c>
    </row>
    <row r="458">
      <c r="A458" s="3">
        <v>2819.0</v>
      </c>
      <c r="B458" s="3" t="b">
        <v>0</v>
      </c>
      <c r="C458" s="3" t="s">
        <v>874</v>
      </c>
      <c r="G458" s="3" t="s">
        <v>1326</v>
      </c>
      <c r="K458" s="3" t="b">
        <v>0</v>
      </c>
      <c r="L458" s="3" t="s">
        <v>1327</v>
      </c>
      <c r="N458" s="3" t="s">
        <v>1328</v>
      </c>
      <c r="S458" s="4" t="str">
        <f t="shared" si="1"/>
        <v>2016</v>
      </c>
    </row>
    <row r="459">
      <c r="A459" s="3">
        <v>2652.0</v>
      </c>
      <c r="B459" s="3" t="b">
        <v>0</v>
      </c>
      <c r="C459" s="3" t="s">
        <v>145</v>
      </c>
      <c r="G459" s="3" t="s">
        <v>1257</v>
      </c>
      <c r="K459" s="3" t="b">
        <v>0</v>
      </c>
      <c r="L459" s="3" t="s">
        <v>1329</v>
      </c>
      <c r="N459" s="3" t="s">
        <v>1330</v>
      </c>
      <c r="S459" s="4" t="str">
        <f t="shared" si="1"/>
        <v>2016</v>
      </c>
    </row>
    <row r="460">
      <c r="A460" s="3">
        <v>2575.0</v>
      </c>
      <c r="B460" s="3" t="b">
        <v>0</v>
      </c>
      <c r="C460" s="3" t="s">
        <v>320</v>
      </c>
      <c r="D460" s="7">
        <v>3.0</v>
      </c>
      <c r="E460" s="7">
        <v>2.0</v>
      </c>
      <c r="F460" s="7">
        <v>2.0</v>
      </c>
      <c r="G460" s="3" t="s">
        <v>1331</v>
      </c>
      <c r="J460" s="7">
        <v>1.0</v>
      </c>
      <c r="K460" s="3" t="b">
        <v>1</v>
      </c>
      <c r="L460" s="3" t="s">
        <v>1332</v>
      </c>
      <c r="M460" s="7">
        <v>78.0</v>
      </c>
      <c r="N460" s="3" t="s">
        <v>1333</v>
      </c>
      <c r="P460" s="7">
        <v>7.0</v>
      </c>
      <c r="S460" s="4" t="str">
        <f t="shared" si="1"/>
        <v>2016</v>
      </c>
    </row>
    <row r="461">
      <c r="A461" s="3">
        <v>2520.0</v>
      </c>
      <c r="B461" s="3" t="b">
        <v>0</v>
      </c>
      <c r="C461" s="3" t="s">
        <v>114</v>
      </c>
      <c r="G461" s="3" t="s">
        <v>1334</v>
      </c>
      <c r="K461" s="3" t="b">
        <v>0</v>
      </c>
      <c r="L461" s="3" t="s">
        <v>1335</v>
      </c>
      <c r="N461" s="3" t="s">
        <v>1336</v>
      </c>
      <c r="S461" s="4" t="str">
        <f t="shared" si="1"/>
        <v>2016</v>
      </c>
    </row>
    <row r="462">
      <c r="A462" s="3">
        <v>2304.0</v>
      </c>
      <c r="B462" s="3" t="b">
        <v>0</v>
      </c>
      <c r="C462" s="3" t="s">
        <v>35</v>
      </c>
      <c r="G462" s="3" t="s">
        <v>1337</v>
      </c>
      <c r="K462" s="3" t="b">
        <v>0</v>
      </c>
      <c r="L462" s="3" t="s">
        <v>1338</v>
      </c>
      <c r="N462" s="3" t="s">
        <v>1337</v>
      </c>
      <c r="S462" s="4" t="str">
        <f t="shared" si="1"/>
        <v>2016</v>
      </c>
    </row>
    <row r="463">
      <c r="A463" s="3">
        <v>2241.0</v>
      </c>
      <c r="B463" s="3" t="b">
        <v>0</v>
      </c>
      <c r="C463" s="3" t="s">
        <v>39</v>
      </c>
      <c r="D463" s="7">
        <v>4.0</v>
      </c>
      <c r="F463" s="7">
        <v>7.0</v>
      </c>
      <c r="G463" s="3" t="s">
        <v>1339</v>
      </c>
      <c r="K463" s="3" t="b">
        <v>1</v>
      </c>
      <c r="L463" s="3" t="s">
        <v>1340</v>
      </c>
      <c r="M463" s="7">
        <v>167.0</v>
      </c>
      <c r="N463" s="3" t="s">
        <v>1341</v>
      </c>
      <c r="O463" s="7">
        <v>5.0</v>
      </c>
      <c r="P463" s="7">
        <v>4.0</v>
      </c>
      <c r="S463" s="4" t="str">
        <f t="shared" si="1"/>
        <v>2016</v>
      </c>
    </row>
    <row r="464">
      <c r="A464" s="3">
        <v>2100.0</v>
      </c>
      <c r="B464" s="3" t="b">
        <v>0</v>
      </c>
      <c r="C464" s="3" t="s">
        <v>39</v>
      </c>
      <c r="G464" s="3" t="s">
        <v>1342</v>
      </c>
      <c r="K464" s="3" t="b">
        <v>0</v>
      </c>
      <c r="L464" s="3" t="s">
        <v>1343</v>
      </c>
      <c r="N464" s="3" t="s">
        <v>1344</v>
      </c>
      <c r="S464" s="4" t="str">
        <f t="shared" si="1"/>
        <v>2016</v>
      </c>
    </row>
    <row r="465">
      <c r="A465" s="3">
        <v>1785.0</v>
      </c>
      <c r="B465" s="3" t="b">
        <v>0</v>
      </c>
      <c r="C465" s="3" t="s">
        <v>69</v>
      </c>
      <c r="G465" s="3" t="s">
        <v>1345</v>
      </c>
      <c r="J465" s="3">
        <v>3.0</v>
      </c>
      <c r="K465" s="3" t="b">
        <v>1</v>
      </c>
      <c r="L465" s="3" t="s">
        <v>56</v>
      </c>
      <c r="N465" s="3" t="s">
        <v>1346</v>
      </c>
      <c r="S465" s="4" t="str">
        <f t="shared" si="1"/>
        <v>2016</v>
      </c>
    </row>
    <row r="466">
      <c r="A466" s="3">
        <v>1547.0</v>
      </c>
      <c r="B466" s="3" t="b">
        <v>0</v>
      </c>
      <c r="C466" s="3" t="s">
        <v>73</v>
      </c>
      <c r="F466" s="7">
        <v>3.0</v>
      </c>
      <c r="G466" s="3" t="s">
        <v>1347</v>
      </c>
      <c r="J466" s="3">
        <v>2.0</v>
      </c>
      <c r="K466" s="3" t="b">
        <v>1</v>
      </c>
      <c r="L466" s="3" t="s">
        <v>1348</v>
      </c>
      <c r="M466" s="7">
        <v>14.0</v>
      </c>
      <c r="N466" s="3" t="s">
        <v>1349</v>
      </c>
      <c r="S466" s="4" t="str">
        <f t="shared" si="1"/>
        <v>2016</v>
      </c>
    </row>
    <row r="467">
      <c r="A467" s="3">
        <v>1470.0</v>
      </c>
      <c r="B467" s="3" t="b">
        <v>0</v>
      </c>
      <c r="C467" s="3" t="s">
        <v>27</v>
      </c>
      <c r="G467" s="3" t="s">
        <v>1350</v>
      </c>
      <c r="J467" s="3">
        <v>1.0</v>
      </c>
      <c r="K467" s="3" t="b">
        <v>1</v>
      </c>
      <c r="L467" s="3" t="s">
        <v>796</v>
      </c>
      <c r="N467" s="3" t="s">
        <v>1351</v>
      </c>
      <c r="P467" s="7">
        <v>1.0</v>
      </c>
      <c r="S467" s="4" t="str">
        <f t="shared" si="1"/>
        <v>2016</v>
      </c>
    </row>
    <row r="468">
      <c r="A468" s="3">
        <v>1246.0</v>
      </c>
      <c r="B468" s="3" t="b">
        <v>0</v>
      </c>
      <c r="C468" s="3" t="s">
        <v>282</v>
      </c>
      <c r="G468" s="3" t="s">
        <v>1352</v>
      </c>
      <c r="K468" s="3" t="b">
        <v>0</v>
      </c>
      <c r="L468" s="3" t="s">
        <v>1353</v>
      </c>
      <c r="N468" s="3" t="s">
        <v>1354</v>
      </c>
      <c r="S468" s="4" t="str">
        <f t="shared" si="1"/>
        <v>2016</v>
      </c>
    </row>
    <row r="469">
      <c r="A469" s="3">
        <v>1245.0</v>
      </c>
      <c r="B469" s="3" t="b">
        <v>0</v>
      </c>
      <c r="C469" s="3" t="s">
        <v>62</v>
      </c>
      <c r="G469" s="3" t="s">
        <v>1355</v>
      </c>
      <c r="K469" s="3" t="b">
        <v>0</v>
      </c>
      <c r="L469" s="3" t="s">
        <v>1356</v>
      </c>
      <c r="N469" s="3" t="s">
        <v>1357</v>
      </c>
      <c r="S469" s="4" t="str">
        <f t="shared" si="1"/>
        <v>2016</v>
      </c>
    </row>
    <row r="470">
      <c r="A470" s="3">
        <v>1109.0</v>
      </c>
      <c r="B470" s="3" t="b">
        <v>0</v>
      </c>
      <c r="C470" s="3" t="s">
        <v>23</v>
      </c>
      <c r="G470" s="3" t="s">
        <v>1358</v>
      </c>
      <c r="K470" s="3" t="b">
        <v>0</v>
      </c>
      <c r="L470" s="3" t="s">
        <v>1359</v>
      </c>
      <c r="N470" s="3" t="s">
        <v>1360</v>
      </c>
      <c r="S470" s="4" t="str">
        <f t="shared" si="1"/>
        <v>2016</v>
      </c>
    </row>
    <row r="471">
      <c r="A471" s="3">
        <v>1080.0</v>
      </c>
      <c r="B471" s="3" t="b">
        <v>0</v>
      </c>
      <c r="C471" s="3" t="s">
        <v>19</v>
      </c>
      <c r="D471" s="3">
        <v>2.0</v>
      </c>
      <c r="F471" s="3">
        <v>2.0</v>
      </c>
      <c r="G471" s="3" t="s">
        <v>1361</v>
      </c>
      <c r="K471" s="3" t="b">
        <v>1</v>
      </c>
      <c r="L471" s="3" t="s">
        <v>1362</v>
      </c>
      <c r="M471" s="3">
        <v>92.0</v>
      </c>
      <c r="N471" s="3" t="s">
        <v>1363</v>
      </c>
      <c r="S471" s="4" t="str">
        <f t="shared" si="1"/>
        <v>2016</v>
      </c>
    </row>
    <row r="472">
      <c r="A472" s="3">
        <v>850.0</v>
      </c>
      <c r="B472" s="3" t="b">
        <v>0</v>
      </c>
      <c r="C472" s="3" t="s">
        <v>87</v>
      </c>
      <c r="D472" s="3">
        <v>4.0</v>
      </c>
      <c r="E472" s="7">
        <v>2.0</v>
      </c>
      <c r="F472" s="3">
        <v>3.0</v>
      </c>
      <c r="G472" s="3" t="s">
        <v>1364</v>
      </c>
      <c r="J472" s="7">
        <v>3.0</v>
      </c>
      <c r="K472" s="3" t="b">
        <v>1</v>
      </c>
      <c r="L472" s="3" t="s">
        <v>909</v>
      </c>
      <c r="M472" s="3">
        <v>133.0</v>
      </c>
      <c r="N472" s="3" t="s">
        <v>1365</v>
      </c>
      <c r="P472" s="3">
        <v>3.0</v>
      </c>
      <c r="S472" s="4" t="str">
        <f t="shared" si="1"/>
        <v>2016</v>
      </c>
    </row>
    <row r="473">
      <c r="A473" s="3">
        <v>710.0</v>
      </c>
      <c r="B473" s="3" t="b">
        <v>0</v>
      </c>
      <c r="C473" s="3" t="s">
        <v>46</v>
      </c>
      <c r="G473" s="3" t="s">
        <v>1366</v>
      </c>
      <c r="K473" s="3" t="b">
        <v>1</v>
      </c>
      <c r="L473" s="3" t="s">
        <v>1234</v>
      </c>
      <c r="N473" s="3" t="s">
        <v>1367</v>
      </c>
      <c r="O473" s="7">
        <v>1.0</v>
      </c>
      <c r="P473" s="3">
        <v>5.0</v>
      </c>
      <c r="S473" s="4" t="str">
        <f t="shared" si="1"/>
        <v>2016</v>
      </c>
    </row>
    <row r="474">
      <c r="A474" s="3">
        <v>650.0</v>
      </c>
      <c r="B474" s="3" t="b">
        <v>0</v>
      </c>
      <c r="C474" s="3" t="s">
        <v>874</v>
      </c>
      <c r="G474" s="3" t="s">
        <v>1368</v>
      </c>
      <c r="K474" s="3" t="b">
        <v>0</v>
      </c>
      <c r="L474" s="3" t="s">
        <v>1369</v>
      </c>
      <c r="N474" s="3" t="s">
        <v>1370</v>
      </c>
      <c r="S474" s="4" t="str">
        <f t="shared" si="1"/>
        <v>2016</v>
      </c>
    </row>
    <row r="475">
      <c r="A475" s="3">
        <v>599.0</v>
      </c>
      <c r="B475" s="3" t="b">
        <v>0</v>
      </c>
      <c r="C475" s="3" t="s">
        <v>50</v>
      </c>
      <c r="D475" s="7">
        <v>3.0</v>
      </c>
      <c r="E475" s="7">
        <v>1.0</v>
      </c>
      <c r="F475" s="7">
        <v>10.0</v>
      </c>
      <c r="G475" s="3" t="s">
        <v>1371</v>
      </c>
      <c r="K475" s="3" t="b">
        <v>1</v>
      </c>
      <c r="L475" s="3" t="s">
        <v>1372</v>
      </c>
      <c r="M475" s="7">
        <v>174.0</v>
      </c>
      <c r="N475" s="3" t="s">
        <v>1373</v>
      </c>
      <c r="P475" s="7">
        <v>3.0</v>
      </c>
      <c r="S475" s="4" t="str">
        <f t="shared" si="1"/>
        <v>2016</v>
      </c>
    </row>
    <row r="476">
      <c r="A476" s="3">
        <v>554.0</v>
      </c>
      <c r="B476" s="3" t="b">
        <v>0</v>
      </c>
      <c r="C476" s="3" t="s">
        <v>69</v>
      </c>
      <c r="G476" s="3" t="s">
        <v>1374</v>
      </c>
      <c r="K476" s="3" t="b">
        <v>0</v>
      </c>
      <c r="L476" s="3" t="s">
        <v>1375</v>
      </c>
      <c r="N476" s="3" t="s">
        <v>1376</v>
      </c>
      <c r="S476" s="4" t="str">
        <f t="shared" si="1"/>
        <v>2016</v>
      </c>
    </row>
    <row r="477">
      <c r="A477" s="3">
        <v>550.0</v>
      </c>
      <c r="B477" s="3" t="b">
        <v>0</v>
      </c>
      <c r="C477" s="3" t="s">
        <v>87</v>
      </c>
      <c r="G477" s="3" t="s">
        <v>1377</v>
      </c>
      <c r="K477" s="3" t="b">
        <v>0</v>
      </c>
      <c r="L477" s="3" t="s">
        <v>1378</v>
      </c>
      <c r="N477" s="3" t="s">
        <v>1379</v>
      </c>
      <c r="S477" s="4" t="str">
        <f t="shared" si="1"/>
        <v>2016</v>
      </c>
    </row>
    <row r="478">
      <c r="A478" s="3">
        <v>518.0</v>
      </c>
      <c r="B478" s="3" t="b">
        <v>0</v>
      </c>
      <c r="C478" s="3" t="s">
        <v>69</v>
      </c>
      <c r="G478" s="3" t="s">
        <v>1380</v>
      </c>
      <c r="K478" s="3" t="b">
        <v>0</v>
      </c>
      <c r="L478" s="3" t="s">
        <v>1381</v>
      </c>
      <c r="N478" s="3" t="s">
        <v>1382</v>
      </c>
      <c r="S478" s="4" t="str">
        <f t="shared" si="1"/>
        <v>2016</v>
      </c>
    </row>
    <row r="479">
      <c r="A479" s="3">
        <v>464.0</v>
      </c>
      <c r="B479" s="3" t="b">
        <v>0</v>
      </c>
      <c r="C479" s="3" t="s">
        <v>54</v>
      </c>
      <c r="G479" s="3" t="s">
        <v>1383</v>
      </c>
      <c r="K479" s="3" t="b">
        <v>1</v>
      </c>
      <c r="L479" s="3" t="s">
        <v>1384</v>
      </c>
      <c r="N479" s="3" t="s">
        <v>1385</v>
      </c>
      <c r="S479" s="4" t="str">
        <f t="shared" si="1"/>
        <v>2016</v>
      </c>
    </row>
    <row r="480">
      <c r="A480" s="3">
        <v>450.0</v>
      </c>
      <c r="B480" s="3" t="b">
        <v>0</v>
      </c>
      <c r="C480" s="3" t="s">
        <v>411</v>
      </c>
      <c r="G480" s="3" t="s">
        <v>1386</v>
      </c>
      <c r="K480" s="3" t="b">
        <v>1</v>
      </c>
      <c r="L480" s="3" t="s">
        <v>879</v>
      </c>
      <c r="N480" s="3" t="s">
        <v>1387</v>
      </c>
      <c r="S480" s="4" t="str">
        <f t="shared" si="1"/>
        <v>2016</v>
      </c>
    </row>
    <row r="481">
      <c r="A481" s="3">
        <v>441.0</v>
      </c>
      <c r="B481" s="3" t="b">
        <v>0</v>
      </c>
      <c r="C481" s="3" t="s">
        <v>58</v>
      </c>
      <c r="D481" s="7">
        <v>10.0</v>
      </c>
      <c r="F481" s="7">
        <v>20.0</v>
      </c>
      <c r="G481" s="3" t="s">
        <v>1388</v>
      </c>
      <c r="J481" s="7">
        <v>1.0</v>
      </c>
      <c r="K481" s="3" t="b">
        <v>1</v>
      </c>
      <c r="L481" s="3" t="s">
        <v>424</v>
      </c>
      <c r="M481" s="7">
        <v>241.0</v>
      </c>
      <c r="N481" s="3" t="s">
        <v>1389</v>
      </c>
      <c r="P481" s="7">
        <v>1.0</v>
      </c>
      <c r="S481" s="4" t="str">
        <f t="shared" si="1"/>
        <v>2016</v>
      </c>
    </row>
    <row r="482">
      <c r="A482" s="3">
        <v>400.0</v>
      </c>
      <c r="B482" s="3" t="b">
        <v>0</v>
      </c>
      <c r="C482" s="3" t="s">
        <v>367</v>
      </c>
      <c r="G482" s="3" t="s">
        <v>1390</v>
      </c>
      <c r="K482" s="3" t="b">
        <v>0</v>
      </c>
      <c r="L482" s="3" t="s">
        <v>1391</v>
      </c>
      <c r="N482" s="3" t="s">
        <v>1392</v>
      </c>
      <c r="S482" s="4" t="str">
        <f t="shared" si="1"/>
        <v>2016</v>
      </c>
    </row>
    <row r="483">
      <c r="A483" s="3">
        <v>395.0</v>
      </c>
      <c r="B483" s="3" t="b">
        <v>0</v>
      </c>
      <c r="C483" s="3" t="s">
        <v>94</v>
      </c>
      <c r="G483" s="3" t="s">
        <v>1323</v>
      </c>
      <c r="K483" s="3" t="b">
        <v>0</v>
      </c>
      <c r="L483" s="3" t="s">
        <v>1393</v>
      </c>
      <c r="N483" s="3" t="s">
        <v>1394</v>
      </c>
      <c r="S483" s="4" t="str">
        <f t="shared" si="1"/>
        <v>2016</v>
      </c>
    </row>
    <row r="484">
      <c r="A484" s="3">
        <v>380.0</v>
      </c>
      <c r="B484" s="3" t="b">
        <v>0</v>
      </c>
      <c r="C484" s="3" t="s">
        <v>145</v>
      </c>
      <c r="G484" s="3" t="s">
        <v>1395</v>
      </c>
      <c r="K484" s="3" t="b">
        <v>0</v>
      </c>
      <c r="L484" s="3" t="s">
        <v>1396</v>
      </c>
      <c r="N484" s="3" t="s">
        <v>1397</v>
      </c>
      <c r="S484" s="4" t="str">
        <f t="shared" si="1"/>
        <v>2016</v>
      </c>
    </row>
    <row r="485">
      <c r="A485" s="3">
        <v>372.0</v>
      </c>
      <c r="B485" s="3" t="b">
        <v>0</v>
      </c>
      <c r="C485" s="3" t="s">
        <v>324</v>
      </c>
      <c r="G485" s="3" t="s">
        <v>1398</v>
      </c>
      <c r="K485" s="3" t="b">
        <v>0</v>
      </c>
      <c r="L485" s="3" t="s">
        <v>122</v>
      </c>
      <c r="N485" s="3" t="s">
        <v>1399</v>
      </c>
      <c r="S485" s="4" t="str">
        <f t="shared" si="1"/>
        <v>2016</v>
      </c>
    </row>
    <row r="486">
      <c r="A486" s="3">
        <v>360.0</v>
      </c>
      <c r="B486" s="3" t="b">
        <v>0</v>
      </c>
      <c r="C486" s="3" t="s">
        <v>54</v>
      </c>
      <c r="D486" s="7">
        <v>6.0</v>
      </c>
      <c r="E486" s="7">
        <v>2.0</v>
      </c>
      <c r="F486" s="7">
        <v>12.0</v>
      </c>
      <c r="G486" s="3" t="s">
        <v>1400</v>
      </c>
      <c r="I486" s="7">
        <v>2.0</v>
      </c>
      <c r="K486" s="3" t="b">
        <v>1</v>
      </c>
      <c r="L486" s="3" t="s">
        <v>1401</v>
      </c>
      <c r="M486" s="7">
        <v>168.0</v>
      </c>
      <c r="N486" s="3" t="s">
        <v>1402</v>
      </c>
      <c r="S486" s="4" t="str">
        <f t="shared" si="1"/>
        <v>2016</v>
      </c>
    </row>
    <row r="487">
      <c r="A487" s="3">
        <v>341.0</v>
      </c>
      <c r="B487" s="3" t="b">
        <v>0</v>
      </c>
      <c r="C487" s="3" t="s">
        <v>411</v>
      </c>
      <c r="G487" s="3" t="s">
        <v>1403</v>
      </c>
      <c r="K487" s="3" t="b">
        <v>0</v>
      </c>
      <c r="L487" s="3" t="s">
        <v>979</v>
      </c>
      <c r="N487" s="3" t="s">
        <v>1404</v>
      </c>
      <c r="S487" s="4" t="str">
        <f t="shared" si="1"/>
        <v>2016</v>
      </c>
    </row>
    <row r="488">
      <c r="A488" s="3">
        <v>310.0</v>
      </c>
      <c r="B488" s="3" t="b">
        <v>0</v>
      </c>
      <c r="C488" s="3" t="s">
        <v>411</v>
      </c>
      <c r="G488" s="3" t="s">
        <v>1405</v>
      </c>
      <c r="K488" s="3" t="b">
        <v>0</v>
      </c>
      <c r="L488" s="3" t="s">
        <v>1406</v>
      </c>
      <c r="N488" s="3" t="s">
        <v>1407</v>
      </c>
      <c r="S488" s="4" t="str">
        <f t="shared" si="1"/>
        <v>2016</v>
      </c>
    </row>
    <row r="489">
      <c r="A489" s="3">
        <v>306.0</v>
      </c>
      <c r="B489" s="3" t="b">
        <v>0</v>
      </c>
      <c r="C489" s="3" t="s">
        <v>69</v>
      </c>
      <c r="G489" s="3" t="s">
        <v>1408</v>
      </c>
      <c r="K489" s="3" t="b">
        <v>0</v>
      </c>
      <c r="L489" s="3" t="s">
        <v>1015</v>
      </c>
      <c r="N489" s="3" t="s">
        <v>1409</v>
      </c>
      <c r="S489" s="4" t="str">
        <f t="shared" si="1"/>
        <v>2016</v>
      </c>
    </row>
    <row r="490">
      <c r="A490" s="3">
        <v>304.0</v>
      </c>
      <c r="B490" s="3" t="b">
        <v>0</v>
      </c>
      <c r="C490" s="3" t="s">
        <v>69</v>
      </c>
      <c r="G490" s="3" t="s">
        <v>1410</v>
      </c>
      <c r="K490" s="3" t="b">
        <v>0</v>
      </c>
      <c r="L490" s="3" t="s">
        <v>1411</v>
      </c>
      <c r="N490" s="3" t="s">
        <v>1410</v>
      </c>
      <c r="S490" s="4" t="str">
        <f t="shared" si="1"/>
        <v>2016</v>
      </c>
    </row>
    <row r="491">
      <c r="A491" s="3">
        <v>300.0</v>
      </c>
      <c r="B491" s="3" t="b">
        <v>0</v>
      </c>
      <c r="C491" s="3" t="s">
        <v>1412</v>
      </c>
      <c r="G491" s="3" t="s">
        <v>1413</v>
      </c>
      <c r="K491" s="3" t="b">
        <v>0</v>
      </c>
      <c r="L491" s="3" t="s">
        <v>348</v>
      </c>
      <c r="N491" s="3" t="s">
        <v>1414</v>
      </c>
      <c r="S491" s="4" t="str">
        <f t="shared" si="1"/>
        <v>2016</v>
      </c>
    </row>
    <row r="492">
      <c r="A492" s="3">
        <v>278.0</v>
      </c>
      <c r="B492" s="3" t="b">
        <v>0</v>
      </c>
      <c r="C492" s="3" t="s">
        <v>39</v>
      </c>
      <c r="G492" s="3" t="s">
        <v>1415</v>
      </c>
      <c r="K492" s="3" t="b">
        <v>0</v>
      </c>
      <c r="L492" s="3" t="s">
        <v>1416</v>
      </c>
      <c r="N492" s="3" t="s">
        <v>1417</v>
      </c>
      <c r="S492" s="4" t="str">
        <f t="shared" si="1"/>
        <v>2016</v>
      </c>
    </row>
    <row r="493">
      <c r="A493" s="3">
        <v>277.0</v>
      </c>
      <c r="B493" s="3" t="b">
        <v>0</v>
      </c>
      <c r="C493" s="3" t="s">
        <v>240</v>
      </c>
      <c r="G493" s="3" t="s">
        <v>1418</v>
      </c>
      <c r="K493" s="3" t="b">
        <v>0</v>
      </c>
      <c r="L493" s="3" t="s">
        <v>329</v>
      </c>
      <c r="N493" s="3" t="s">
        <v>1419</v>
      </c>
      <c r="S493" s="4" t="str">
        <f t="shared" si="1"/>
        <v>2016</v>
      </c>
    </row>
    <row r="494">
      <c r="A494" s="3">
        <v>248.0</v>
      </c>
      <c r="B494" s="3" t="b">
        <v>0</v>
      </c>
      <c r="C494" s="3" t="s">
        <v>138</v>
      </c>
      <c r="G494" s="3" t="s">
        <v>1420</v>
      </c>
      <c r="K494" s="3" t="b">
        <v>0</v>
      </c>
      <c r="L494" s="3" t="s">
        <v>1421</v>
      </c>
      <c r="N494" s="3" t="s">
        <v>1422</v>
      </c>
      <c r="S494" s="4" t="str">
        <f t="shared" si="1"/>
        <v>2016</v>
      </c>
    </row>
    <row r="495">
      <c r="A495" s="3">
        <v>237.0</v>
      </c>
      <c r="B495" s="3" t="b">
        <v>0</v>
      </c>
      <c r="C495" s="3" t="s">
        <v>170</v>
      </c>
      <c r="G495" s="3" t="s">
        <v>1423</v>
      </c>
      <c r="K495" s="3" t="b">
        <v>1</v>
      </c>
      <c r="L495" s="3" t="s">
        <v>521</v>
      </c>
      <c r="N495" s="3" t="s">
        <v>1424</v>
      </c>
      <c r="P495" s="7">
        <v>2.0</v>
      </c>
      <c r="S495" s="4" t="str">
        <f t="shared" si="1"/>
        <v>2016</v>
      </c>
    </row>
    <row r="496">
      <c r="A496" s="3">
        <v>221.0</v>
      </c>
      <c r="B496" s="3" t="b">
        <v>0</v>
      </c>
      <c r="C496" s="3" t="s">
        <v>69</v>
      </c>
      <c r="G496" s="3" t="s">
        <v>1425</v>
      </c>
      <c r="K496" s="3" t="b">
        <v>0</v>
      </c>
      <c r="L496" s="3" t="s">
        <v>1426</v>
      </c>
      <c r="N496" s="3" t="s">
        <v>1427</v>
      </c>
      <c r="S496" s="4" t="str">
        <f t="shared" si="1"/>
        <v>2016</v>
      </c>
    </row>
    <row r="497">
      <c r="A497" s="3">
        <v>215.0</v>
      </c>
      <c r="B497" s="3" t="b">
        <v>0</v>
      </c>
      <c r="C497" s="3" t="s">
        <v>97</v>
      </c>
      <c r="G497" s="3" t="s">
        <v>1277</v>
      </c>
      <c r="K497" s="3" t="b">
        <v>0</v>
      </c>
      <c r="L497" s="3" t="s">
        <v>1255</v>
      </c>
      <c r="N497" s="3" t="s">
        <v>1428</v>
      </c>
      <c r="S497" s="4" t="str">
        <f t="shared" si="1"/>
        <v>2016</v>
      </c>
    </row>
    <row r="498">
      <c r="A498" s="3">
        <v>215.0</v>
      </c>
      <c r="B498" s="3" t="b">
        <v>0</v>
      </c>
      <c r="C498" s="3" t="s">
        <v>186</v>
      </c>
      <c r="D498" s="7">
        <v>14.0</v>
      </c>
      <c r="E498" s="7">
        <v>7.0</v>
      </c>
      <c r="F498" s="7">
        <v>25.0</v>
      </c>
      <c r="G498" s="3" t="s">
        <v>1429</v>
      </c>
      <c r="I498" s="7">
        <v>2.0</v>
      </c>
      <c r="K498" s="3" t="b">
        <v>1</v>
      </c>
      <c r="L498" s="3" t="s">
        <v>1430</v>
      </c>
      <c r="M498" s="7">
        <v>350.0</v>
      </c>
      <c r="N498" s="3" t="s">
        <v>1431</v>
      </c>
      <c r="S498" s="4" t="str">
        <f t="shared" si="1"/>
        <v>2016</v>
      </c>
    </row>
    <row r="499">
      <c r="A499" s="3">
        <v>211.0</v>
      </c>
      <c r="B499" s="3" t="b">
        <v>0</v>
      </c>
      <c r="C499" s="3" t="s">
        <v>205</v>
      </c>
      <c r="G499" s="3" t="s">
        <v>1432</v>
      </c>
      <c r="K499" s="3" t="b">
        <v>0</v>
      </c>
      <c r="L499" s="3" t="s">
        <v>406</v>
      </c>
      <c r="N499" s="3" t="s">
        <v>1433</v>
      </c>
      <c r="S499" s="4" t="str">
        <f t="shared" si="1"/>
        <v>2016</v>
      </c>
    </row>
    <row r="500">
      <c r="A500" s="3">
        <v>210.0</v>
      </c>
      <c r="B500" s="3" t="b">
        <v>0</v>
      </c>
      <c r="C500" s="3" t="s">
        <v>324</v>
      </c>
      <c r="G500" s="3" t="s">
        <v>1434</v>
      </c>
      <c r="K500" s="3" t="b">
        <v>1</v>
      </c>
      <c r="L500" s="3" t="s">
        <v>1435</v>
      </c>
      <c r="N500" s="3" t="s">
        <v>1436</v>
      </c>
      <c r="S500" s="4" t="str">
        <f t="shared" si="1"/>
        <v>2016</v>
      </c>
    </row>
    <row r="501">
      <c r="A501" s="3">
        <v>188.0</v>
      </c>
      <c r="B501" s="3" t="b">
        <v>0</v>
      </c>
      <c r="C501" s="3" t="s">
        <v>39</v>
      </c>
      <c r="G501" s="3" t="s">
        <v>1437</v>
      </c>
      <c r="K501" s="3" t="b">
        <v>0</v>
      </c>
      <c r="L501" s="3" t="s">
        <v>1438</v>
      </c>
      <c r="N501" s="3" t="s">
        <v>1439</v>
      </c>
      <c r="S501" s="4" t="str">
        <f t="shared" si="1"/>
        <v>2016</v>
      </c>
    </row>
    <row r="502">
      <c r="A502" s="3">
        <v>176.0</v>
      </c>
      <c r="B502" s="3" t="b">
        <v>0</v>
      </c>
      <c r="C502" s="3" t="s">
        <v>130</v>
      </c>
      <c r="G502" s="3" t="s">
        <v>1440</v>
      </c>
      <c r="K502" s="3" t="b">
        <v>1</v>
      </c>
      <c r="L502" s="3" t="s">
        <v>1441</v>
      </c>
      <c r="N502" s="3" t="s">
        <v>1442</v>
      </c>
      <c r="S502" s="4" t="str">
        <f t="shared" si="1"/>
        <v>2016</v>
      </c>
    </row>
    <row r="503">
      <c r="A503" s="3">
        <v>173.0</v>
      </c>
      <c r="B503" s="3" t="b">
        <v>0</v>
      </c>
      <c r="C503" s="3" t="s">
        <v>27</v>
      </c>
      <c r="G503" s="3" t="s">
        <v>1443</v>
      </c>
      <c r="K503" s="3" t="b">
        <v>0</v>
      </c>
      <c r="L503" s="3" t="s">
        <v>1444</v>
      </c>
      <c r="N503" s="3" t="s">
        <v>1445</v>
      </c>
      <c r="S503" s="4" t="str">
        <f t="shared" si="1"/>
        <v>2016</v>
      </c>
    </row>
    <row r="504">
      <c r="A504" s="3">
        <v>169.0</v>
      </c>
      <c r="B504" s="3" t="b">
        <v>0</v>
      </c>
      <c r="C504" s="3" t="s">
        <v>31</v>
      </c>
      <c r="G504" s="3" t="s">
        <v>1446</v>
      </c>
      <c r="K504" s="3" t="b">
        <v>0</v>
      </c>
      <c r="L504" s="3" t="s">
        <v>1447</v>
      </c>
      <c r="N504" s="3" t="s">
        <v>1448</v>
      </c>
      <c r="S504" s="4" t="str">
        <f t="shared" si="1"/>
        <v>2016</v>
      </c>
    </row>
    <row r="505">
      <c r="A505" s="3">
        <v>158.0</v>
      </c>
      <c r="B505" s="3" t="b">
        <v>0</v>
      </c>
      <c r="C505" s="3" t="s">
        <v>39</v>
      </c>
      <c r="G505" s="3" t="s">
        <v>1449</v>
      </c>
      <c r="K505" s="3" t="b">
        <v>1</v>
      </c>
      <c r="L505" s="3" t="s">
        <v>1450</v>
      </c>
      <c r="N505" s="3" t="s">
        <v>1451</v>
      </c>
      <c r="S505" s="4" t="str">
        <f t="shared" si="1"/>
        <v>2016</v>
      </c>
    </row>
    <row r="506">
      <c r="A506" s="3">
        <v>156.0</v>
      </c>
      <c r="B506" s="3" t="b">
        <v>0</v>
      </c>
      <c r="C506" s="3" t="s">
        <v>23</v>
      </c>
      <c r="G506" s="3" t="s">
        <v>1452</v>
      </c>
      <c r="K506" s="3" t="b">
        <v>0</v>
      </c>
      <c r="L506" s="3" t="s">
        <v>1453</v>
      </c>
      <c r="N506" s="3" t="s">
        <v>1454</v>
      </c>
      <c r="S506" s="4" t="str">
        <f t="shared" si="1"/>
        <v>2016</v>
      </c>
    </row>
    <row r="507">
      <c r="A507" s="3">
        <v>151.0</v>
      </c>
      <c r="B507" s="3" t="b">
        <v>0</v>
      </c>
      <c r="C507" s="3" t="s">
        <v>39</v>
      </c>
      <c r="G507" s="3" t="s">
        <v>1455</v>
      </c>
      <c r="K507" s="3" t="b">
        <v>0</v>
      </c>
      <c r="L507" s="3" t="s">
        <v>1456</v>
      </c>
      <c r="N507" s="3" t="s">
        <v>1457</v>
      </c>
      <c r="S507" s="4" t="str">
        <f t="shared" si="1"/>
        <v>2016</v>
      </c>
    </row>
    <row r="508">
      <c r="A508" s="3">
        <v>150.0</v>
      </c>
      <c r="B508" s="3" t="b">
        <v>0</v>
      </c>
      <c r="C508" s="3" t="s">
        <v>856</v>
      </c>
      <c r="G508" s="3" t="s">
        <v>1458</v>
      </c>
      <c r="K508" s="3" t="b">
        <v>0</v>
      </c>
      <c r="L508" s="3" t="s">
        <v>1459</v>
      </c>
      <c r="N508" s="3" t="s">
        <v>1460</v>
      </c>
      <c r="S508" s="4" t="str">
        <f t="shared" si="1"/>
        <v>2016</v>
      </c>
    </row>
    <row r="509">
      <c r="A509" s="3">
        <v>150.0</v>
      </c>
      <c r="B509" s="3" t="b">
        <v>0</v>
      </c>
      <c r="C509" s="3" t="s">
        <v>435</v>
      </c>
      <c r="G509" s="3" t="s">
        <v>1461</v>
      </c>
      <c r="K509" s="3" t="b">
        <v>0</v>
      </c>
      <c r="L509" s="3" t="s">
        <v>1462</v>
      </c>
      <c r="N509" s="3" t="s">
        <v>1463</v>
      </c>
      <c r="S509" s="4" t="str">
        <f t="shared" si="1"/>
        <v>2016</v>
      </c>
    </row>
    <row r="510">
      <c r="A510" s="3">
        <v>150.0</v>
      </c>
      <c r="B510" s="3" t="b">
        <v>0</v>
      </c>
      <c r="C510" s="3" t="s">
        <v>149</v>
      </c>
      <c r="G510" s="3" t="s">
        <v>1464</v>
      </c>
      <c r="K510" s="3" t="b">
        <v>0</v>
      </c>
      <c r="L510" s="3" t="s">
        <v>1465</v>
      </c>
      <c r="N510" s="3" t="s">
        <v>1466</v>
      </c>
      <c r="S510" s="4" t="str">
        <f t="shared" si="1"/>
        <v>2016</v>
      </c>
    </row>
    <row r="511">
      <c r="A511" s="3">
        <v>147.0</v>
      </c>
      <c r="B511" s="3" t="b">
        <v>0</v>
      </c>
      <c r="C511" s="3" t="s">
        <v>179</v>
      </c>
      <c r="G511" s="3" t="s">
        <v>1467</v>
      </c>
      <c r="K511" s="3" t="b">
        <v>0</v>
      </c>
      <c r="L511" s="3" t="s">
        <v>1468</v>
      </c>
      <c r="N511" s="3" t="s">
        <v>1469</v>
      </c>
      <c r="S511" s="4" t="str">
        <f t="shared" si="1"/>
        <v>2016</v>
      </c>
    </row>
    <row r="512">
      <c r="A512" s="3">
        <v>145.0</v>
      </c>
      <c r="B512" s="3" t="b">
        <v>0</v>
      </c>
      <c r="C512" s="3" t="s">
        <v>39</v>
      </c>
      <c r="G512" s="3" t="s">
        <v>1470</v>
      </c>
      <c r="K512" s="3" t="b">
        <v>0</v>
      </c>
      <c r="L512" s="3" t="s">
        <v>1471</v>
      </c>
      <c r="N512" s="3" t="s">
        <v>1472</v>
      </c>
      <c r="S512" s="4" t="str">
        <f t="shared" si="1"/>
        <v>2016</v>
      </c>
    </row>
    <row r="513">
      <c r="A513" s="3">
        <v>140.0</v>
      </c>
      <c r="B513" s="3" t="b">
        <v>0</v>
      </c>
      <c r="C513" s="3" t="s">
        <v>260</v>
      </c>
      <c r="G513" s="3" t="s">
        <v>1473</v>
      </c>
      <c r="K513" s="3" t="b">
        <v>0</v>
      </c>
      <c r="L513" s="3" t="s">
        <v>1474</v>
      </c>
      <c r="N513" s="3" t="s">
        <v>1475</v>
      </c>
      <c r="S513" s="4" t="str">
        <f t="shared" si="1"/>
        <v>2016</v>
      </c>
    </row>
    <row r="514">
      <c r="A514" s="3">
        <v>139.0</v>
      </c>
      <c r="B514" s="3" t="b">
        <v>0</v>
      </c>
      <c r="C514" s="3" t="s">
        <v>27</v>
      </c>
      <c r="G514" s="3" t="s">
        <v>1476</v>
      </c>
      <c r="J514" s="7">
        <v>1.0</v>
      </c>
      <c r="K514" s="3" t="b">
        <v>1</v>
      </c>
      <c r="L514" s="3" t="s">
        <v>1477</v>
      </c>
      <c r="N514" s="3" t="s">
        <v>1478</v>
      </c>
      <c r="S514" s="4" t="str">
        <f t="shared" si="1"/>
        <v>2016</v>
      </c>
    </row>
    <row r="515">
      <c r="A515" s="3">
        <v>138.0</v>
      </c>
      <c r="B515" s="3" t="b">
        <v>0</v>
      </c>
      <c r="C515" s="3" t="s">
        <v>69</v>
      </c>
      <c r="G515" s="3" t="s">
        <v>1479</v>
      </c>
      <c r="K515" s="3" t="b">
        <v>0</v>
      </c>
      <c r="L515" s="3" t="s">
        <v>1480</v>
      </c>
      <c r="N515" s="3" t="s">
        <v>1481</v>
      </c>
      <c r="S515" s="4" t="str">
        <f t="shared" si="1"/>
        <v>2016</v>
      </c>
    </row>
    <row r="516">
      <c r="A516" s="3">
        <v>132.0</v>
      </c>
      <c r="B516" s="3" t="b">
        <v>0</v>
      </c>
      <c r="C516" s="3" t="s">
        <v>39</v>
      </c>
      <c r="G516" s="3" t="s">
        <v>1482</v>
      </c>
      <c r="K516" s="3" t="b">
        <v>0</v>
      </c>
      <c r="L516" s="3" t="s">
        <v>1483</v>
      </c>
      <c r="N516" s="3" t="s">
        <v>1484</v>
      </c>
      <c r="S516" s="4" t="str">
        <f t="shared" si="1"/>
        <v>2016</v>
      </c>
    </row>
    <row r="517">
      <c r="A517" s="3">
        <v>130.0</v>
      </c>
      <c r="B517" s="3" t="b">
        <v>0</v>
      </c>
      <c r="C517" s="3" t="s">
        <v>87</v>
      </c>
      <c r="G517" s="3" t="s">
        <v>1485</v>
      </c>
      <c r="K517" s="3" t="b">
        <v>0</v>
      </c>
      <c r="L517" s="3" t="s">
        <v>1486</v>
      </c>
      <c r="N517" s="3" t="s">
        <v>1487</v>
      </c>
      <c r="S517" s="4" t="str">
        <f t="shared" si="1"/>
        <v>2016</v>
      </c>
    </row>
    <row r="518">
      <c r="A518" s="3">
        <v>123.0</v>
      </c>
      <c r="B518" s="3" t="b">
        <v>0</v>
      </c>
      <c r="C518" s="3" t="s">
        <v>39</v>
      </c>
      <c r="G518" s="3" t="s">
        <v>1488</v>
      </c>
      <c r="K518" s="3" t="b">
        <v>1</v>
      </c>
      <c r="L518" s="3" t="s">
        <v>1489</v>
      </c>
      <c r="N518" s="3" t="s">
        <v>1490</v>
      </c>
      <c r="S518" s="4" t="str">
        <f t="shared" si="1"/>
        <v>2016</v>
      </c>
    </row>
    <row r="519">
      <c r="A519" s="3">
        <v>122.0</v>
      </c>
      <c r="B519" s="3" t="b">
        <v>0</v>
      </c>
      <c r="C519" s="3" t="s">
        <v>874</v>
      </c>
      <c r="G519" s="3" t="s">
        <v>1491</v>
      </c>
      <c r="K519" s="3" t="b">
        <v>0</v>
      </c>
      <c r="L519" s="3" t="s">
        <v>1492</v>
      </c>
      <c r="N519" s="3" t="s">
        <v>1493</v>
      </c>
      <c r="S519" s="4" t="str">
        <f t="shared" si="1"/>
        <v>2016</v>
      </c>
    </row>
    <row r="520">
      <c r="A520" s="3">
        <v>120.0</v>
      </c>
      <c r="B520" s="3" t="b">
        <v>0</v>
      </c>
      <c r="C520" s="3" t="s">
        <v>260</v>
      </c>
      <c r="G520" s="3" t="s">
        <v>1494</v>
      </c>
      <c r="K520" s="3" t="b">
        <v>0</v>
      </c>
      <c r="L520" s="3" t="s">
        <v>1495</v>
      </c>
      <c r="N520" s="3" t="s">
        <v>1496</v>
      </c>
      <c r="S520" s="4" t="str">
        <f t="shared" si="1"/>
        <v>2016</v>
      </c>
    </row>
    <row r="521">
      <c r="A521" s="3">
        <v>114.0</v>
      </c>
      <c r="B521" s="3" t="b">
        <v>0</v>
      </c>
      <c r="C521" s="3" t="s">
        <v>401</v>
      </c>
      <c r="G521" s="3" t="s">
        <v>1497</v>
      </c>
      <c r="K521" s="3" t="b">
        <v>0</v>
      </c>
      <c r="L521" s="3" t="s">
        <v>223</v>
      </c>
      <c r="N521" s="3" t="s">
        <v>1498</v>
      </c>
      <c r="S521" s="4" t="str">
        <f t="shared" si="1"/>
        <v>2016</v>
      </c>
    </row>
    <row r="522">
      <c r="A522" s="3">
        <v>112.0</v>
      </c>
      <c r="B522" s="3" t="b">
        <v>0</v>
      </c>
      <c r="C522" s="3" t="s">
        <v>87</v>
      </c>
      <c r="G522" s="3" t="s">
        <v>1499</v>
      </c>
      <c r="K522" s="3" t="b">
        <v>0</v>
      </c>
      <c r="L522" s="3" t="s">
        <v>1500</v>
      </c>
      <c r="N522" s="3" t="s">
        <v>1501</v>
      </c>
      <c r="S522" s="4" t="str">
        <f t="shared" si="1"/>
        <v>2016</v>
      </c>
    </row>
    <row r="523">
      <c r="A523" s="3">
        <v>103.0</v>
      </c>
      <c r="B523" s="3" t="b">
        <v>0</v>
      </c>
      <c r="C523" s="3" t="s">
        <v>156</v>
      </c>
      <c r="G523" s="3" t="s">
        <v>1502</v>
      </c>
      <c r="K523" s="3" t="b">
        <v>0</v>
      </c>
      <c r="L523" s="3" t="s">
        <v>1503</v>
      </c>
      <c r="N523" s="3" t="s">
        <v>1504</v>
      </c>
      <c r="S523" s="4" t="str">
        <f t="shared" si="1"/>
        <v>2016</v>
      </c>
    </row>
    <row r="524">
      <c r="A524" s="3">
        <v>100.0</v>
      </c>
      <c r="B524" s="3" t="b">
        <v>0</v>
      </c>
      <c r="C524" s="3" t="s">
        <v>58</v>
      </c>
      <c r="G524" s="3" t="s">
        <v>1505</v>
      </c>
      <c r="K524" s="3" t="b">
        <v>0</v>
      </c>
      <c r="L524" s="3" t="s">
        <v>1506</v>
      </c>
      <c r="N524" s="3" t="s">
        <v>1507</v>
      </c>
      <c r="S524" s="4" t="str">
        <f t="shared" si="1"/>
        <v>2016</v>
      </c>
    </row>
    <row r="525">
      <c r="A525" s="3">
        <v>100.0</v>
      </c>
      <c r="B525" s="3" t="b">
        <v>0</v>
      </c>
      <c r="C525" s="3" t="s">
        <v>401</v>
      </c>
      <c r="G525" s="3" t="s">
        <v>1508</v>
      </c>
      <c r="K525" s="3" t="b">
        <v>0</v>
      </c>
      <c r="L525" s="3" t="s">
        <v>1509</v>
      </c>
      <c r="N525" s="3" t="s">
        <v>1510</v>
      </c>
      <c r="S525" s="4" t="str">
        <f t="shared" si="1"/>
        <v>2016</v>
      </c>
    </row>
    <row r="526">
      <c r="A526" s="3">
        <v>100.0</v>
      </c>
      <c r="B526" s="3" t="b">
        <v>0</v>
      </c>
      <c r="C526" s="3" t="s">
        <v>69</v>
      </c>
      <c r="G526" s="3" t="s">
        <v>1511</v>
      </c>
      <c r="K526" s="3" t="b">
        <v>0</v>
      </c>
      <c r="L526" s="3" t="s">
        <v>1512</v>
      </c>
      <c r="N526" s="3" t="s">
        <v>1513</v>
      </c>
      <c r="S526" s="4" t="str">
        <f t="shared" si="1"/>
        <v>2016</v>
      </c>
    </row>
    <row r="527">
      <c r="A527" s="3">
        <v>100.0</v>
      </c>
      <c r="B527" s="3" t="b">
        <v>0</v>
      </c>
      <c r="C527" s="3" t="s">
        <v>260</v>
      </c>
      <c r="G527" s="3" t="s">
        <v>1514</v>
      </c>
      <c r="K527" s="3" t="b">
        <v>0</v>
      </c>
      <c r="L527" s="3" t="s">
        <v>262</v>
      </c>
      <c r="N527" s="3" t="s">
        <v>1515</v>
      </c>
      <c r="S527" s="4" t="str">
        <f t="shared" si="1"/>
        <v>2016</v>
      </c>
    </row>
    <row r="528">
      <c r="A528" s="3">
        <v>100.0</v>
      </c>
      <c r="B528" s="3" t="b">
        <v>0</v>
      </c>
      <c r="C528" s="3" t="s">
        <v>114</v>
      </c>
      <c r="G528" s="3" t="s">
        <v>1516</v>
      </c>
      <c r="K528" s="3" t="b">
        <v>0</v>
      </c>
      <c r="L528" s="3" t="s">
        <v>1517</v>
      </c>
      <c r="N528" s="3" t="s">
        <v>1518</v>
      </c>
      <c r="S528" s="4" t="str">
        <f t="shared" si="1"/>
        <v>2016</v>
      </c>
    </row>
    <row r="529">
      <c r="A529" s="3">
        <v>100.0</v>
      </c>
      <c r="B529" s="3" t="b">
        <v>0</v>
      </c>
      <c r="C529" s="3" t="s">
        <v>62</v>
      </c>
      <c r="G529" s="3" t="s">
        <v>1519</v>
      </c>
      <c r="K529" s="3" t="b">
        <v>0</v>
      </c>
      <c r="L529" s="3" t="s">
        <v>1520</v>
      </c>
      <c r="N529" s="3" t="s">
        <v>1521</v>
      </c>
      <c r="S529" s="4" t="str">
        <f t="shared" si="1"/>
        <v>2016</v>
      </c>
    </row>
    <row r="530">
      <c r="A530" s="3">
        <v>95.0</v>
      </c>
      <c r="B530" s="3" t="b">
        <v>0</v>
      </c>
      <c r="C530" s="3" t="s">
        <v>170</v>
      </c>
      <c r="G530" s="3" t="s">
        <v>1522</v>
      </c>
      <c r="K530" s="3" t="b">
        <v>0</v>
      </c>
      <c r="L530" s="3" t="s">
        <v>1523</v>
      </c>
      <c r="N530" s="3" t="s">
        <v>1524</v>
      </c>
      <c r="S530" s="4" t="str">
        <f t="shared" si="1"/>
        <v>2016</v>
      </c>
    </row>
    <row r="531">
      <c r="A531" s="3">
        <v>91.0</v>
      </c>
      <c r="B531" s="3" t="b">
        <v>0</v>
      </c>
      <c r="C531" s="3" t="s">
        <v>87</v>
      </c>
      <c r="G531" s="3" t="s">
        <v>1525</v>
      </c>
      <c r="K531" s="3" t="b">
        <v>0</v>
      </c>
      <c r="L531" s="3" t="s">
        <v>1526</v>
      </c>
      <c r="N531" s="3" t="s">
        <v>1527</v>
      </c>
      <c r="S531" s="4" t="str">
        <f t="shared" si="1"/>
        <v>2016</v>
      </c>
    </row>
    <row r="532">
      <c r="A532" s="3">
        <v>88.0</v>
      </c>
      <c r="B532" s="3" t="b">
        <v>0</v>
      </c>
      <c r="C532" s="3" t="s">
        <v>87</v>
      </c>
      <c r="G532" s="3" t="s">
        <v>1528</v>
      </c>
      <c r="K532" s="3" t="b">
        <v>1</v>
      </c>
      <c r="L532" s="3" t="s">
        <v>1529</v>
      </c>
      <c r="N532" s="3" t="s">
        <v>1530</v>
      </c>
      <c r="S532" s="4" t="str">
        <f t="shared" si="1"/>
        <v>2016</v>
      </c>
    </row>
    <row r="533">
      <c r="A533" s="3">
        <v>88.0</v>
      </c>
      <c r="B533" s="3" t="b">
        <v>0</v>
      </c>
      <c r="C533" s="3" t="s">
        <v>54</v>
      </c>
      <c r="G533" s="3" t="s">
        <v>1531</v>
      </c>
      <c r="K533" s="3" t="b">
        <v>0</v>
      </c>
      <c r="L533" s="3" t="s">
        <v>1532</v>
      </c>
      <c r="N533" s="3" t="s">
        <v>1533</v>
      </c>
      <c r="S533" s="4" t="str">
        <f t="shared" si="1"/>
        <v>2016</v>
      </c>
    </row>
    <row r="534">
      <c r="A534" s="3">
        <v>88.0</v>
      </c>
      <c r="B534" s="3" t="b">
        <v>0</v>
      </c>
      <c r="C534" s="3" t="s">
        <v>31</v>
      </c>
      <c r="G534" s="3" t="s">
        <v>1534</v>
      </c>
      <c r="K534" s="3" t="b">
        <v>0</v>
      </c>
      <c r="L534" s="3" t="s">
        <v>1535</v>
      </c>
      <c r="N534" s="3" t="s">
        <v>1536</v>
      </c>
      <c r="S534" s="4" t="str">
        <f t="shared" si="1"/>
        <v>2016</v>
      </c>
    </row>
    <row r="535">
      <c r="A535" s="3">
        <v>87.0</v>
      </c>
      <c r="B535" s="3" t="b">
        <v>0</v>
      </c>
      <c r="C535" s="3" t="s">
        <v>247</v>
      </c>
      <c r="G535" s="3" t="s">
        <v>1537</v>
      </c>
      <c r="K535" s="3" t="b">
        <v>0</v>
      </c>
      <c r="L535" s="3" t="s">
        <v>1538</v>
      </c>
      <c r="N535" s="3" t="s">
        <v>1539</v>
      </c>
      <c r="S535" s="4" t="str">
        <f t="shared" si="1"/>
        <v>2016</v>
      </c>
    </row>
    <row r="536">
      <c r="A536" s="3">
        <v>86.0</v>
      </c>
      <c r="B536" s="3" t="b">
        <v>0</v>
      </c>
      <c r="C536" s="3" t="s">
        <v>149</v>
      </c>
      <c r="G536" s="3" t="s">
        <v>1540</v>
      </c>
      <c r="K536" s="3" t="b">
        <v>0</v>
      </c>
      <c r="L536" s="3" t="s">
        <v>1541</v>
      </c>
      <c r="N536" s="3" t="s">
        <v>1542</v>
      </c>
      <c r="S536" s="4" t="str">
        <f t="shared" si="1"/>
        <v>2016</v>
      </c>
    </row>
    <row r="537">
      <c r="A537" s="3">
        <v>85.0</v>
      </c>
      <c r="B537" s="3" t="b">
        <v>0</v>
      </c>
      <c r="C537" s="3" t="s">
        <v>156</v>
      </c>
      <c r="G537" s="3" t="s">
        <v>1543</v>
      </c>
      <c r="K537" s="3" t="b">
        <v>0</v>
      </c>
      <c r="L537" s="3" t="s">
        <v>1544</v>
      </c>
      <c r="N537" s="3" t="s">
        <v>1545</v>
      </c>
      <c r="S537" s="4" t="str">
        <f t="shared" si="1"/>
        <v>2016</v>
      </c>
    </row>
    <row r="538">
      <c r="A538" s="3">
        <v>85.0</v>
      </c>
      <c r="B538" s="3" t="b">
        <v>0</v>
      </c>
      <c r="C538" s="3" t="s">
        <v>19</v>
      </c>
      <c r="D538" s="7">
        <v>3.0</v>
      </c>
      <c r="F538" s="7">
        <v>6.0</v>
      </c>
      <c r="G538" s="3" t="s">
        <v>1546</v>
      </c>
      <c r="K538" s="3" t="b">
        <v>1</v>
      </c>
      <c r="L538" s="3" t="s">
        <v>1054</v>
      </c>
      <c r="N538" s="3" t="s">
        <v>1547</v>
      </c>
      <c r="S538" s="4" t="str">
        <f t="shared" si="1"/>
        <v>2016</v>
      </c>
    </row>
    <row r="539">
      <c r="A539" s="3">
        <v>84.0</v>
      </c>
      <c r="B539" s="3" t="b">
        <v>0</v>
      </c>
      <c r="C539" s="3" t="s">
        <v>240</v>
      </c>
      <c r="G539" s="3" t="s">
        <v>1548</v>
      </c>
      <c r="K539" s="3" t="b">
        <v>0</v>
      </c>
      <c r="L539" s="3" t="s">
        <v>1549</v>
      </c>
      <c r="N539" s="3" t="s">
        <v>1550</v>
      </c>
      <c r="S539" s="4" t="str">
        <f t="shared" si="1"/>
        <v>2016</v>
      </c>
    </row>
    <row r="540">
      <c r="A540" s="3">
        <v>83.0</v>
      </c>
      <c r="B540" s="3" t="b">
        <v>0</v>
      </c>
      <c r="C540" s="3" t="s">
        <v>411</v>
      </c>
      <c r="G540" s="3" t="s">
        <v>1551</v>
      </c>
      <c r="J540" s="7">
        <v>1.0</v>
      </c>
      <c r="K540" s="3" t="b">
        <v>1</v>
      </c>
      <c r="L540" s="3" t="s">
        <v>1552</v>
      </c>
      <c r="N540" s="3" t="s">
        <v>1553</v>
      </c>
      <c r="O540" s="7">
        <v>1.0</v>
      </c>
      <c r="P540" s="7">
        <v>2.0</v>
      </c>
      <c r="S540" s="4" t="str">
        <f t="shared" si="1"/>
        <v>2016</v>
      </c>
    </row>
    <row r="541">
      <c r="A541" s="3">
        <v>83.0</v>
      </c>
      <c r="B541" s="3" t="b">
        <v>0</v>
      </c>
      <c r="C541" s="3" t="s">
        <v>170</v>
      </c>
      <c r="G541" s="3" t="s">
        <v>1554</v>
      </c>
      <c r="K541" s="3" t="b">
        <v>0</v>
      </c>
      <c r="L541" s="3" t="s">
        <v>1459</v>
      </c>
      <c r="N541" s="3" t="s">
        <v>1555</v>
      </c>
      <c r="S541" s="4" t="str">
        <f t="shared" si="1"/>
        <v>2016</v>
      </c>
    </row>
    <row r="542">
      <c r="A542" s="3">
        <v>80.0</v>
      </c>
      <c r="B542" s="3" t="b">
        <v>0</v>
      </c>
      <c r="C542" s="3" t="s">
        <v>54</v>
      </c>
      <c r="G542" s="3" t="s">
        <v>1556</v>
      </c>
      <c r="K542" s="3" t="b">
        <v>0</v>
      </c>
      <c r="L542" s="3" t="s">
        <v>437</v>
      </c>
      <c r="N542" s="3" t="s">
        <v>1557</v>
      </c>
      <c r="S542" s="4" t="str">
        <f t="shared" si="1"/>
        <v>2016</v>
      </c>
    </row>
    <row r="543">
      <c r="A543" s="3">
        <v>80.0</v>
      </c>
      <c r="B543" s="3" t="b">
        <v>0</v>
      </c>
      <c r="C543" s="3" t="s">
        <v>156</v>
      </c>
      <c r="G543" s="3" t="s">
        <v>1558</v>
      </c>
      <c r="K543" s="3" t="b">
        <v>1</v>
      </c>
      <c r="L543" s="3" t="s">
        <v>1559</v>
      </c>
      <c r="N543" s="3" t="s">
        <v>1560</v>
      </c>
      <c r="S543" s="4" t="str">
        <f t="shared" si="1"/>
        <v>2016</v>
      </c>
    </row>
    <row r="544">
      <c r="A544" s="3">
        <v>80.0</v>
      </c>
      <c r="B544" s="3" t="b">
        <v>0</v>
      </c>
      <c r="C544" s="3" t="s">
        <v>54</v>
      </c>
      <c r="G544" s="3" t="s">
        <v>1561</v>
      </c>
      <c r="K544" s="3" t="b">
        <v>0</v>
      </c>
      <c r="L544" s="3" t="s">
        <v>1562</v>
      </c>
      <c r="N544" s="3" t="s">
        <v>1563</v>
      </c>
      <c r="S544" s="4" t="str">
        <f t="shared" si="1"/>
        <v>2016</v>
      </c>
    </row>
    <row r="545">
      <c r="A545" s="3">
        <v>78.0</v>
      </c>
      <c r="B545" s="3" t="b">
        <v>0</v>
      </c>
      <c r="C545" s="3" t="s">
        <v>35</v>
      </c>
      <c r="G545" s="3" t="s">
        <v>1550</v>
      </c>
      <c r="K545" s="3" t="b">
        <v>0</v>
      </c>
      <c r="L545" s="3" t="s">
        <v>1564</v>
      </c>
      <c r="N545" s="3" t="s">
        <v>1565</v>
      </c>
      <c r="S545" s="4" t="str">
        <f t="shared" si="1"/>
        <v>2016</v>
      </c>
    </row>
    <row r="546">
      <c r="A546" s="3">
        <v>75.0</v>
      </c>
      <c r="B546" s="3" t="b">
        <v>0</v>
      </c>
      <c r="C546" s="3" t="s">
        <v>58</v>
      </c>
      <c r="G546" s="3" t="s">
        <v>1566</v>
      </c>
      <c r="K546" s="3" t="b">
        <v>0</v>
      </c>
      <c r="L546" s="3" t="s">
        <v>125</v>
      </c>
      <c r="N546" s="3" t="s">
        <v>1567</v>
      </c>
      <c r="S546" s="4" t="str">
        <f t="shared" si="1"/>
        <v>2016</v>
      </c>
    </row>
    <row r="547">
      <c r="A547" s="3">
        <v>70.0</v>
      </c>
      <c r="B547" s="3" t="b">
        <v>0</v>
      </c>
      <c r="C547" s="3" t="s">
        <v>39</v>
      </c>
      <c r="G547" s="3" t="s">
        <v>1568</v>
      </c>
      <c r="K547" s="3" t="b">
        <v>0</v>
      </c>
      <c r="L547" s="3" t="s">
        <v>1569</v>
      </c>
      <c r="N547" s="3" t="s">
        <v>1570</v>
      </c>
      <c r="S547" s="4" t="str">
        <f t="shared" si="1"/>
        <v>2016</v>
      </c>
    </row>
    <row r="548">
      <c r="A548" s="3">
        <v>70.0</v>
      </c>
      <c r="B548" s="3" t="b">
        <v>0</v>
      </c>
      <c r="C548" s="3" t="s">
        <v>114</v>
      </c>
      <c r="G548" s="3" t="s">
        <v>1571</v>
      </c>
      <c r="K548" s="3" t="b">
        <v>0</v>
      </c>
      <c r="L548" s="3" t="s">
        <v>1572</v>
      </c>
      <c r="N548" s="3" t="s">
        <v>1573</v>
      </c>
      <c r="S548" s="4" t="str">
        <f t="shared" si="1"/>
        <v>2016</v>
      </c>
    </row>
    <row r="549">
      <c r="A549" s="3">
        <v>70.0</v>
      </c>
      <c r="B549" s="3" t="b">
        <v>0</v>
      </c>
      <c r="C549" s="3" t="s">
        <v>62</v>
      </c>
      <c r="G549" s="3" t="s">
        <v>1574</v>
      </c>
      <c r="J549" s="7">
        <v>3.0</v>
      </c>
      <c r="K549" s="3" t="b">
        <v>1</v>
      </c>
      <c r="L549" s="3" t="s">
        <v>1575</v>
      </c>
      <c r="M549" s="3">
        <v>250.0</v>
      </c>
      <c r="N549" s="3" t="s">
        <v>1576</v>
      </c>
      <c r="P549" s="7">
        <v>7.0</v>
      </c>
      <c r="S549" s="4" t="str">
        <f t="shared" si="1"/>
        <v>2016</v>
      </c>
    </row>
    <row r="550">
      <c r="A550" s="3">
        <v>69.0</v>
      </c>
      <c r="B550" s="3" t="b">
        <v>0</v>
      </c>
      <c r="C550" s="3" t="s">
        <v>186</v>
      </c>
      <c r="F550" s="3">
        <v>4.0</v>
      </c>
      <c r="G550" s="3" t="s">
        <v>1577</v>
      </c>
      <c r="K550" s="3" t="b">
        <v>1</v>
      </c>
      <c r="L550" s="3" t="s">
        <v>811</v>
      </c>
      <c r="M550" s="3">
        <v>14.0</v>
      </c>
      <c r="N550" s="3" t="s">
        <v>1578</v>
      </c>
      <c r="S550" s="4" t="str">
        <f t="shared" si="1"/>
        <v>2016</v>
      </c>
    </row>
    <row r="551">
      <c r="A551" s="3">
        <v>65.0</v>
      </c>
      <c r="B551" s="3" t="b">
        <v>0</v>
      </c>
      <c r="C551" s="3" t="s">
        <v>166</v>
      </c>
      <c r="D551" s="7">
        <v>4.0</v>
      </c>
      <c r="E551" s="7">
        <v>0.0</v>
      </c>
      <c r="F551" s="3">
        <v>5.0</v>
      </c>
      <c r="G551" s="3" t="s">
        <v>1579</v>
      </c>
      <c r="K551" s="3" t="b">
        <v>1</v>
      </c>
      <c r="L551" s="3" t="s">
        <v>329</v>
      </c>
      <c r="M551" s="3">
        <v>86.0</v>
      </c>
      <c r="N551" s="3" t="s">
        <v>1580</v>
      </c>
      <c r="S551" s="4" t="str">
        <f t="shared" si="1"/>
        <v>2016</v>
      </c>
    </row>
    <row r="552">
      <c r="A552" s="3">
        <v>61.0</v>
      </c>
      <c r="B552" s="3" t="b">
        <v>0</v>
      </c>
      <c r="C552" s="3" t="s">
        <v>69</v>
      </c>
      <c r="G552" s="3" t="s">
        <v>1581</v>
      </c>
      <c r="K552" s="3" t="b">
        <v>0</v>
      </c>
      <c r="L552" s="3" t="s">
        <v>1582</v>
      </c>
      <c r="N552" s="3" t="s">
        <v>1583</v>
      </c>
      <c r="S552" s="4" t="str">
        <f t="shared" si="1"/>
        <v>2016</v>
      </c>
    </row>
    <row r="553">
      <c r="A553" s="3">
        <v>57.0</v>
      </c>
      <c r="B553" s="3" t="b">
        <v>0</v>
      </c>
      <c r="C553" s="3" t="s">
        <v>278</v>
      </c>
      <c r="G553" s="3" t="s">
        <v>1584</v>
      </c>
      <c r="K553" s="3" t="b">
        <v>0</v>
      </c>
      <c r="L553" s="3" t="s">
        <v>730</v>
      </c>
      <c r="N553" s="3" t="s">
        <v>1585</v>
      </c>
      <c r="S553" s="4" t="str">
        <f t="shared" si="1"/>
        <v>2016</v>
      </c>
    </row>
    <row r="554">
      <c r="A554" s="3">
        <v>57.0</v>
      </c>
      <c r="B554" s="3" t="b">
        <v>0</v>
      </c>
      <c r="C554" s="3" t="s">
        <v>411</v>
      </c>
      <c r="G554" s="3" t="s">
        <v>1586</v>
      </c>
      <c r="K554" s="3" t="b">
        <v>1</v>
      </c>
      <c r="L554" s="3" t="s">
        <v>437</v>
      </c>
      <c r="N554" s="3" t="s">
        <v>1587</v>
      </c>
      <c r="S554" s="4" t="str">
        <f t="shared" si="1"/>
        <v>2016</v>
      </c>
    </row>
    <row r="555">
      <c r="A555" s="3">
        <v>56.0</v>
      </c>
      <c r="B555" s="3" t="b">
        <v>0</v>
      </c>
      <c r="C555" s="3" t="s">
        <v>46</v>
      </c>
      <c r="G555" s="3" t="s">
        <v>1588</v>
      </c>
      <c r="K555" s="3" t="b">
        <v>0</v>
      </c>
      <c r="L555" s="3" t="s">
        <v>1589</v>
      </c>
      <c r="N555" s="3" t="s">
        <v>1590</v>
      </c>
      <c r="S555" s="4" t="str">
        <f t="shared" si="1"/>
        <v>2016</v>
      </c>
    </row>
    <row r="556">
      <c r="A556" s="3">
        <v>52.0</v>
      </c>
      <c r="B556" s="3" t="b">
        <v>0</v>
      </c>
      <c r="C556" s="3" t="s">
        <v>114</v>
      </c>
      <c r="G556" s="3" t="s">
        <v>1591</v>
      </c>
      <c r="K556" s="3" t="b">
        <v>0</v>
      </c>
      <c r="L556" s="3" t="s">
        <v>1592</v>
      </c>
      <c r="N556" s="3" t="s">
        <v>1593</v>
      </c>
      <c r="S556" s="4" t="str">
        <f t="shared" si="1"/>
        <v>2016</v>
      </c>
    </row>
    <row r="557">
      <c r="A557" s="3">
        <v>50.0</v>
      </c>
      <c r="B557" s="3" t="b">
        <v>0</v>
      </c>
      <c r="C557" s="3" t="s">
        <v>313</v>
      </c>
      <c r="G557" s="3" t="s">
        <v>1594</v>
      </c>
      <c r="K557" s="3" t="b">
        <v>0</v>
      </c>
      <c r="L557" s="3" t="s">
        <v>1595</v>
      </c>
      <c r="N557" s="3" t="s">
        <v>1596</v>
      </c>
      <c r="S557" s="4" t="str">
        <f t="shared" si="1"/>
        <v>2016</v>
      </c>
    </row>
    <row r="558">
      <c r="A558" s="3">
        <v>50.0</v>
      </c>
      <c r="B558" s="3" t="b">
        <v>0</v>
      </c>
      <c r="C558" s="3" t="s">
        <v>134</v>
      </c>
      <c r="G558" s="3" t="s">
        <v>1597</v>
      </c>
      <c r="K558" s="3" t="b">
        <v>0</v>
      </c>
      <c r="L558" s="3" t="s">
        <v>1598</v>
      </c>
      <c r="N558" s="3" t="s">
        <v>1599</v>
      </c>
      <c r="S558" s="4" t="str">
        <f t="shared" si="1"/>
        <v>2016</v>
      </c>
    </row>
    <row r="559">
      <c r="A559" s="3">
        <v>50.0</v>
      </c>
      <c r="B559" s="3" t="b">
        <v>0</v>
      </c>
      <c r="C559" s="3" t="s">
        <v>130</v>
      </c>
      <c r="G559" s="3" t="s">
        <v>1600</v>
      </c>
      <c r="K559" s="3" t="b">
        <v>1</v>
      </c>
      <c r="L559" s="3" t="s">
        <v>1601</v>
      </c>
      <c r="N559" s="3" t="s">
        <v>1602</v>
      </c>
      <c r="S559" s="4" t="str">
        <f t="shared" si="1"/>
        <v>2016</v>
      </c>
    </row>
    <row r="560">
      <c r="A560" s="3">
        <v>50.0</v>
      </c>
      <c r="B560" s="3" t="b">
        <v>0</v>
      </c>
      <c r="C560" s="3" t="s">
        <v>35</v>
      </c>
      <c r="G560" s="3" t="s">
        <v>1603</v>
      </c>
      <c r="K560" s="3" t="b">
        <v>0</v>
      </c>
      <c r="L560" s="3" t="s">
        <v>1604</v>
      </c>
      <c r="N560" s="3" t="s">
        <v>1605</v>
      </c>
      <c r="S560" s="4" t="str">
        <f t="shared" si="1"/>
        <v>2016</v>
      </c>
    </row>
    <row r="561">
      <c r="A561" s="3">
        <v>49.0</v>
      </c>
      <c r="B561" s="3" t="b">
        <v>0</v>
      </c>
      <c r="C561" s="3" t="s">
        <v>87</v>
      </c>
      <c r="G561" s="3" t="s">
        <v>1606</v>
      </c>
      <c r="K561" s="3" t="b">
        <v>0</v>
      </c>
      <c r="L561" s="3" t="s">
        <v>1607</v>
      </c>
      <c r="N561" s="3" t="s">
        <v>1608</v>
      </c>
      <c r="S561" s="4" t="str">
        <f t="shared" si="1"/>
        <v>2016</v>
      </c>
    </row>
    <row r="562">
      <c r="A562" s="3">
        <v>47.0</v>
      </c>
      <c r="B562" s="3" t="b">
        <v>0</v>
      </c>
      <c r="C562" s="3" t="s">
        <v>388</v>
      </c>
      <c r="G562" s="3" t="s">
        <v>1413</v>
      </c>
      <c r="K562" s="3" t="b">
        <v>0</v>
      </c>
      <c r="L562" s="3" t="s">
        <v>1609</v>
      </c>
      <c r="N562" s="3" t="s">
        <v>1610</v>
      </c>
      <c r="S562" s="4" t="str">
        <f t="shared" si="1"/>
        <v>2016</v>
      </c>
    </row>
    <row r="563">
      <c r="A563" s="3">
        <v>47.0</v>
      </c>
      <c r="B563" s="3" t="b">
        <v>0</v>
      </c>
      <c r="C563" s="3" t="s">
        <v>435</v>
      </c>
      <c r="G563" s="3" t="s">
        <v>1611</v>
      </c>
      <c r="K563" s="3" t="b">
        <v>0</v>
      </c>
      <c r="L563" s="3" t="s">
        <v>1612</v>
      </c>
      <c r="N563" s="3" t="s">
        <v>1613</v>
      </c>
      <c r="S563" s="4" t="str">
        <f t="shared" si="1"/>
        <v>2016</v>
      </c>
    </row>
    <row r="564">
      <c r="A564" s="3">
        <v>45.0</v>
      </c>
      <c r="B564" s="3" t="b">
        <v>0</v>
      </c>
      <c r="C564" s="3" t="s">
        <v>324</v>
      </c>
      <c r="D564" s="7">
        <v>5.0</v>
      </c>
      <c r="E564" s="7">
        <v>2.0</v>
      </c>
      <c r="F564" s="7">
        <v>18.0</v>
      </c>
      <c r="G564" s="3" t="s">
        <v>1614</v>
      </c>
      <c r="I564" s="7">
        <v>2.0</v>
      </c>
      <c r="K564" s="3" t="b">
        <v>1</v>
      </c>
      <c r="L564" s="3" t="s">
        <v>1615</v>
      </c>
      <c r="M564" s="7">
        <v>150.0</v>
      </c>
      <c r="N564" s="3" t="s">
        <v>1616</v>
      </c>
      <c r="S564" s="4" t="str">
        <f t="shared" si="1"/>
        <v>2016</v>
      </c>
    </row>
    <row r="565">
      <c r="A565" s="3">
        <v>45.0</v>
      </c>
      <c r="B565" s="3" t="b">
        <v>0</v>
      </c>
      <c r="C565" s="3" t="s">
        <v>186</v>
      </c>
      <c r="G565" s="3" t="s">
        <v>1617</v>
      </c>
      <c r="K565" s="3" t="b">
        <v>0</v>
      </c>
      <c r="L565" s="3" t="s">
        <v>1618</v>
      </c>
      <c r="N565" s="3" t="s">
        <v>1619</v>
      </c>
      <c r="S565" s="4" t="str">
        <f t="shared" si="1"/>
        <v>2016</v>
      </c>
    </row>
    <row r="566">
      <c r="A566" s="3">
        <v>45.0</v>
      </c>
      <c r="B566" s="3" t="b">
        <v>0</v>
      </c>
      <c r="C566" s="3" t="s">
        <v>35</v>
      </c>
      <c r="G566" s="3" t="s">
        <v>1620</v>
      </c>
      <c r="K566" s="3" t="b">
        <v>0</v>
      </c>
      <c r="L566" s="3" t="s">
        <v>1621</v>
      </c>
      <c r="N566" s="3" t="s">
        <v>1622</v>
      </c>
      <c r="S566" s="4" t="str">
        <f t="shared" si="1"/>
        <v>2016</v>
      </c>
    </row>
    <row r="567">
      <c r="A567" s="3">
        <v>43.0</v>
      </c>
      <c r="B567" s="3" t="b">
        <v>0</v>
      </c>
      <c r="C567" s="3" t="s">
        <v>54</v>
      </c>
      <c r="G567" s="3" t="s">
        <v>1623</v>
      </c>
      <c r="K567" s="3" t="b">
        <v>0</v>
      </c>
      <c r="L567" s="3" t="s">
        <v>232</v>
      </c>
      <c r="N567" s="3" t="s">
        <v>1624</v>
      </c>
      <c r="S567" s="4" t="str">
        <f t="shared" si="1"/>
        <v>2016</v>
      </c>
    </row>
    <row r="568">
      <c r="A568" s="3">
        <v>43.0</v>
      </c>
      <c r="B568" s="3" t="b">
        <v>0</v>
      </c>
      <c r="C568" s="3" t="s">
        <v>69</v>
      </c>
      <c r="G568" s="3" t="s">
        <v>1625</v>
      </c>
      <c r="K568" s="3" t="b">
        <v>0</v>
      </c>
      <c r="L568" s="3" t="s">
        <v>891</v>
      </c>
      <c r="N568" s="3" t="s">
        <v>1626</v>
      </c>
      <c r="S568" s="4" t="str">
        <f t="shared" si="1"/>
        <v>2016</v>
      </c>
    </row>
    <row r="569">
      <c r="A569" s="3">
        <v>42.0</v>
      </c>
      <c r="B569" s="3" t="b">
        <v>0</v>
      </c>
      <c r="C569" s="3" t="s">
        <v>320</v>
      </c>
      <c r="G569" s="3" t="s">
        <v>1627</v>
      </c>
      <c r="K569" s="3" t="b">
        <v>1</v>
      </c>
      <c r="L569" s="3" t="s">
        <v>1628</v>
      </c>
      <c r="N569" s="3" t="s">
        <v>1629</v>
      </c>
      <c r="S569" s="4" t="str">
        <f t="shared" si="1"/>
        <v>2016</v>
      </c>
    </row>
    <row r="570">
      <c r="A570" s="3">
        <v>40.0</v>
      </c>
      <c r="B570" s="3" t="b">
        <v>0</v>
      </c>
      <c r="C570" s="3" t="s">
        <v>247</v>
      </c>
      <c r="G570" s="3" t="s">
        <v>1566</v>
      </c>
      <c r="K570" s="3" t="b">
        <v>0</v>
      </c>
      <c r="L570" s="3" t="s">
        <v>1630</v>
      </c>
      <c r="N570" s="3" t="s">
        <v>1631</v>
      </c>
      <c r="S570" s="4" t="str">
        <f t="shared" si="1"/>
        <v>2016</v>
      </c>
    </row>
    <row r="571">
      <c r="A571" s="3">
        <v>40.0</v>
      </c>
      <c r="B571" s="3" t="b">
        <v>0</v>
      </c>
      <c r="C571" s="3" t="s">
        <v>27</v>
      </c>
      <c r="G571" s="3" t="s">
        <v>1632</v>
      </c>
      <c r="K571" s="3" t="b">
        <v>0</v>
      </c>
      <c r="L571" s="3" t="s">
        <v>1633</v>
      </c>
      <c r="N571" s="3" t="s">
        <v>1634</v>
      </c>
      <c r="S571" s="4" t="str">
        <f t="shared" si="1"/>
        <v>2016</v>
      </c>
    </row>
    <row r="572">
      <c r="A572" s="3">
        <v>40.0</v>
      </c>
      <c r="B572" s="3" t="b">
        <v>0</v>
      </c>
      <c r="C572" s="3" t="s">
        <v>80</v>
      </c>
      <c r="G572" s="3" t="s">
        <v>1635</v>
      </c>
      <c r="K572" s="3" t="b">
        <v>0</v>
      </c>
      <c r="L572" s="3" t="s">
        <v>1636</v>
      </c>
      <c r="N572" s="3" t="s">
        <v>1637</v>
      </c>
      <c r="S572" s="4" t="str">
        <f t="shared" si="1"/>
        <v>2016</v>
      </c>
    </row>
    <row r="573">
      <c r="A573" s="3">
        <v>38.0</v>
      </c>
      <c r="B573" s="3" t="b">
        <v>0</v>
      </c>
      <c r="C573" s="3" t="s">
        <v>388</v>
      </c>
      <c r="G573" s="3" t="s">
        <v>1148</v>
      </c>
      <c r="K573" s="3" t="b">
        <v>0</v>
      </c>
      <c r="L573" s="3" t="s">
        <v>1638</v>
      </c>
      <c r="N573" s="3" t="s">
        <v>1639</v>
      </c>
      <c r="S573" s="4" t="str">
        <f t="shared" si="1"/>
        <v>2016</v>
      </c>
    </row>
    <row r="574">
      <c r="A574" s="3">
        <v>38.0</v>
      </c>
      <c r="B574" s="3" t="b">
        <v>0</v>
      </c>
      <c r="C574" s="3" t="s">
        <v>156</v>
      </c>
      <c r="G574" s="3" t="s">
        <v>1640</v>
      </c>
      <c r="K574" s="3" t="b">
        <v>0</v>
      </c>
      <c r="L574" s="3" t="s">
        <v>1142</v>
      </c>
      <c r="N574" s="3" t="s">
        <v>1641</v>
      </c>
      <c r="S574" s="4" t="str">
        <f t="shared" si="1"/>
        <v>2016</v>
      </c>
    </row>
    <row r="575">
      <c r="A575" s="3">
        <v>36.0</v>
      </c>
      <c r="B575" s="3" t="b">
        <v>0</v>
      </c>
      <c r="C575" s="3" t="s">
        <v>313</v>
      </c>
      <c r="G575" s="3" t="s">
        <v>1642</v>
      </c>
      <c r="K575" s="3" t="b">
        <v>0</v>
      </c>
      <c r="L575" s="3" t="s">
        <v>1643</v>
      </c>
      <c r="N575" s="3" t="s">
        <v>1644</v>
      </c>
      <c r="S575" s="4" t="str">
        <f t="shared" si="1"/>
        <v>2016</v>
      </c>
    </row>
    <row r="576">
      <c r="A576" s="3">
        <v>36.0</v>
      </c>
      <c r="B576" s="3" t="b">
        <v>0</v>
      </c>
      <c r="C576" s="3" t="s">
        <v>186</v>
      </c>
      <c r="G576" s="3" t="s">
        <v>1617</v>
      </c>
      <c r="K576" s="3" t="b">
        <v>0</v>
      </c>
      <c r="L576" s="3" t="s">
        <v>1645</v>
      </c>
      <c r="N576" s="3" t="s">
        <v>1646</v>
      </c>
      <c r="S576" s="4" t="str">
        <f t="shared" si="1"/>
        <v>2016</v>
      </c>
    </row>
    <row r="577">
      <c r="A577" s="3">
        <v>35.0</v>
      </c>
      <c r="B577" s="3" t="b">
        <v>0</v>
      </c>
      <c r="C577" s="3" t="s">
        <v>62</v>
      </c>
      <c r="G577" s="3" t="s">
        <v>1647</v>
      </c>
      <c r="K577" s="3" t="b">
        <v>0</v>
      </c>
      <c r="L577" s="3" t="s">
        <v>1648</v>
      </c>
      <c r="N577" s="3" t="s">
        <v>1649</v>
      </c>
      <c r="S577" s="4" t="str">
        <f t="shared" si="1"/>
        <v>2016</v>
      </c>
    </row>
    <row r="578">
      <c r="A578" s="3">
        <v>35.0</v>
      </c>
      <c r="B578" s="3" t="b">
        <v>0</v>
      </c>
      <c r="C578" s="3" t="s">
        <v>58</v>
      </c>
      <c r="G578" s="3" t="s">
        <v>1617</v>
      </c>
      <c r="K578" s="3" t="b">
        <v>0</v>
      </c>
      <c r="L578" s="3" t="s">
        <v>29</v>
      </c>
      <c r="N578" s="3" t="s">
        <v>1650</v>
      </c>
      <c r="S578" s="4" t="str">
        <f t="shared" si="1"/>
        <v>2016</v>
      </c>
    </row>
    <row r="579">
      <c r="A579" s="3">
        <v>35.0</v>
      </c>
      <c r="B579" s="3" t="b">
        <v>0</v>
      </c>
      <c r="C579" s="3" t="s">
        <v>87</v>
      </c>
      <c r="G579" s="3" t="s">
        <v>1651</v>
      </c>
      <c r="K579" s="3" t="b">
        <v>0</v>
      </c>
      <c r="L579" s="3" t="s">
        <v>268</v>
      </c>
      <c r="N579" s="3" t="s">
        <v>1652</v>
      </c>
      <c r="S579" s="4" t="str">
        <f t="shared" si="1"/>
        <v>2016</v>
      </c>
    </row>
    <row r="580">
      <c r="A580" s="3">
        <v>35.0</v>
      </c>
      <c r="B580" s="3" t="b">
        <v>0</v>
      </c>
      <c r="C580" s="3" t="s">
        <v>411</v>
      </c>
      <c r="G580" s="3" t="s">
        <v>1653</v>
      </c>
      <c r="K580" s="3" t="b">
        <v>0</v>
      </c>
      <c r="L580" s="3" t="s">
        <v>1654</v>
      </c>
      <c r="N580" s="3" t="s">
        <v>1655</v>
      </c>
      <c r="S580" s="4" t="str">
        <f t="shared" si="1"/>
        <v>2016</v>
      </c>
    </row>
    <row r="581">
      <c r="A581" s="3">
        <v>33.0</v>
      </c>
      <c r="B581" s="3" t="b">
        <v>0</v>
      </c>
      <c r="C581" s="3" t="s">
        <v>411</v>
      </c>
      <c r="G581" s="3" t="s">
        <v>1656</v>
      </c>
      <c r="K581" s="3" t="b">
        <v>0</v>
      </c>
      <c r="L581" s="3" t="s">
        <v>1657</v>
      </c>
      <c r="N581" s="3" t="s">
        <v>1658</v>
      </c>
      <c r="S581" s="4" t="str">
        <f t="shared" si="1"/>
        <v>2016</v>
      </c>
    </row>
    <row r="582">
      <c r="A582" s="3">
        <v>32.0</v>
      </c>
      <c r="B582" s="3" t="b">
        <v>0</v>
      </c>
      <c r="C582" s="3" t="s">
        <v>46</v>
      </c>
      <c r="G582" s="3" t="s">
        <v>1659</v>
      </c>
      <c r="K582" s="3" t="b">
        <v>0</v>
      </c>
      <c r="L582" s="3" t="s">
        <v>1660</v>
      </c>
      <c r="N582" s="3" t="s">
        <v>1661</v>
      </c>
      <c r="S582" s="4" t="str">
        <f t="shared" si="1"/>
        <v>2016</v>
      </c>
    </row>
    <row r="583">
      <c r="A583" s="3">
        <v>32.0</v>
      </c>
      <c r="B583" s="3" t="b">
        <v>0</v>
      </c>
      <c r="C583" s="3" t="s">
        <v>19</v>
      </c>
      <c r="G583" s="3" t="s">
        <v>1662</v>
      </c>
      <c r="K583" s="3" t="b">
        <v>0</v>
      </c>
      <c r="L583" s="3" t="s">
        <v>1663</v>
      </c>
      <c r="N583" s="3" t="s">
        <v>1498</v>
      </c>
      <c r="S583" s="4" t="str">
        <f t="shared" si="1"/>
        <v>2016</v>
      </c>
    </row>
    <row r="584">
      <c r="A584" s="3">
        <v>32.0</v>
      </c>
      <c r="B584" s="3" t="b">
        <v>0</v>
      </c>
      <c r="C584" s="3" t="s">
        <v>247</v>
      </c>
      <c r="G584" s="3" t="s">
        <v>1664</v>
      </c>
      <c r="K584" s="3" t="b">
        <v>0</v>
      </c>
      <c r="L584" s="3" t="s">
        <v>1665</v>
      </c>
      <c r="N584" s="3" t="s">
        <v>1666</v>
      </c>
      <c r="S584" s="4" t="str">
        <f t="shared" si="1"/>
        <v>2016</v>
      </c>
    </row>
    <row r="585">
      <c r="A585" s="3">
        <v>30.0</v>
      </c>
      <c r="B585" s="3" t="b">
        <v>0</v>
      </c>
      <c r="C585" s="3" t="s">
        <v>87</v>
      </c>
      <c r="G585" s="3" t="s">
        <v>1667</v>
      </c>
      <c r="K585" s="3" t="b">
        <v>0</v>
      </c>
      <c r="L585" s="3" t="s">
        <v>1459</v>
      </c>
      <c r="N585" s="3" t="s">
        <v>1668</v>
      </c>
      <c r="S585" s="4" t="str">
        <f t="shared" si="1"/>
        <v>2016</v>
      </c>
    </row>
    <row r="586">
      <c r="A586" s="3">
        <v>30.0</v>
      </c>
      <c r="B586" s="3" t="b">
        <v>0</v>
      </c>
      <c r="C586" s="3" t="s">
        <v>162</v>
      </c>
      <c r="G586" s="3" t="s">
        <v>1669</v>
      </c>
      <c r="K586" s="3" t="b">
        <v>0</v>
      </c>
      <c r="L586" s="3" t="s">
        <v>1670</v>
      </c>
      <c r="N586" s="3" t="s">
        <v>1671</v>
      </c>
      <c r="S586" s="4" t="str">
        <f t="shared" si="1"/>
        <v>2016</v>
      </c>
    </row>
    <row r="587">
      <c r="A587" s="3">
        <v>30.0</v>
      </c>
      <c r="B587" s="3" t="b">
        <v>0</v>
      </c>
      <c r="C587" s="3" t="s">
        <v>170</v>
      </c>
      <c r="G587" s="3" t="s">
        <v>1672</v>
      </c>
      <c r="K587" s="3" t="b">
        <v>0</v>
      </c>
      <c r="L587" s="3" t="s">
        <v>1673</v>
      </c>
      <c r="N587" s="3" t="s">
        <v>1674</v>
      </c>
      <c r="S587" s="4" t="str">
        <f t="shared" si="1"/>
        <v>2016</v>
      </c>
    </row>
    <row r="588">
      <c r="A588" s="3">
        <v>30.0</v>
      </c>
      <c r="B588" s="3" t="b">
        <v>0</v>
      </c>
      <c r="C588" s="3" t="s">
        <v>87</v>
      </c>
      <c r="D588" s="7">
        <v>1.0</v>
      </c>
      <c r="E588" s="7">
        <v>1.0</v>
      </c>
      <c r="F588" s="7">
        <v>9.0</v>
      </c>
      <c r="G588" s="3" t="s">
        <v>1675</v>
      </c>
      <c r="I588" s="7">
        <v>1.0</v>
      </c>
      <c r="K588" s="3" t="b">
        <v>1</v>
      </c>
      <c r="L588" s="3" t="s">
        <v>1607</v>
      </c>
      <c r="M588" s="7">
        <v>42.0</v>
      </c>
      <c r="N588" s="3" t="s">
        <v>1676</v>
      </c>
      <c r="S588" s="4" t="str">
        <f t="shared" si="1"/>
        <v>2016</v>
      </c>
    </row>
    <row r="589">
      <c r="A589" s="3">
        <v>30.0</v>
      </c>
      <c r="B589" s="3" t="b">
        <v>0</v>
      </c>
      <c r="C589" s="3" t="s">
        <v>282</v>
      </c>
      <c r="G589" s="3" t="s">
        <v>1677</v>
      </c>
      <c r="K589" s="3" t="b">
        <v>0</v>
      </c>
      <c r="L589" s="3" t="s">
        <v>1678</v>
      </c>
      <c r="N589" s="3" t="s">
        <v>1679</v>
      </c>
      <c r="S589" s="4" t="str">
        <f t="shared" si="1"/>
        <v>2016</v>
      </c>
    </row>
    <row r="590">
      <c r="A590" s="3">
        <v>28.0</v>
      </c>
      <c r="B590" s="3" t="b">
        <v>0</v>
      </c>
      <c r="C590" s="3" t="s">
        <v>62</v>
      </c>
      <c r="G590" s="3" t="s">
        <v>1680</v>
      </c>
      <c r="K590" s="3" t="b">
        <v>0</v>
      </c>
      <c r="L590" s="3" t="s">
        <v>1648</v>
      </c>
      <c r="N590" s="3" t="s">
        <v>1681</v>
      </c>
      <c r="S590" s="4" t="str">
        <f t="shared" si="1"/>
        <v>2016</v>
      </c>
    </row>
    <row r="591">
      <c r="A591" s="3">
        <v>28.0</v>
      </c>
      <c r="B591" s="3" t="b">
        <v>0</v>
      </c>
      <c r="C591" s="3" t="s">
        <v>62</v>
      </c>
      <c r="G591" s="3" t="s">
        <v>1682</v>
      </c>
      <c r="K591" s="3" t="b">
        <v>1</v>
      </c>
      <c r="L591" s="3" t="s">
        <v>1683</v>
      </c>
      <c r="N591" s="3" t="s">
        <v>1684</v>
      </c>
      <c r="S591" s="4" t="str">
        <f t="shared" si="1"/>
        <v>2016</v>
      </c>
    </row>
    <row r="592">
      <c r="A592" s="3">
        <v>26.0</v>
      </c>
      <c r="B592" s="3" t="b">
        <v>0</v>
      </c>
      <c r="C592" s="3" t="s">
        <v>324</v>
      </c>
      <c r="D592" s="7">
        <v>2.0</v>
      </c>
      <c r="E592" s="7">
        <v>1.0</v>
      </c>
      <c r="F592" s="7">
        <v>8.0</v>
      </c>
      <c r="G592" s="3" t="s">
        <v>1685</v>
      </c>
      <c r="K592" s="3" t="b">
        <v>1</v>
      </c>
      <c r="L592" s="3" t="s">
        <v>56</v>
      </c>
      <c r="N592" s="3" t="s">
        <v>1686</v>
      </c>
      <c r="S592" s="4" t="str">
        <f t="shared" si="1"/>
        <v>2016</v>
      </c>
    </row>
    <row r="593">
      <c r="A593" s="3">
        <v>26.0</v>
      </c>
      <c r="B593" s="3" t="b">
        <v>0</v>
      </c>
      <c r="C593" s="3" t="s">
        <v>46</v>
      </c>
      <c r="G593" s="3" t="s">
        <v>1687</v>
      </c>
      <c r="K593" s="3" t="b">
        <v>0</v>
      </c>
      <c r="L593" s="3" t="s">
        <v>1509</v>
      </c>
      <c r="N593" s="3" t="s">
        <v>1688</v>
      </c>
      <c r="S593" s="4" t="str">
        <f t="shared" si="1"/>
        <v>2016</v>
      </c>
    </row>
    <row r="594">
      <c r="A594" s="3">
        <v>25.0</v>
      </c>
      <c r="B594" s="3" t="b">
        <v>0</v>
      </c>
      <c r="C594" s="3" t="s">
        <v>401</v>
      </c>
      <c r="G594" s="3" t="s">
        <v>1689</v>
      </c>
      <c r="K594" s="3" t="b">
        <v>0</v>
      </c>
      <c r="L594" s="3" t="s">
        <v>730</v>
      </c>
      <c r="N594" s="3" t="s">
        <v>1690</v>
      </c>
      <c r="S594" s="4" t="str">
        <f t="shared" si="1"/>
        <v>2016</v>
      </c>
    </row>
    <row r="595">
      <c r="A595" s="3">
        <v>25.0</v>
      </c>
      <c r="B595" s="3" t="b">
        <v>0</v>
      </c>
      <c r="C595" s="3" t="s">
        <v>401</v>
      </c>
      <c r="G595" s="3" t="s">
        <v>1691</v>
      </c>
      <c r="K595" s="3" t="b">
        <v>0</v>
      </c>
      <c r="L595" s="3" t="s">
        <v>730</v>
      </c>
      <c r="N595" s="3" t="s">
        <v>1692</v>
      </c>
      <c r="S595" s="4" t="str">
        <f t="shared" si="1"/>
        <v>2016</v>
      </c>
    </row>
    <row r="596">
      <c r="A596" s="3">
        <v>25.0</v>
      </c>
      <c r="B596" s="3" t="b">
        <v>0</v>
      </c>
      <c r="C596" s="3" t="s">
        <v>130</v>
      </c>
      <c r="G596" s="3" t="s">
        <v>1693</v>
      </c>
      <c r="K596" s="3" t="b">
        <v>0</v>
      </c>
      <c r="L596" s="3" t="s">
        <v>1694</v>
      </c>
      <c r="N596" s="3" t="s">
        <v>1695</v>
      </c>
      <c r="S596" s="4" t="str">
        <f t="shared" si="1"/>
        <v>2016</v>
      </c>
    </row>
    <row r="597">
      <c r="A597" s="3">
        <v>25.0</v>
      </c>
      <c r="B597" s="3" t="b">
        <v>0</v>
      </c>
      <c r="C597" s="3" t="s">
        <v>186</v>
      </c>
      <c r="G597" s="3" t="s">
        <v>1696</v>
      </c>
      <c r="K597" s="3" t="b">
        <v>0</v>
      </c>
      <c r="L597" s="3" t="s">
        <v>1697</v>
      </c>
      <c r="N597" s="3" t="s">
        <v>1698</v>
      </c>
      <c r="S597" s="4" t="str">
        <f t="shared" si="1"/>
        <v>2016</v>
      </c>
    </row>
    <row r="598">
      <c r="A598" s="3">
        <v>25.0</v>
      </c>
      <c r="B598" s="3" t="b">
        <v>0</v>
      </c>
      <c r="C598" s="3" t="s">
        <v>130</v>
      </c>
      <c r="G598" s="3" t="s">
        <v>1699</v>
      </c>
      <c r="K598" s="3" t="b">
        <v>1</v>
      </c>
      <c r="L598" s="3" t="s">
        <v>1700</v>
      </c>
      <c r="N598" s="3" t="s">
        <v>1701</v>
      </c>
      <c r="S598" s="4" t="str">
        <f t="shared" si="1"/>
        <v>2016</v>
      </c>
    </row>
    <row r="599">
      <c r="A599" s="3">
        <v>25.0</v>
      </c>
      <c r="B599" s="3" t="b">
        <v>0</v>
      </c>
      <c r="C599" s="3" t="s">
        <v>114</v>
      </c>
      <c r="G599" s="3" t="s">
        <v>1702</v>
      </c>
      <c r="K599" s="3" t="b">
        <v>0</v>
      </c>
      <c r="L599" s="3" t="s">
        <v>1703</v>
      </c>
      <c r="N599" s="3" t="s">
        <v>1704</v>
      </c>
      <c r="S599" s="4" t="str">
        <f t="shared" si="1"/>
        <v>2016</v>
      </c>
    </row>
    <row r="600">
      <c r="A600" s="3">
        <v>24.0</v>
      </c>
      <c r="B600" s="3" t="b">
        <v>0</v>
      </c>
      <c r="C600" s="3" t="s">
        <v>58</v>
      </c>
      <c r="G600" s="3" t="s">
        <v>1705</v>
      </c>
      <c r="K600" s="3" t="b">
        <v>0</v>
      </c>
      <c r="L600" s="3" t="s">
        <v>1247</v>
      </c>
      <c r="N600" s="3" t="s">
        <v>1706</v>
      </c>
      <c r="S600" s="4" t="str">
        <f t="shared" si="1"/>
        <v>2016</v>
      </c>
    </row>
    <row r="601">
      <c r="A601" s="3">
        <v>23.0</v>
      </c>
      <c r="B601" s="3" t="b">
        <v>0</v>
      </c>
      <c r="C601" s="3" t="s">
        <v>50</v>
      </c>
      <c r="G601" s="3" t="s">
        <v>1707</v>
      </c>
      <c r="K601" s="3" t="b">
        <v>0</v>
      </c>
      <c r="L601" s="3" t="s">
        <v>1708</v>
      </c>
      <c r="N601" s="3" t="s">
        <v>1709</v>
      </c>
      <c r="S601" s="4" t="str">
        <f t="shared" si="1"/>
        <v>2016</v>
      </c>
    </row>
    <row r="602">
      <c r="A602" s="3">
        <v>23.0</v>
      </c>
      <c r="B602" s="3" t="b">
        <v>0</v>
      </c>
      <c r="C602" s="3" t="s">
        <v>46</v>
      </c>
      <c r="G602" s="3" t="s">
        <v>1710</v>
      </c>
      <c r="K602" s="3" t="b">
        <v>0</v>
      </c>
      <c r="L602" s="3" t="s">
        <v>1711</v>
      </c>
      <c r="N602" s="3" t="s">
        <v>1712</v>
      </c>
      <c r="S602" s="4" t="str">
        <f t="shared" si="1"/>
        <v>2016</v>
      </c>
    </row>
    <row r="603">
      <c r="A603" s="3">
        <v>21.0</v>
      </c>
      <c r="B603" s="3" t="b">
        <v>0</v>
      </c>
      <c r="C603" s="3" t="s">
        <v>50</v>
      </c>
      <c r="G603" s="3" t="s">
        <v>1713</v>
      </c>
      <c r="K603" s="3" t="b">
        <v>0</v>
      </c>
      <c r="L603" s="3" t="s">
        <v>78</v>
      </c>
      <c r="N603" s="3" t="s">
        <v>1714</v>
      </c>
      <c r="S603" s="4" t="str">
        <f t="shared" si="1"/>
        <v>2016</v>
      </c>
    </row>
    <row r="604">
      <c r="A604" s="3">
        <v>20.0</v>
      </c>
      <c r="B604" s="3" t="b">
        <v>0</v>
      </c>
      <c r="C604" s="3" t="s">
        <v>134</v>
      </c>
      <c r="G604" s="3" t="s">
        <v>1715</v>
      </c>
      <c r="K604" s="3" t="b">
        <v>0</v>
      </c>
      <c r="L604" s="3" t="s">
        <v>1716</v>
      </c>
      <c r="N604" s="3" t="s">
        <v>1717</v>
      </c>
      <c r="S604" s="4" t="str">
        <f t="shared" si="1"/>
        <v>2016</v>
      </c>
    </row>
    <row r="605">
      <c r="A605" s="3">
        <v>20.0</v>
      </c>
      <c r="B605" s="3" t="b">
        <v>0</v>
      </c>
      <c r="C605" s="3" t="s">
        <v>186</v>
      </c>
      <c r="G605" s="3" t="s">
        <v>1718</v>
      </c>
      <c r="K605" s="3" t="b">
        <v>0</v>
      </c>
      <c r="L605" s="3" t="s">
        <v>1719</v>
      </c>
      <c r="N605" s="3" t="s">
        <v>1720</v>
      </c>
      <c r="S605" s="4" t="str">
        <f t="shared" si="1"/>
        <v>2016</v>
      </c>
    </row>
    <row r="606">
      <c r="A606" s="3">
        <v>20.0</v>
      </c>
      <c r="B606" s="3" t="b">
        <v>0</v>
      </c>
      <c r="C606" s="3" t="s">
        <v>35</v>
      </c>
      <c r="G606" s="3" t="s">
        <v>1721</v>
      </c>
      <c r="K606" s="3" t="b">
        <v>0</v>
      </c>
      <c r="L606" s="3" t="s">
        <v>1722</v>
      </c>
      <c r="N606" s="3" t="s">
        <v>1704</v>
      </c>
      <c r="S606" s="4" t="str">
        <f t="shared" si="1"/>
        <v>2016</v>
      </c>
    </row>
    <row r="607">
      <c r="A607" s="3">
        <v>19.0</v>
      </c>
      <c r="B607" s="3" t="b">
        <v>0</v>
      </c>
      <c r="C607" s="3" t="s">
        <v>324</v>
      </c>
      <c r="G607" s="3" t="s">
        <v>1718</v>
      </c>
      <c r="K607" s="3" t="b">
        <v>1</v>
      </c>
      <c r="L607" s="3" t="s">
        <v>879</v>
      </c>
      <c r="N607" s="3" t="s">
        <v>1723</v>
      </c>
      <c r="S607" s="4" t="str">
        <f t="shared" si="1"/>
        <v>2016</v>
      </c>
    </row>
    <row r="608">
      <c r="A608" s="3">
        <v>15.0</v>
      </c>
      <c r="B608" s="3" t="b">
        <v>0</v>
      </c>
      <c r="C608" s="3" t="s">
        <v>35</v>
      </c>
      <c r="G608" s="3" t="s">
        <v>1724</v>
      </c>
      <c r="K608" s="3" t="b">
        <v>0</v>
      </c>
      <c r="L608" s="3" t="s">
        <v>1725</v>
      </c>
      <c r="N608" s="3" t="s">
        <v>1726</v>
      </c>
      <c r="S608" s="4" t="str">
        <f t="shared" si="1"/>
        <v>2016</v>
      </c>
    </row>
    <row r="609">
      <c r="A609" s="3">
        <v>11.0</v>
      </c>
      <c r="B609" s="3" t="b">
        <v>0</v>
      </c>
      <c r="C609" s="3" t="s">
        <v>54</v>
      </c>
      <c r="G609" s="3" t="s">
        <v>1727</v>
      </c>
      <c r="K609" s="3" t="b">
        <v>0</v>
      </c>
      <c r="L609" s="3" t="s">
        <v>1045</v>
      </c>
      <c r="N609" s="3" t="s">
        <v>1728</v>
      </c>
      <c r="S609" s="4" t="str">
        <f t="shared" si="1"/>
        <v>2016</v>
      </c>
    </row>
    <row r="610">
      <c r="A610" s="3">
        <v>11.0</v>
      </c>
      <c r="B610" s="3" t="b">
        <v>0</v>
      </c>
      <c r="C610" s="3" t="s">
        <v>58</v>
      </c>
      <c r="G610" s="3" t="s">
        <v>1729</v>
      </c>
      <c r="K610" s="3" t="b">
        <v>0</v>
      </c>
      <c r="L610" s="3" t="s">
        <v>424</v>
      </c>
      <c r="N610" s="3" t="s">
        <v>1730</v>
      </c>
      <c r="S610" s="4" t="str">
        <f t="shared" si="1"/>
        <v>2016</v>
      </c>
    </row>
    <row r="611">
      <c r="A611" s="3">
        <v>10.0</v>
      </c>
      <c r="B611" s="3" t="b">
        <v>0</v>
      </c>
      <c r="C611" s="3" t="s">
        <v>94</v>
      </c>
      <c r="G611" s="3" t="s">
        <v>1309</v>
      </c>
      <c r="K611" s="3" t="b">
        <v>0</v>
      </c>
      <c r="L611" s="3" t="s">
        <v>1731</v>
      </c>
      <c r="N611" s="3" t="s">
        <v>1732</v>
      </c>
      <c r="S611" s="4" t="str">
        <f t="shared" si="1"/>
        <v>2016</v>
      </c>
    </row>
    <row r="612">
      <c r="A612" s="3">
        <v>0.0</v>
      </c>
      <c r="B612" s="3" t="b">
        <v>0</v>
      </c>
      <c r="C612" s="3" t="s">
        <v>1253</v>
      </c>
      <c r="G612" s="3" t="s">
        <v>1733</v>
      </c>
      <c r="K612" s="3" t="b">
        <v>0</v>
      </c>
      <c r="L612" s="3" t="s">
        <v>1734</v>
      </c>
      <c r="N612" s="3" t="s">
        <v>1735</v>
      </c>
      <c r="S612" s="4" t="str">
        <f t="shared" si="1"/>
        <v>2016</v>
      </c>
    </row>
    <row r="613">
      <c r="A613" s="3">
        <v>0.0</v>
      </c>
      <c r="B613" s="3" t="b">
        <v>0</v>
      </c>
      <c r="C613" s="3" t="s">
        <v>23</v>
      </c>
      <c r="G613" s="3" t="s">
        <v>1736</v>
      </c>
      <c r="K613" s="3" t="b">
        <v>0</v>
      </c>
      <c r="L613" s="3" t="s">
        <v>578</v>
      </c>
      <c r="N613" s="3" t="s">
        <v>1737</v>
      </c>
      <c r="S613" s="4" t="str">
        <f t="shared" si="1"/>
        <v>2016</v>
      </c>
    </row>
    <row r="614">
      <c r="A614" s="3">
        <v>0.0</v>
      </c>
      <c r="B614" s="3" t="b">
        <v>0</v>
      </c>
      <c r="C614" s="3" t="s">
        <v>149</v>
      </c>
      <c r="G614" s="3" t="s">
        <v>1738</v>
      </c>
      <c r="K614" s="3" t="b">
        <v>0</v>
      </c>
      <c r="L614" s="3" t="s">
        <v>1231</v>
      </c>
      <c r="N614" s="3" t="s">
        <v>1739</v>
      </c>
      <c r="S614" s="4" t="str">
        <f t="shared" si="1"/>
        <v>2016</v>
      </c>
    </row>
    <row r="615">
      <c r="A615" s="3">
        <v>0.0</v>
      </c>
      <c r="B615" s="3" t="b">
        <v>0</v>
      </c>
      <c r="C615" s="3" t="s">
        <v>23</v>
      </c>
      <c r="G615" s="3" t="s">
        <v>1740</v>
      </c>
      <c r="K615" s="3" t="b">
        <v>0</v>
      </c>
      <c r="L615" s="3" t="s">
        <v>1459</v>
      </c>
      <c r="N615" s="3" t="s">
        <v>1741</v>
      </c>
      <c r="S615" s="4" t="str">
        <f t="shared" si="1"/>
        <v>2016</v>
      </c>
    </row>
    <row r="616">
      <c r="A616" s="3">
        <v>0.0</v>
      </c>
      <c r="B616" s="3" t="b">
        <v>0</v>
      </c>
      <c r="C616" s="3" t="s">
        <v>94</v>
      </c>
      <c r="G616" s="3" t="s">
        <v>1742</v>
      </c>
      <c r="K616" s="3" t="b">
        <v>0</v>
      </c>
      <c r="L616" s="3" t="s">
        <v>1264</v>
      </c>
      <c r="N616" s="3" t="s">
        <v>1743</v>
      </c>
      <c r="S616" s="4" t="str">
        <f t="shared" si="1"/>
        <v>2016</v>
      </c>
    </row>
    <row r="617">
      <c r="A617" s="3">
        <v>0.0</v>
      </c>
      <c r="B617" s="3" t="b">
        <v>0</v>
      </c>
      <c r="C617" s="3" t="s">
        <v>23</v>
      </c>
      <c r="G617" s="3" t="s">
        <v>1744</v>
      </c>
      <c r="K617" s="3" t="b">
        <v>0</v>
      </c>
      <c r="L617" s="3" t="s">
        <v>1745</v>
      </c>
      <c r="N617" s="3" t="s">
        <v>1746</v>
      </c>
      <c r="S617" s="4" t="str">
        <f t="shared" si="1"/>
        <v>2016</v>
      </c>
    </row>
    <row r="618">
      <c r="A618" s="3">
        <v>281893.0</v>
      </c>
      <c r="B618" s="3" t="b">
        <v>0</v>
      </c>
      <c r="C618" s="3" t="s">
        <v>97</v>
      </c>
      <c r="G618" s="3" t="s">
        <v>1747</v>
      </c>
      <c r="K618" s="3" t="b">
        <v>1</v>
      </c>
      <c r="L618" s="3" t="s">
        <v>1748</v>
      </c>
      <c r="N618" s="3" t="s">
        <v>1749</v>
      </c>
      <c r="O618" s="3">
        <v>280.0</v>
      </c>
      <c r="P618" s="3">
        <v>1063.0</v>
      </c>
      <c r="S618" s="4" t="str">
        <f t="shared" si="1"/>
        <v>2017</v>
      </c>
    </row>
    <row r="619">
      <c r="A619" s="3">
        <v>281893.0</v>
      </c>
      <c r="B619" s="3" t="b">
        <v>0</v>
      </c>
      <c r="C619" s="3" t="s">
        <v>35</v>
      </c>
      <c r="G619" s="3" t="s">
        <v>1747</v>
      </c>
      <c r="K619" s="3" t="b">
        <v>1</v>
      </c>
      <c r="L619" s="3" t="s">
        <v>1748</v>
      </c>
      <c r="N619" s="3" t="s">
        <v>1749</v>
      </c>
      <c r="O619" s="3">
        <v>280.0</v>
      </c>
      <c r="P619" s="3">
        <v>1063.0</v>
      </c>
      <c r="S619" s="4" t="str">
        <f t="shared" si="1"/>
        <v>2017</v>
      </c>
    </row>
    <row r="620">
      <c r="A620" s="3">
        <v>83733.0</v>
      </c>
      <c r="B620" s="3" t="b">
        <v>0</v>
      </c>
      <c r="C620" s="3" t="s">
        <v>320</v>
      </c>
      <c r="G620" s="3" t="s">
        <v>1750</v>
      </c>
      <c r="K620" s="3" t="b">
        <v>0</v>
      </c>
      <c r="L620" s="3" t="s">
        <v>1751</v>
      </c>
      <c r="N620" s="3" t="s">
        <v>1752</v>
      </c>
      <c r="S620" s="4" t="str">
        <f t="shared" si="1"/>
        <v>2017</v>
      </c>
    </row>
    <row r="621">
      <c r="A621" s="3">
        <v>83120.0</v>
      </c>
      <c r="B621" s="3" t="b">
        <v>0</v>
      </c>
      <c r="C621" s="3" t="s">
        <v>145</v>
      </c>
      <c r="G621" s="3" t="s">
        <v>1753</v>
      </c>
      <c r="K621" s="3" t="b">
        <v>0</v>
      </c>
      <c r="L621" s="3" t="s">
        <v>1754</v>
      </c>
      <c r="N621" s="3" t="s">
        <v>1755</v>
      </c>
      <c r="S621" s="4" t="str">
        <f t="shared" si="1"/>
        <v>2017</v>
      </c>
    </row>
    <row r="622">
      <c r="A622" s="3">
        <v>81826.0</v>
      </c>
      <c r="B622" s="3" t="b">
        <v>0</v>
      </c>
      <c r="C622" s="3" t="s">
        <v>101</v>
      </c>
      <c r="G622" s="3" t="s">
        <v>1756</v>
      </c>
      <c r="K622" s="3" t="b">
        <v>1</v>
      </c>
      <c r="L622" s="3" t="s">
        <v>1757</v>
      </c>
      <c r="N622" s="3" t="s">
        <v>1758</v>
      </c>
      <c r="O622" s="7">
        <v>21.0</v>
      </c>
      <c r="P622" s="7">
        <v>131.0</v>
      </c>
      <c r="R622" s="7">
        <v>0.0</v>
      </c>
      <c r="S622" s="4" t="str">
        <f t="shared" si="1"/>
        <v>2017</v>
      </c>
    </row>
    <row r="623">
      <c r="A623" s="3">
        <v>78698.0</v>
      </c>
      <c r="B623" s="3" t="b">
        <v>0</v>
      </c>
      <c r="C623" s="3" t="s">
        <v>46</v>
      </c>
      <c r="G623" s="3" t="s">
        <v>1759</v>
      </c>
      <c r="K623" s="3" t="b">
        <v>0</v>
      </c>
      <c r="L623" s="3" t="s">
        <v>1760</v>
      </c>
      <c r="N623" s="3" t="s">
        <v>1761</v>
      </c>
      <c r="S623" s="4" t="str">
        <f t="shared" si="1"/>
        <v>2017</v>
      </c>
    </row>
    <row r="624">
      <c r="A624" s="3">
        <v>56556.0</v>
      </c>
      <c r="B624" s="3" t="b">
        <v>0</v>
      </c>
      <c r="C624" s="3" t="s">
        <v>166</v>
      </c>
      <c r="G624" s="3" t="s">
        <v>1762</v>
      </c>
      <c r="H624" s="3">
        <v>3.0</v>
      </c>
      <c r="K624" s="3" t="b">
        <v>1</v>
      </c>
      <c r="L624" s="3" t="s">
        <v>1763</v>
      </c>
      <c r="N624" s="3" t="s">
        <v>1764</v>
      </c>
      <c r="O624" s="3">
        <v>172.0</v>
      </c>
      <c r="P624" s="3">
        <v>1355.0</v>
      </c>
      <c r="S624" s="4" t="str">
        <f t="shared" si="1"/>
        <v>2017</v>
      </c>
    </row>
    <row r="625">
      <c r="A625" s="3">
        <v>56556.0</v>
      </c>
      <c r="B625" s="3" t="b">
        <v>0</v>
      </c>
      <c r="C625" s="3" t="s">
        <v>73</v>
      </c>
      <c r="G625" s="3" t="s">
        <v>1762</v>
      </c>
      <c r="H625" s="3">
        <v>3.0</v>
      </c>
      <c r="K625" s="3" t="b">
        <v>1</v>
      </c>
      <c r="L625" s="3" t="s">
        <v>1763</v>
      </c>
      <c r="N625" s="3" t="s">
        <v>1764</v>
      </c>
      <c r="O625" s="3">
        <v>172.0</v>
      </c>
      <c r="P625" s="3">
        <v>1355.0</v>
      </c>
      <c r="S625" s="4" t="str">
        <f t="shared" si="1"/>
        <v>2017</v>
      </c>
    </row>
    <row r="626">
      <c r="A626" s="3">
        <v>51624.0</v>
      </c>
      <c r="B626" s="3" t="b">
        <v>0</v>
      </c>
      <c r="C626" s="3" t="s">
        <v>166</v>
      </c>
      <c r="G626" s="3" t="s">
        <v>1765</v>
      </c>
      <c r="H626" s="3">
        <v>6.0</v>
      </c>
      <c r="K626" s="3" t="b">
        <v>1</v>
      </c>
      <c r="L626" s="3" t="s">
        <v>1766</v>
      </c>
      <c r="N626" s="3" t="s">
        <v>1767</v>
      </c>
      <c r="O626" s="3">
        <v>783.0</v>
      </c>
      <c r="P626" s="3">
        <v>120.0</v>
      </c>
      <c r="S626" s="4" t="str">
        <f t="shared" si="1"/>
        <v>2017</v>
      </c>
    </row>
    <row r="627">
      <c r="A627" s="3">
        <v>51624.0</v>
      </c>
      <c r="B627" s="3" t="b">
        <v>0</v>
      </c>
      <c r="C627" s="3" t="s">
        <v>278</v>
      </c>
      <c r="G627" s="3" t="s">
        <v>1765</v>
      </c>
      <c r="H627" s="3">
        <v>6.0</v>
      </c>
      <c r="K627" s="3" t="b">
        <v>1</v>
      </c>
      <c r="L627" s="3" t="s">
        <v>1766</v>
      </c>
      <c r="N627" s="3" t="s">
        <v>1767</v>
      </c>
      <c r="O627" s="3">
        <v>783.0</v>
      </c>
      <c r="P627" s="3">
        <v>120.0</v>
      </c>
      <c r="S627" s="4" t="str">
        <f t="shared" si="1"/>
        <v>2017</v>
      </c>
    </row>
    <row r="628">
      <c r="A628" s="3">
        <v>48889.0</v>
      </c>
      <c r="B628" s="3" t="b">
        <v>0</v>
      </c>
      <c r="C628" s="3" t="s">
        <v>1768</v>
      </c>
      <c r="G628" s="3" t="s">
        <v>1769</v>
      </c>
      <c r="K628" s="3" t="b">
        <v>1</v>
      </c>
      <c r="L628" s="3" t="s">
        <v>1770</v>
      </c>
      <c r="N628" s="3" t="s">
        <v>1771</v>
      </c>
      <c r="P628" s="3">
        <v>1.0</v>
      </c>
      <c r="S628" s="4" t="str">
        <f t="shared" si="1"/>
        <v>2017</v>
      </c>
    </row>
    <row r="629">
      <c r="A629" s="3">
        <v>39715.0</v>
      </c>
      <c r="B629" s="3" t="b">
        <v>0</v>
      </c>
      <c r="C629" s="3" t="s">
        <v>46</v>
      </c>
      <c r="G629" s="3" t="s">
        <v>1772</v>
      </c>
      <c r="K629" s="3" t="b">
        <v>0</v>
      </c>
      <c r="L629" s="3" t="s">
        <v>1773</v>
      </c>
      <c r="N629" s="3" t="s">
        <v>1774</v>
      </c>
      <c r="S629" s="4" t="str">
        <f t="shared" si="1"/>
        <v>2017</v>
      </c>
    </row>
    <row r="630">
      <c r="A630" s="3">
        <v>36807.0</v>
      </c>
      <c r="B630" s="3" t="b">
        <v>0</v>
      </c>
      <c r="C630" s="3" t="s">
        <v>166</v>
      </c>
      <c r="G630" s="3" t="s">
        <v>1775</v>
      </c>
      <c r="H630" s="3">
        <v>22.0</v>
      </c>
      <c r="K630" s="3" t="b">
        <v>1</v>
      </c>
      <c r="L630" s="3" t="s">
        <v>1776</v>
      </c>
      <c r="N630" s="3" t="s">
        <v>1777</v>
      </c>
      <c r="O630" s="3">
        <v>317.0</v>
      </c>
      <c r="P630" s="3">
        <v>5636.0</v>
      </c>
      <c r="S630" s="4" t="str">
        <f t="shared" si="1"/>
        <v>2017</v>
      </c>
    </row>
    <row r="631">
      <c r="A631" s="3">
        <v>36807.0</v>
      </c>
      <c r="B631" s="3" t="b">
        <v>0</v>
      </c>
      <c r="C631" s="3" t="s">
        <v>73</v>
      </c>
      <c r="G631" s="3" t="s">
        <v>1775</v>
      </c>
      <c r="H631" s="3">
        <v>22.0</v>
      </c>
      <c r="K631" s="3" t="b">
        <v>1</v>
      </c>
      <c r="L631" s="3" t="s">
        <v>1776</v>
      </c>
      <c r="N631" s="3" t="s">
        <v>1777</v>
      </c>
      <c r="O631" s="3">
        <v>317.0</v>
      </c>
      <c r="P631" s="3">
        <v>5636.0</v>
      </c>
      <c r="S631" s="4" t="str">
        <f t="shared" si="1"/>
        <v>2017</v>
      </c>
    </row>
    <row r="632">
      <c r="A632" s="3">
        <v>36556.0</v>
      </c>
      <c r="B632" s="3" t="b">
        <v>0</v>
      </c>
      <c r="C632" s="3" t="s">
        <v>94</v>
      </c>
      <c r="D632" s="7">
        <v>28.0</v>
      </c>
      <c r="E632" s="7">
        <v>22.0</v>
      </c>
      <c r="F632" s="7">
        <v>138.0</v>
      </c>
      <c r="G632" s="3" t="s">
        <v>1778</v>
      </c>
      <c r="I632" s="7">
        <v>7.0</v>
      </c>
      <c r="J632" s="3">
        <v>5.0</v>
      </c>
      <c r="K632" s="3" t="b">
        <v>1</v>
      </c>
      <c r="L632" s="3" t="s">
        <v>1779</v>
      </c>
      <c r="M632" s="7">
        <v>1728.0</v>
      </c>
      <c r="N632" s="3" t="s">
        <v>1780</v>
      </c>
      <c r="P632" s="3">
        <v>2.0</v>
      </c>
      <c r="R632" s="7">
        <v>540.0</v>
      </c>
      <c r="S632" s="4" t="str">
        <f t="shared" si="1"/>
        <v>2017</v>
      </c>
    </row>
    <row r="633">
      <c r="A633" s="3">
        <v>36523.0</v>
      </c>
      <c r="B633" s="3" t="b">
        <v>0</v>
      </c>
      <c r="C633" s="3" t="s">
        <v>313</v>
      </c>
      <c r="G633" s="3" t="s">
        <v>1781</v>
      </c>
      <c r="H633" s="7">
        <v>9.0</v>
      </c>
      <c r="J633" s="3">
        <v>1.0</v>
      </c>
      <c r="K633" s="3" t="b">
        <v>1</v>
      </c>
      <c r="L633" s="3" t="s">
        <v>1782</v>
      </c>
      <c r="N633" s="3" t="s">
        <v>1783</v>
      </c>
      <c r="O633" s="3">
        <v>44.0</v>
      </c>
      <c r="P633" s="3">
        <v>546.0</v>
      </c>
      <c r="S633" s="4" t="str">
        <f t="shared" si="1"/>
        <v>2017</v>
      </c>
    </row>
    <row r="634">
      <c r="A634" s="3">
        <v>28687.0</v>
      </c>
      <c r="B634" s="3" t="b">
        <v>0</v>
      </c>
      <c r="C634" s="3" t="s">
        <v>149</v>
      </c>
      <c r="D634" s="7">
        <v>21.0</v>
      </c>
      <c r="E634" s="7">
        <v>4.0</v>
      </c>
      <c r="F634" s="7">
        <v>92.0</v>
      </c>
      <c r="G634" s="3" t="s">
        <v>1784</v>
      </c>
      <c r="K634" s="3" t="b">
        <v>1</v>
      </c>
      <c r="L634" s="3" t="s">
        <v>1785</v>
      </c>
      <c r="M634" s="7">
        <v>153.0</v>
      </c>
      <c r="N634" s="3" t="s">
        <v>1786</v>
      </c>
      <c r="O634" s="3">
        <v>1.0</v>
      </c>
      <c r="P634" s="3">
        <v>0.0</v>
      </c>
      <c r="S634" s="4" t="str">
        <f t="shared" si="1"/>
        <v>2017</v>
      </c>
    </row>
    <row r="635">
      <c r="A635" s="3">
        <v>27276.0</v>
      </c>
      <c r="B635" s="3" t="b">
        <v>0</v>
      </c>
      <c r="C635" s="3" t="s">
        <v>46</v>
      </c>
      <c r="G635" s="3" t="s">
        <v>1787</v>
      </c>
      <c r="K635" s="3" t="b">
        <v>0</v>
      </c>
      <c r="L635" s="3" t="s">
        <v>515</v>
      </c>
      <c r="N635" s="3" t="s">
        <v>1788</v>
      </c>
      <c r="S635" s="4" t="str">
        <f t="shared" si="1"/>
        <v>2017</v>
      </c>
    </row>
    <row r="636">
      <c r="A636" s="3">
        <v>21846.0</v>
      </c>
      <c r="B636" s="3" t="b">
        <v>0</v>
      </c>
      <c r="C636" s="3" t="s">
        <v>630</v>
      </c>
      <c r="G636" s="3" t="s">
        <v>1789</v>
      </c>
      <c r="K636" s="3" t="b">
        <v>0</v>
      </c>
      <c r="L636" s="3" t="s">
        <v>1790</v>
      </c>
      <c r="N636" s="3" t="s">
        <v>1791</v>
      </c>
      <c r="S636" s="4" t="str">
        <f t="shared" si="1"/>
        <v>2017</v>
      </c>
    </row>
    <row r="637">
      <c r="A637" s="3">
        <v>18900.0</v>
      </c>
      <c r="B637" s="3" t="b">
        <v>0</v>
      </c>
      <c r="C637" s="3" t="s">
        <v>94</v>
      </c>
      <c r="G637" s="3" t="s">
        <v>1792</v>
      </c>
      <c r="K637" s="3" t="b">
        <v>0</v>
      </c>
      <c r="L637" s="3" t="s">
        <v>1793</v>
      </c>
      <c r="N637" s="3" t="s">
        <v>1794</v>
      </c>
      <c r="S637" s="4" t="str">
        <f t="shared" si="1"/>
        <v>2017</v>
      </c>
    </row>
    <row r="638">
      <c r="A638" s="3">
        <v>18618.0</v>
      </c>
      <c r="B638" s="3" t="b">
        <v>0</v>
      </c>
      <c r="C638" s="3" t="s">
        <v>320</v>
      </c>
      <c r="G638" s="3" t="s">
        <v>1795</v>
      </c>
      <c r="K638" s="3" t="b">
        <v>0</v>
      </c>
      <c r="L638" s="3" t="s">
        <v>1796</v>
      </c>
      <c r="N638" s="3" t="s">
        <v>1797</v>
      </c>
      <c r="S638" s="4" t="str">
        <f t="shared" si="1"/>
        <v>2017</v>
      </c>
    </row>
    <row r="639">
      <c r="A639" s="3">
        <v>18430.0</v>
      </c>
      <c r="B639" s="3" t="b">
        <v>0</v>
      </c>
      <c r="C639" s="3" t="s">
        <v>97</v>
      </c>
      <c r="G639" s="3" t="s">
        <v>1798</v>
      </c>
      <c r="K639" s="3" t="b">
        <v>0</v>
      </c>
      <c r="L639" s="3" t="s">
        <v>1799</v>
      </c>
      <c r="N639" s="3" t="s">
        <v>1800</v>
      </c>
      <c r="S639" s="4" t="str">
        <f t="shared" si="1"/>
        <v>2017</v>
      </c>
    </row>
    <row r="640">
      <c r="A640" s="3">
        <v>17357.0</v>
      </c>
      <c r="B640" s="3" t="b">
        <v>0</v>
      </c>
      <c r="C640" s="3" t="s">
        <v>73</v>
      </c>
      <c r="G640" s="3" t="s">
        <v>1801</v>
      </c>
      <c r="K640" s="3" t="b">
        <v>1</v>
      </c>
      <c r="L640" s="3" t="s">
        <v>1802</v>
      </c>
      <c r="N640" s="3" t="s">
        <v>1803</v>
      </c>
      <c r="O640" s="7">
        <v>2.0</v>
      </c>
      <c r="P640" s="7">
        <v>6.0</v>
      </c>
      <c r="S640" s="4" t="str">
        <f t="shared" si="1"/>
        <v>2017</v>
      </c>
    </row>
    <row r="641">
      <c r="A641" s="3">
        <v>16031.0</v>
      </c>
      <c r="B641" s="3" t="b">
        <v>0</v>
      </c>
      <c r="C641" s="3" t="s">
        <v>94</v>
      </c>
      <c r="G641" s="3" t="s">
        <v>1804</v>
      </c>
      <c r="K641" s="3" t="b">
        <v>0</v>
      </c>
      <c r="L641" s="3" t="s">
        <v>1805</v>
      </c>
      <c r="N641" s="3" t="s">
        <v>1806</v>
      </c>
      <c r="S641" s="4" t="str">
        <f t="shared" si="1"/>
        <v>2017</v>
      </c>
    </row>
    <row r="642">
      <c r="A642" s="3">
        <v>15619.0</v>
      </c>
      <c r="B642" s="3" t="b">
        <v>0</v>
      </c>
      <c r="C642" s="3" t="s">
        <v>23</v>
      </c>
      <c r="G642" s="3" t="s">
        <v>1807</v>
      </c>
      <c r="K642" s="3" t="b">
        <v>1</v>
      </c>
      <c r="L642" s="3" t="s">
        <v>329</v>
      </c>
      <c r="N642" s="3" t="s">
        <v>1808</v>
      </c>
      <c r="O642" s="7">
        <v>26.0</v>
      </c>
      <c r="P642" s="7">
        <v>37.0</v>
      </c>
      <c r="S642" s="4" t="str">
        <f t="shared" si="1"/>
        <v>2017</v>
      </c>
    </row>
    <row r="643">
      <c r="A643" s="3">
        <v>13417.0</v>
      </c>
      <c r="B643" s="3" t="b">
        <v>0</v>
      </c>
      <c r="C643" s="3" t="s">
        <v>630</v>
      </c>
      <c r="G643" s="3" t="s">
        <v>1809</v>
      </c>
      <c r="K643" s="3" t="b">
        <v>0</v>
      </c>
      <c r="L643" s="3" t="s">
        <v>1249</v>
      </c>
      <c r="N643" s="3" t="s">
        <v>1810</v>
      </c>
      <c r="S643" s="4" t="str">
        <f t="shared" si="1"/>
        <v>2017</v>
      </c>
    </row>
    <row r="644">
      <c r="A644" s="3">
        <v>12407.0</v>
      </c>
      <c r="B644" s="3" t="b">
        <v>0</v>
      </c>
      <c r="C644" s="3" t="s">
        <v>156</v>
      </c>
      <c r="G644" s="3" t="s">
        <v>1811</v>
      </c>
      <c r="K644" s="3" t="b">
        <v>0</v>
      </c>
      <c r="L644" s="3" t="s">
        <v>1812</v>
      </c>
      <c r="N644" s="3" t="s">
        <v>1813</v>
      </c>
      <c r="S644" s="4" t="str">
        <f t="shared" si="1"/>
        <v>2017</v>
      </c>
    </row>
    <row r="645">
      <c r="A645" s="3">
        <v>10343.0</v>
      </c>
      <c r="B645" s="3" t="b">
        <v>0</v>
      </c>
      <c r="C645" s="3" t="s">
        <v>39</v>
      </c>
      <c r="D645" s="7">
        <v>14.0</v>
      </c>
      <c r="F645" s="7">
        <v>35.0</v>
      </c>
      <c r="G645" s="3" t="s">
        <v>1814</v>
      </c>
      <c r="I645" s="7">
        <v>2.0</v>
      </c>
      <c r="K645" s="3" t="b">
        <v>1</v>
      </c>
      <c r="L645" s="3" t="s">
        <v>1815</v>
      </c>
      <c r="M645" s="7">
        <v>432.0</v>
      </c>
      <c r="N645" s="3" t="s">
        <v>1816</v>
      </c>
      <c r="S645" s="4" t="str">
        <f t="shared" si="1"/>
        <v>2017</v>
      </c>
    </row>
    <row r="646">
      <c r="A646" s="3">
        <v>9989.0</v>
      </c>
      <c r="B646" s="3" t="b">
        <v>0</v>
      </c>
      <c r="C646" s="3" t="s">
        <v>367</v>
      </c>
      <c r="G646" s="3" t="s">
        <v>1817</v>
      </c>
      <c r="H646" s="7">
        <v>4.0</v>
      </c>
      <c r="K646" s="3" t="b">
        <v>1</v>
      </c>
      <c r="L646" s="3" t="s">
        <v>1818</v>
      </c>
      <c r="N646" s="3" t="s">
        <v>1819</v>
      </c>
      <c r="O646" s="3">
        <v>10.0</v>
      </c>
      <c r="P646" s="3">
        <v>264.0</v>
      </c>
      <c r="S646" s="4" t="str">
        <f t="shared" si="1"/>
        <v>2017</v>
      </c>
    </row>
    <row r="647">
      <c r="A647" s="3">
        <v>9217.0</v>
      </c>
      <c r="B647" s="3" t="b">
        <v>0</v>
      </c>
      <c r="C647" s="3" t="s">
        <v>435</v>
      </c>
      <c r="D647" s="7">
        <v>13.0</v>
      </c>
      <c r="E647" s="7">
        <v>8.0</v>
      </c>
      <c r="F647" s="7">
        <v>51.0</v>
      </c>
      <c r="G647" s="3" t="s">
        <v>1820</v>
      </c>
      <c r="I647" s="7">
        <v>1.0</v>
      </c>
      <c r="J647" s="7">
        <v>4.0</v>
      </c>
      <c r="K647" s="3" t="b">
        <v>1</v>
      </c>
      <c r="L647" s="3" t="s">
        <v>1821</v>
      </c>
      <c r="M647" s="7">
        <v>677.0</v>
      </c>
      <c r="N647" s="3" t="s">
        <v>1822</v>
      </c>
      <c r="O647" s="3">
        <v>55.0</v>
      </c>
      <c r="P647" s="3">
        <v>25.0</v>
      </c>
      <c r="S647" s="4" t="str">
        <f t="shared" si="1"/>
        <v>2017</v>
      </c>
    </row>
    <row r="648">
      <c r="A648" s="3">
        <v>8925.0</v>
      </c>
      <c r="B648" s="3" t="b">
        <v>0</v>
      </c>
      <c r="C648" s="3" t="s">
        <v>874</v>
      </c>
      <c r="G648" s="3" t="s">
        <v>1778</v>
      </c>
      <c r="K648" s="3" t="b">
        <v>0</v>
      </c>
      <c r="L648" s="3" t="s">
        <v>1823</v>
      </c>
      <c r="N648" s="3" t="s">
        <v>1824</v>
      </c>
      <c r="S648" s="4" t="str">
        <f t="shared" si="1"/>
        <v>2017</v>
      </c>
    </row>
    <row r="649">
      <c r="A649" s="3">
        <v>8417.0</v>
      </c>
      <c r="B649" s="3" t="b">
        <v>0</v>
      </c>
      <c r="C649" s="3" t="s">
        <v>87</v>
      </c>
      <c r="G649" s="3" t="s">
        <v>1825</v>
      </c>
      <c r="K649" s="3" t="b">
        <v>1</v>
      </c>
      <c r="L649" s="3" t="s">
        <v>1826</v>
      </c>
      <c r="M649" s="7">
        <v>97.0</v>
      </c>
      <c r="N649" s="3" t="s">
        <v>1777</v>
      </c>
      <c r="O649" s="7">
        <v>1.0</v>
      </c>
      <c r="P649" s="7">
        <v>6.0</v>
      </c>
      <c r="S649" s="4" t="str">
        <f t="shared" si="1"/>
        <v>2017</v>
      </c>
    </row>
    <row r="650">
      <c r="A650" s="3">
        <v>8094.0</v>
      </c>
      <c r="B650" s="3" t="b">
        <v>0</v>
      </c>
      <c r="C650" s="3" t="s">
        <v>101</v>
      </c>
      <c r="G650" s="3" t="s">
        <v>1827</v>
      </c>
      <c r="K650" s="3" t="b">
        <v>0</v>
      </c>
      <c r="L650" s="3" t="s">
        <v>458</v>
      </c>
      <c r="N650" s="3" t="s">
        <v>1828</v>
      </c>
      <c r="S650" s="4" t="str">
        <f t="shared" si="1"/>
        <v>2017</v>
      </c>
    </row>
    <row r="651">
      <c r="A651" s="3">
        <v>7697.0</v>
      </c>
      <c r="B651" s="3" t="b">
        <v>0</v>
      </c>
      <c r="C651" s="3" t="s">
        <v>145</v>
      </c>
      <c r="G651" s="3" t="s">
        <v>1829</v>
      </c>
      <c r="K651" s="3" t="b">
        <v>0</v>
      </c>
      <c r="L651" s="3" t="s">
        <v>1830</v>
      </c>
      <c r="N651" s="3" t="s">
        <v>1831</v>
      </c>
      <c r="S651" s="4" t="str">
        <f t="shared" si="1"/>
        <v>2017</v>
      </c>
    </row>
    <row r="652">
      <c r="A652" s="3">
        <v>7194.0</v>
      </c>
      <c r="B652" s="3" t="b">
        <v>0</v>
      </c>
      <c r="C652" s="3" t="s">
        <v>23</v>
      </c>
      <c r="G652" s="3" t="s">
        <v>1789</v>
      </c>
      <c r="K652" s="3" t="b">
        <v>0</v>
      </c>
      <c r="L652" s="3" t="s">
        <v>1832</v>
      </c>
      <c r="N652" s="3" t="s">
        <v>1833</v>
      </c>
      <c r="S652" s="4" t="str">
        <f t="shared" si="1"/>
        <v>2017</v>
      </c>
    </row>
    <row r="653">
      <c r="A653" s="3">
        <v>7000.0</v>
      </c>
      <c r="B653" s="3" t="b">
        <v>0</v>
      </c>
      <c r="C653" s="3" t="s">
        <v>101</v>
      </c>
      <c r="G653" s="3" t="s">
        <v>1834</v>
      </c>
      <c r="K653" s="3" t="b">
        <v>0</v>
      </c>
      <c r="L653" s="3" t="s">
        <v>1835</v>
      </c>
      <c r="N653" s="3" t="s">
        <v>1836</v>
      </c>
      <c r="S653" s="4" t="str">
        <f t="shared" si="1"/>
        <v>2017</v>
      </c>
    </row>
    <row r="654">
      <c r="A654" s="3">
        <v>6309.0</v>
      </c>
      <c r="B654" s="3" t="b">
        <v>0</v>
      </c>
      <c r="C654" s="3" t="s">
        <v>27</v>
      </c>
      <c r="G654" s="3" t="s">
        <v>1837</v>
      </c>
      <c r="K654" s="3" t="b">
        <v>0</v>
      </c>
      <c r="L654" s="3" t="s">
        <v>1838</v>
      </c>
      <c r="N654" s="3" t="s">
        <v>1839</v>
      </c>
      <c r="S654" s="4" t="str">
        <f t="shared" si="1"/>
        <v>2017</v>
      </c>
    </row>
    <row r="655">
      <c r="A655" s="3">
        <v>6151.0</v>
      </c>
      <c r="B655" s="3" t="b">
        <v>0</v>
      </c>
      <c r="C655" s="3" t="s">
        <v>87</v>
      </c>
      <c r="G655" s="3" t="s">
        <v>1840</v>
      </c>
      <c r="K655" s="3" t="b">
        <v>1</v>
      </c>
      <c r="L655" s="3" t="s">
        <v>1841</v>
      </c>
      <c r="N655" s="3" t="s">
        <v>1842</v>
      </c>
      <c r="O655" s="3">
        <v>2.0</v>
      </c>
      <c r="P655" s="3">
        <v>74.0</v>
      </c>
      <c r="S655" s="4" t="str">
        <f t="shared" si="1"/>
        <v>2017</v>
      </c>
    </row>
    <row r="656">
      <c r="A656" s="3">
        <v>6049.0</v>
      </c>
      <c r="B656" s="3" t="b">
        <v>0</v>
      </c>
      <c r="C656" s="3" t="s">
        <v>23</v>
      </c>
      <c r="D656" s="7">
        <v>18.0</v>
      </c>
      <c r="F656" s="7">
        <v>55.0</v>
      </c>
      <c r="G656" s="3" t="s">
        <v>1843</v>
      </c>
      <c r="I656" s="7">
        <v>2.0</v>
      </c>
      <c r="K656" s="3" t="b">
        <v>1</v>
      </c>
      <c r="L656" s="3" t="s">
        <v>1844</v>
      </c>
      <c r="M656" s="7">
        <v>652.0</v>
      </c>
      <c r="N656" s="3" t="s">
        <v>1845</v>
      </c>
      <c r="O656" s="3">
        <v>3.0</v>
      </c>
      <c r="P656" s="3">
        <v>6.0</v>
      </c>
      <c r="S656" s="4" t="str">
        <f t="shared" si="1"/>
        <v>2017</v>
      </c>
    </row>
    <row r="657">
      <c r="A657" s="3">
        <v>6042.0</v>
      </c>
      <c r="B657" s="3" t="b">
        <v>0</v>
      </c>
      <c r="C657" s="3" t="s">
        <v>320</v>
      </c>
      <c r="G657" s="3" t="s">
        <v>1778</v>
      </c>
      <c r="K657" s="3" t="b">
        <v>0</v>
      </c>
      <c r="L657" s="3" t="s">
        <v>1846</v>
      </c>
      <c r="N657" s="3" t="s">
        <v>1847</v>
      </c>
      <c r="S657" s="4" t="str">
        <f t="shared" si="1"/>
        <v>2017</v>
      </c>
    </row>
    <row r="658">
      <c r="A658" s="3">
        <v>6033.0</v>
      </c>
      <c r="B658" s="3" t="b">
        <v>0</v>
      </c>
      <c r="C658" s="3" t="s">
        <v>87</v>
      </c>
      <c r="D658" s="7">
        <v>4.0</v>
      </c>
      <c r="E658" s="7">
        <v>4.0</v>
      </c>
      <c r="F658" s="7">
        <v>10.0</v>
      </c>
      <c r="G658" s="3" t="s">
        <v>1848</v>
      </c>
      <c r="J658" s="7">
        <v>0.0</v>
      </c>
      <c r="K658" s="3" t="b">
        <v>1</v>
      </c>
      <c r="L658" s="3" t="s">
        <v>1849</v>
      </c>
      <c r="M658" s="7">
        <v>148.0</v>
      </c>
      <c r="N658" s="3" t="s">
        <v>1850</v>
      </c>
      <c r="O658" s="7">
        <v>60.0</v>
      </c>
      <c r="P658" s="7">
        <v>41.0</v>
      </c>
      <c r="R658" s="7">
        <v>0.0</v>
      </c>
      <c r="S658" s="4" t="str">
        <f t="shared" si="1"/>
        <v>2017</v>
      </c>
    </row>
    <row r="659">
      <c r="A659" s="3">
        <v>5738.0</v>
      </c>
      <c r="B659" s="3" t="b">
        <v>0</v>
      </c>
      <c r="C659" s="3" t="s">
        <v>39</v>
      </c>
      <c r="G659" s="3" t="s">
        <v>1851</v>
      </c>
      <c r="K659" s="3" t="b">
        <v>1</v>
      </c>
      <c r="L659" s="3" t="s">
        <v>1852</v>
      </c>
      <c r="N659" s="3" t="s">
        <v>1853</v>
      </c>
      <c r="S659" s="4" t="str">
        <f t="shared" si="1"/>
        <v>2017</v>
      </c>
    </row>
    <row r="660">
      <c r="A660" s="3">
        <v>5247.0</v>
      </c>
      <c r="B660" s="3" t="b">
        <v>0</v>
      </c>
      <c r="C660" s="3" t="s">
        <v>260</v>
      </c>
      <c r="G660" s="3" t="s">
        <v>1854</v>
      </c>
      <c r="K660" s="3" t="b">
        <v>0</v>
      </c>
      <c r="L660" s="3" t="s">
        <v>1855</v>
      </c>
      <c r="N660" s="3" t="s">
        <v>1856</v>
      </c>
      <c r="S660" s="4" t="str">
        <f t="shared" si="1"/>
        <v>2017</v>
      </c>
    </row>
    <row r="661">
      <c r="A661" s="3">
        <v>4736.0</v>
      </c>
      <c r="B661" s="3" t="b">
        <v>0</v>
      </c>
      <c r="C661" s="3" t="s">
        <v>630</v>
      </c>
      <c r="G661" s="3" t="s">
        <v>1857</v>
      </c>
      <c r="K661" s="3" t="b">
        <v>0</v>
      </c>
      <c r="L661" s="3" t="s">
        <v>1858</v>
      </c>
      <c r="N661" s="3" t="s">
        <v>1859</v>
      </c>
      <c r="S661" s="4" t="str">
        <f t="shared" si="1"/>
        <v>2017</v>
      </c>
    </row>
    <row r="662">
      <c r="A662" s="3">
        <v>4310.0</v>
      </c>
      <c r="B662" s="3" t="b">
        <v>0</v>
      </c>
      <c r="C662" s="3" t="s">
        <v>138</v>
      </c>
      <c r="G662" s="3" t="s">
        <v>1860</v>
      </c>
      <c r="K662" s="3" t="b">
        <v>0</v>
      </c>
      <c r="L662" s="3" t="s">
        <v>1861</v>
      </c>
      <c r="N662" s="3" t="s">
        <v>1862</v>
      </c>
      <c r="S662" s="4" t="str">
        <f t="shared" si="1"/>
        <v>2017</v>
      </c>
    </row>
    <row r="663">
      <c r="A663" s="3">
        <v>4100.0</v>
      </c>
      <c r="B663" s="3" t="b">
        <v>0</v>
      </c>
      <c r="C663" s="3" t="s">
        <v>62</v>
      </c>
      <c r="G663" s="3" t="s">
        <v>1863</v>
      </c>
      <c r="K663" s="3" t="b">
        <v>1</v>
      </c>
      <c r="L663" s="3" t="s">
        <v>1864</v>
      </c>
      <c r="N663" s="3" t="s">
        <v>1865</v>
      </c>
      <c r="O663" s="7">
        <v>64.0</v>
      </c>
      <c r="P663" s="3">
        <v>157.0</v>
      </c>
      <c r="S663" s="4" t="str">
        <f t="shared" si="1"/>
        <v>2017</v>
      </c>
    </row>
    <row r="664">
      <c r="A664" s="3">
        <v>4016.0</v>
      </c>
      <c r="B664" s="3" t="b">
        <v>0</v>
      </c>
      <c r="C664" s="3" t="s">
        <v>87</v>
      </c>
      <c r="G664" s="3" t="s">
        <v>1866</v>
      </c>
      <c r="J664" s="7">
        <v>2.0</v>
      </c>
      <c r="K664" s="3" t="b">
        <v>0</v>
      </c>
      <c r="L664" s="3" t="s">
        <v>1867</v>
      </c>
      <c r="N664" s="3" t="s">
        <v>1868</v>
      </c>
      <c r="P664" s="3">
        <v>54.0</v>
      </c>
      <c r="S664" s="4" t="str">
        <f t="shared" si="1"/>
        <v>2017</v>
      </c>
    </row>
    <row r="665">
      <c r="A665" s="3">
        <v>3874.0</v>
      </c>
      <c r="B665" s="3" t="b">
        <v>0</v>
      </c>
      <c r="C665" s="3" t="s">
        <v>27</v>
      </c>
      <c r="D665" s="7">
        <v>8.0</v>
      </c>
      <c r="E665" s="7">
        <v>2.0</v>
      </c>
      <c r="F665" s="7">
        <v>34.0</v>
      </c>
      <c r="G665" s="3" t="s">
        <v>1869</v>
      </c>
      <c r="I665" s="7">
        <v>2.0</v>
      </c>
      <c r="K665" s="3" t="b">
        <v>1</v>
      </c>
      <c r="L665" s="3" t="s">
        <v>1870</v>
      </c>
      <c r="N665" s="3" t="s">
        <v>1871</v>
      </c>
      <c r="S665" s="4" t="str">
        <f t="shared" si="1"/>
        <v>2017</v>
      </c>
    </row>
    <row r="666">
      <c r="A666" s="3">
        <v>3142.0</v>
      </c>
      <c r="B666" s="3" t="b">
        <v>0</v>
      </c>
      <c r="C666" s="3" t="s">
        <v>46</v>
      </c>
      <c r="G666" s="3" t="s">
        <v>1872</v>
      </c>
      <c r="K666" s="3" t="b">
        <v>0</v>
      </c>
      <c r="L666" s="3" t="s">
        <v>1873</v>
      </c>
      <c r="N666" s="3" t="s">
        <v>1874</v>
      </c>
      <c r="S666" s="4" t="str">
        <f t="shared" si="1"/>
        <v>2017</v>
      </c>
    </row>
    <row r="667">
      <c r="A667" s="3">
        <v>2940.0</v>
      </c>
      <c r="B667" s="3" t="b">
        <v>0</v>
      </c>
      <c r="C667" s="3" t="s">
        <v>69</v>
      </c>
      <c r="G667" s="3" t="s">
        <v>1784</v>
      </c>
      <c r="K667" s="3" t="b">
        <v>0</v>
      </c>
      <c r="L667" s="3" t="s">
        <v>1875</v>
      </c>
      <c r="N667" s="3" t="s">
        <v>1876</v>
      </c>
      <c r="S667" s="4" t="str">
        <f t="shared" si="1"/>
        <v>2017</v>
      </c>
    </row>
    <row r="668">
      <c r="A668" s="3">
        <v>2662.0</v>
      </c>
      <c r="B668" s="3" t="b">
        <v>0</v>
      </c>
      <c r="C668" s="3" t="s">
        <v>435</v>
      </c>
      <c r="G668" s="3" t="s">
        <v>1877</v>
      </c>
      <c r="K668" s="3" t="b">
        <v>0</v>
      </c>
      <c r="L668" s="3" t="s">
        <v>1278</v>
      </c>
      <c r="N668" s="3" t="s">
        <v>1878</v>
      </c>
      <c r="S668" s="4" t="str">
        <f t="shared" si="1"/>
        <v>2017</v>
      </c>
    </row>
    <row r="669">
      <c r="A669" s="3">
        <v>2575.0</v>
      </c>
      <c r="B669" s="3" t="b">
        <v>0</v>
      </c>
      <c r="C669" s="3" t="s">
        <v>138</v>
      </c>
      <c r="G669" s="3" t="s">
        <v>1879</v>
      </c>
      <c r="K669" s="3" t="b">
        <v>0</v>
      </c>
      <c r="L669" s="3" t="s">
        <v>1880</v>
      </c>
      <c r="N669" s="3" t="s">
        <v>1881</v>
      </c>
      <c r="S669" s="4" t="str">
        <f t="shared" si="1"/>
        <v>2017</v>
      </c>
    </row>
    <row r="670">
      <c r="A670" s="3">
        <v>2312.0</v>
      </c>
      <c r="B670" s="3" t="b">
        <v>0</v>
      </c>
      <c r="C670" s="3" t="s">
        <v>1768</v>
      </c>
      <c r="G670" s="3" t="s">
        <v>1882</v>
      </c>
      <c r="K670" s="3" t="b">
        <v>0</v>
      </c>
      <c r="L670" s="3" t="s">
        <v>1883</v>
      </c>
      <c r="N670" s="3" t="s">
        <v>1884</v>
      </c>
      <c r="S670" s="4" t="str">
        <f t="shared" si="1"/>
        <v>2017</v>
      </c>
    </row>
    <row r="671">
      <c r="A671" s="3">
        <v>2295.0</v>
      </c>
      <c r="B671" s="3" t="b">
        <v>0</v>
      </c>
      <c r="C671" s="3" t="s">
        <v>94</v>
      </c>
      <c r="G671" s="3" t="s">
        <v>1885</v>
      </c>
      <c r="K671" s="3" t="b">
        <v>0</v>
      </c>
      <c r="L671" s="3" t="s">
        <v>461</v>
      </c>
      <c r="N671" s="3" t="s">
        <v>1886</v>
      </c>
      <c r="S671" s="4" t="str">
        <f t="shared" si="1"/>
        <v>2017</v>
      </c>
    </row>
    <row r="672">
      <c r="A672" s="3">
        <v>2289.0</v>
      </c>
      <c r="B672" s="3" t="b">
        <v>0</v>
      </c>
      <c r="C672" s="3" t="s">
        <v>94</v>
      </c>
      <c r="G672" s="3" t="s">
        <v>1854</v>
      </c>
      <c r="K672" s="3" t="b">
        <v>0</v>
      </c>
      <c r="L672" s="3" t="s">
        <v>326</v>
      </c>
      <c r="N672" s="3" t="s">
        <v>1887</v>
      </c>
      <c r="S672" s="4" t="str">
        <f t="shared" si="1"/>
        <v>2017</v>
      </c>
    </row>
    <row r="673">
      <c r="A673" s="3">
        <v>2269.0</v>
      </c>
      <c r="B673" s="3" t="b">
        <v>0</v>
      </c>
      <c r="C673" s="3" t="s">
        <v>240</v>
      </c>
      <c r="D673" s="7">
        <v>4.0</v>
      </c>
      <c r="F673" s="7">
        <v>10.0</v>
      </c>
      <c r="G673" s="3" t="s">
        <v>1888</v>
      </c>
      <c r="J673" s="7">
        <v>4.0</v>
      </c>
      <c r="K673" s="3" t="b">
        <v>1</v>
      </c>
      <c r="L673" s="3" t="s">
        <v>1889</v>
      </c>
      <c r="M673" s="7">
        <v>123.0</v>
      </c>
      <c r="N673" s="3" t="s">
        <v>1890</v>
      </c>
      <c r="S673" s="4" t="str">
        <f t="shared" si="1"/>
        <v>2017</v>
      </c>
    </row>
    <row r="674">
      <c r="A674" s="3">
        <v>2207.0</v>
      </c>
      <c r="B674" s="3" t="b">
        <v>0</v>
      </c>
      <c r="C674" s="3" t="s">
        <v>186</v>
      </c>
      <c r="G674" s="3" t="s">
        <v>1891</v>
      </c>
      <c r="K674" s="3" t="b">
        <v>1</v>
      </c>
      <c r="L674" s="3" t="s">
        <v>1892</v>
      </c>
      <c r="N674" s="3" t="s">
        <v>1893</v>
      </c>
      <c r="O674" s="7">
        <v>8.0</v>
      </c>
      <c r="P674" s="7">
        <v>162.0</v>
      </c>
      <c r="S674" s="4" t="str">
        <f t="shared" si="1"/>
        <v>2017</v>
      </c>
    </row>
    <row r="675">
      <c r="A675" s="3">
        <v>2056.0</v>
      </c>
      <c r="B675" s="3" t="b">
        <v>0</v>
      </c>
      <c r="C675" s="3" t="s">
        <v>62</v>
      </c>
      <c r="G675" s="3" t="s">
        <v>1894</v>
      </c>
      <c r="K675" s="3" t="b">
        <v>1</v>
      </c>
      <c r="L675" s="3" t="s">
        <v>1895</v>
      </c>
      <c r="M675" s="7">
        <v>665.0</v>
      </c>
      <c r="N675" s="3" t="s">
        <v>1896</v>
      </c>
      <c r="S675" s="4" t="str">
        <f t="shared" si="1"/>
        <v>2017</v>
      </c>
    </row>
    <row r="676">
      <c r="A676" s="3">
        <v>1868.0</v>
      </c>
      <c r="B676" s="3" t="b">
        <v>0</v>
      </c>
      <c r="C676" s="3" t="s">
        <v>73</v>
      </c>
      <c r="G676" s="3" t="s">
        <v>1897</v>
      </c>
      <c r="K676" s="3" t="b">
        <v>1</v>
      </c>
      <c r="L676" s="3" t="s">
        <v>1898</v>
      </c>
      <c r="N676" s="3" t="s">
        <v>1899</v>
      </c>
      <c r="S676" s="4" t="str">
        <f t="shared" si="1"/>
        <v>2017</v>
      </c>
    </row>
    <row r="677">
      <c r="A677" s="3">
        <v>1816.0</v>
      </c>
      <c r="B677" s="3" t="b">
        <v>0</v>
      </c>
      <c r="C677" s="3" t="s">
        <v>114</v>
      </c>
      <c r="G677" s="3" t="s">
        <v>1900</v>
      </c>
      <c r="K677" s="3" t="b">
        <v>0</v>
      </c>
      <c r="L677" s="3" t="s">
        <v>1901</v>
      </c>
      <c r="N677" s="3" t="s">
        <v>1902</v>
      </c>
      <c r="S677" s="4" t="str">
        <f t="shared" si="1"/>
        <v>2017</v>
      </c>
    </row>
    <row r="678">
      <c r="A678" s="3">
        <v>1816.0</v>
      </c>
      <c r="B678" s="3" t="b">
        <v>0</v>
      </c>
      <c r="C678" s="3" t="s">
        <v>149</v>
      </c>
      <c r="G678" s="3" t="s">
        <v>1900</v>
      </c>
      <c r="K678" s="3" t="b">
        <v>0</v>
      </c>
      <c r="L678" s="3" t="s">
        <v>1901</v>
      </c>
      <c r="N678" s="3" t="s">
        <v>1902</v>
      </c>
      <c r="S678" s="4" t="str">
        <f t="shared" si="1"/>
        <v>2017</v>
      </c>
    </row>
    <row r="679">
      <c r="A679" s="3">
        <v>1800.0</v>
      </c>
      <c r="B679" s="3" t="b">
        <v>0</v>
      </c>
      <c r="C679" s="3" t="s">
        <v>282</v>
      </c>
      <c r="G679" s="3" t="s">
        <v>1903</v>
      </c>
      <c r="K679" s="3" t="b">
        <v>0</v>
      </c>
      <c r="L679" s="3" t="s">
        <v>1904</v>
      </c>
      <c r="N679" s="3" t="s">
        <v>1905</v>
      </c>
      <c r="S679" s="4" t="str">
        <f t="shared" si="1"/>
        <v>2017</v>
      </c>
    </row>
    <row r="680">
      <c r="A680" s="3">
        <v>1749.0</v>
      </c>
      <c r="B680" s="3" t="b">
        <v>0</v>
      </c>
      <c r="C680" s="3" t="s">
        <v>260</v>
      </c>
      <c r="G680" s="3" t="s">
        <v>1869</v>
      </c>
      <c r="K680" s="3" t="b">
        <v>0</v>
      </c>
      <c r="L680" s="3" t="s">
        <v>329</v>
      </c>
      <c r="N680" s="3" t="s">
        <v>1906</v>
      </c>
      <c r="S680" s="4" t="str">
        <f t="shared" si="1"/>
        <v>2017</v>
      </c>
    </row>
    <row r="681">
      <c r="A681" s="3">
        <v>1660.0</v>
      </c>
      <c r="B681" s="3" t="b">
        <v>0</v>
      </c>
      <c r="C681" s="3" t="s">
        <v>73</v>
      </c>
      <c r="G681" s="3" t="s">
        <v>1907</v>
      </c>
      <c r="K681" s="3" t="b">
        <v>0</v>
      </c>
      <c r="L681" s="3" t="s">
        <v>1908</v>
      </c>
      <c r="N681" s="3" t="s">
        <v>1909</v>
      </c>
      <c r="S681" s="4" t="str">
        <f t="shared" si="1"/>
        <v>2017</v>
      </c>
    </row>
    <row r="682">
      <c r="A682" s="3">
        <v>1649.0</v>
      </c>
      <c r="B682" s="3" t="b">
        <v>0</v>
      </c>
      <c r="C682" s="3" t="s">
        <v>39</v>
      </c>
      <c r="D682" s="7">
        <v>17.0</v>
      </c>
      <c r="E682" s="7">
        <v>10.0</v>
      </c>
      <c r="F682" s="7">
        <v>35.0</v>
      </c>
      <c r="G682" s="3" t="s">
        <v>1910</v>
      </c>
      <c r="I682" s="7">
        <v>1.0</v>
      </c>
      <c r="K682" s="3" t="b">
        <v>1</v>
      </c>
      <c r="L682" s="3" t="s">
        <v>1209</v>
      </c>
      <c r="M682" s="7">
        <v>727.0</v>
      </c>
      <c r="N682" s="3" t="s">
        <v>1911</v>
      </c>
      <c r="R682" s="7">
        <v>5.0</v>
      </c>
      <c r="S682" s="4" t="str">
        <f t="shared" si="1"/>
        <v>2017</v>
      </c>
    </row>
    <row r="683">
      <c r="A683" s="3">
        <v>1626.0</v>
      </c>
      <c r="B683" s="3" t="b">
        <v>0</v>
      </c>
      <c r="C683" s="3" t="s">
        <v>69</v>
      </c>
      <c r="G683" s="3" t="s">
        <v>1888</v>
      </c>
      <c r="K683" s="3" t="b">
        <v>0</v>
      </c>
      <c r="L683" s="3" t="s">
        <v>1912</v>
      </c>
      <c r="N683" s="3" t="s">
        <v>1913</v>
      </c>
      <c r="S683" s="4" t="str">
        <f t="shared" si="1"/>
        <v>2017</v>
      </c>
    </row>
    <row r="684">
      <c r="A684" s="3">
        <v>1598.0</v>
      </c>
      <c r="B684" s="3" t="b">
        <v>0</v>
      </c>
      <c r="C684" s="3" t="s">
        <v>149</v>
      </c>
      <c r="G684" s="3" t="s">
        <v>1837</v>
      </c>
      <c r="K684" s="3" t="b">
        <v>1</v>
      </c>
      <c r="L684" s="3" t="s">
        <v>1914</v>
      </c>
      <c r="N684" s="3" t="s">
        <v>1915</v>
      </c>
      <c r="P684" s="7">
        <v>4.0</v>
      </c>
      <c r="S684" s="4" t="str">
        <f t="shared" si="1"/>
        <v>2017</v>
      </c>
    </row>
    <row r="685">
      <c r="A685" s="3">
        <v>1538.0</v>
      </c>
      <c r="B685" s="3" t="b">
        <v>0</v>
      </c>
      <c r="C685" s="3" t="s">
        <v>39</v>
      </c>
      <c r="G685" s="3" t="s">
        <v>1916</v>
      </c>
      <c r="K685" s="3" t="b">
        <v>1</v>
      </c>
      <c r="L685" s="3" t="s">
        <v>1917</v>
      </c>
      <c r="N685" s="3" t="s">
        <v>1918</v>
      </c>
      <c r="S685" s="4" t="str">
        <f t="shared" si="1"/>
        <v>2017</v>
      </c>
    </row>
    <row r="686">
      <c r="A686" s="3">
        <v>1522.0</v>
      </c>
      <c r="B686" s="3" t="b">
        <v>0</v>
      </c>
      <c r="C686" s="3" t="s">
        <v>69</v>
      </c>
      <c r="G686" s="3" t="s">
        <v>1919</v>
      </c>
      <c r="K686" s="3" t="b">
        <v>0</v>
      </c>
      <c r="L686" s="3" t="s">
        <v>653</v>
      </c>
      <c r="N686" s="3" t="s">
        <v>1920</v>
      </c>
      <c r="S686" s="4" t="str">
        <f t="shared" si="1"/>
        <v>2017</v>
      </c>
    </row>
    <row r="687">
      <c r="A687" s="3">
        <v>1503.0</v>
      </c>
      <c r="B687" s="3" t="b">
        <v>0</v>
      </c>
      <c r="C687" s="3" t="s">
        <v>134</v>
      </c>
      <c r="G687" s="3" t="s">
        <v>1921</v>
      </c>
      <c r="K687" s="3" t="b">
        <v>0</v>
      </c>
      <c r="L687" s="3" t="s">
        <v>1922</v>
      </c>
      <c r="N687" s="3" t="s">
        <v>1923</v>
      </c>
      <c r="S687" s="4" t="str">
        <f t="shared" si="1"/>
        <v>2017</v>
      </c>
    </row>
    <row r="688">
      <c r="A688" s="3">
        <v>1431.0</v>
      </c>
      <c r="B688" s="3" t="b">
        <v>0</v>
      </c>
      <c r="C688" s="3" t="s">
        <v>156</v>
      </c>
      <c r="F688" s="7">
        <v>3.0</v>
      </c>
      <c r="G688" s="3" t="s">
        <v>1924</v>
      </c>
      <c r="K688" s="3" t="b">
        <v>1</v>
      </c>
      <c r="L688" s="3" t="s">
        <v>1925</v>
      </c>
      <c r="M688" s="7">
        <v>13.0</v>
      </c>
      <c r="N688" s="3" t="s">
        <v>1926</v>
      </c>
      <c r="S688" s="4" t="str">
        <f t="shared" si="1"/>
        <v>2017</v>
      </c>
    </row>
    <row r="689">
      <c r="A689" s="3">
        <v>1350.0</v>
      </c>
      <c r="B689" s="3" t="b">
        <v>0</v>
      </c>
      <c r="C689" s="3" t="s">
        <v>69</v>
      </c>
      <c r="G689" s="3" t="s">
        <v>1927</v>
      </c>
      <c r="K689" s="3" t="b">
        <v>0</v>
      </c>
      <c r="L689" s="3" t="s">
        <v>1928</v>
      </c>
      <c r="N689" s="3" t="s">
        <v>1929</v>
      </c>
      <c r="S689" s="4" t="str">
        <f t="shared" si="1"/>
        <v>2017</v>
      </c>
    </row>
    <row r="690">
      <c r="A690" s="3">
        <v>1350.0</v>
      </c>
      <c r="B690" s="3" t="b">
        <v>0</v>
      </c>
      <c r="C690" s="3" t="s">
        <v>27</v>
      </c>
      <c r="G690" s="3" t="s">
        <v>1930</v>
      </c>
      <c r="K690" s="3" t="b">
        <v>0</v>
      </c>
      <c r="L690" s="3" t="s">
        <v>1931</v>
      </c>
      <c r="N690" s="3" t="s">
        <v>1932</v>
      </c>
      <c r="S690" s="4" t="str">
        <f t="shared" si="1"/>
        <v>2017</v>
      </c>
    </row>
    <row r="691">
      <c r="A691" s="3">
        <v>1319.0</v>
      </c>
      <c r="B691" s="3" t="b">
        <v>0</v>
      </c>
      <c r="C691" s="3" t="s">
        <v>69</v>
      </c>
      <c r="G691" s="3" t="s">
        <v>1869</v>
      </c>
      <c r="K691" s="3" t="b">
        <v>0</v>
      </c>
      <c r="L691" s="3" t="s">
        <v>1933</v>
      </c>
      <c r="N691" s="3" t="s">
        <v>1934</v>
      </c>
      <c r="S691" s="4" t="str">
        <f t="shared" si="1"/>
        <v>2017</v>
      </c>
    </row>
    <row r="692">
      <c r="A692" s="3">
        <v>1286.0</v>
      </c>
      <c r="B692" s="3" t="b">
        <v>0</v>
      </c>
      <c r="C692" s="3" t="s">
        <v>247</v>
      </c>
      <c r="G692" s="3" t="s">
        <v>1935</v>
      </c>
      <c r="K692" s="3" t="b">
        <v>0</v>
      </c>
      <c r="L692" s="3" t="s">
        <v>1936</v>
      </c>
      <c r="N692" s="3" t="s">
        <v>1937</v>
      </c>
      <c r="S692" s="4" t="str">
        <f t="shared" si="1"/>
        <v>2017</v>
      </c>
    </row>
    <row r="693">
      <c r="A693" s="3">
        <v>1200.0</v>
      </c>
      <c r="B693" s="3" t="b">
        <v>0</v>
      </c>
      <c r="C693" s="3" t="s">
        <v>69</v>
      </c>
      <c r="G693" s="3" t="s">
        <v>1938</v>
      </c>
      <c r="K693" s="3" t="b">
        <v>0</v>
      </c>
      <c r="L693" s="3" t="s">
        <v>1939</v>
      </c>
      <c r="N693" s="3" t="s">
        <v>1940</v>
      </c>
      <c r="S693" s="4" t="str">
        <f t="shared" si="1"/>
        <v>2017</v>
      </c>
    </row>
    <row r="694">
      <c r="A694" s="3">
        <v>1088.0</v>
      </c>
      <c r="B694" s="3" t="b">
        <v>0</v>
      </c>
      <c r="C694" s="3" t="s">
        <v>62</v>
      </c>
      <c r="G694" s="3" t="s">
        <v>1941</v>
      </c>
      <c r="K694" s="3" t="b">
        <v>0</v>
      </c>
      <c r="L694" s="3" t="s">
        <v>1942</v>
      </c>
      <c r="N694" s="3" t="s">
        <v>1943</v>
      </c>
      <c r="S694" s="4" t="str">
        <f t="shared" si="1"/>
        <v>2017</v>
      </c>
    </row>
    <row r="695">
      <c r="A695" s="3">
        <v>1083.0</v>
      </c>
      <c r="B695" s="3" t="b">
        <v>0</v>
      </c>
      <c r="C695" s="3" t="s">
        <v>69</v>
      </c>
      <c r="G695" s="3" t="s">
        <v>1944</v>
      </c>
      <c r="K695" s="3" t="b">
        <v>0</v>
      </c>
      <c r="L695" s="3" t="s">
        <v>1945</v>
      </c>
      <c r="N695" s="3" t="s">
        <v>1946</v>
      </c>
      <c r="S695" s="4" t="str">
        <f t="shared" si="1"/>
        <v>2017</v>
      </c>
    </row>
    <row r="696">
      <c r="A696" s="3">
        <v>1044.0</v>
      </c>
      <c r="B696" s="3" t="b">
        <v>0</v>
      </c>
      <c r="C696" s="3" t="s">
        <v>27</v>
      </c>
      <c r="G696" s="3" t="s">
        <v>1947</v>
      </c>
      <c r="K696" s="3" t="b">
        <v>1</v>
      </c>
      <c r="L696" s="3" t="s">
        <v>1948</v>
      </c>
      <c r="N696" s="3" t="s">
        <v>1949</v>
      </c>
      <c r="S696" s="4" t="str">
        <f t="shared" si="1"/>
        <v>2017</v>
      </c>
    </row>
    <row r="697">
      <c r="A697" s="3">
        <v>1035.0</v>
      </c>
      <c r="B697" s="3" t="b">
        <v>0</v>
      </c>
      <c r="C697" s="3" t="s">
        <v>156</v>
      </c>
      <c r="G697" s="3" t="s">
        <v>1879</v>
      </c>
      <c r="K697" s="3" t="b">
        <v>1</v>
      </c>
      <c r="L697" s="3" t="s">
        <v>1950</v>
      </c>
      <c r="N697" s="3" t="s">
        <v>1951</v>
      </c>
      <c r="P697" s="7">
        <v>4.0</v>
      </c>
      <c r="S697" s="4" t="str">
        <f t="shared" si="1"/>
        <v>2017</v>
      </c>
    </row>
    <row r="698">
      <c r="A698" s="3">
        <v>1020.0</v>
      </c>
      <c r="B698" s="3" t="b">
        <v>0</v>
      </c>
      <c r="C698" s="3" t="s">
        <v>138</v>
      </c>
      <c r="G698" s="3" t="s">
        <v>1952</v>
      </c>
      <c r="K698" s="3" t="b">
        <v>0</v>
      </c>
      <c r="L698" s="3" t="s">
        <v>1953</v>
      </c>
      <c r="N698" s="3" t="s">
        <v>1954</v>
      </c>
      <c r="S698" s="4" t="str">
        <f t="shared" si="1"/>
        <v>2017</v>
      </c>
    </row>
    <row r="699">
      <c r="A699" s="3">
        <v>1000.0</v>
      </c>
      <c r="B699" s="3" t="b">
        <v>0</v>
      </c>
      <c r="C699" s="3" t="s">
        <v>62</v>
      </c>
      <c r="G699" s="3" t="s">
        <v>1955</v>
      </c>
      <c r="K699" s="3" t="b">
        <v>0</v>
      </c>
      <c r="L699" s="3" t="s">
        <v>1381</v>
      </c>
      <c r="N699" s="3" t="s">
        <v>1956</v>
      </c>
      <c r="S699" s="4" t="str">
        <f t="shared" si="1"/>
        <v>2017</v>
      </c>
    </row>
    <row r="700">
      <c r="A700" s="3">
        <v>995.0</v>
      </c>
      <c r="B700" s="3" t="b">
        <v>0</v>
      </c>
      <c r="C700" s="3" t="s">
        <v>58</v>
      </c>
      <c r="D700" s="7">
        <v>14.0</v>
      </c>
      <c r="E700" s="7">
        <v>1.0</v>
      </c>
      <c r="F700" s="7">
        <v>15.0</v>
      </c>
      <c r="G700" s="3" t="s">
        <v>1809</v>
      </c>
      <c r="I700" s="7">
        <v>2.0</v>
      </c>
      <c r="J700" s="7">
        <v>3.0</v>
      </c>
      <c r="K700" s="3" t="b">
        <v>1</v>
      </c>
      <c r="L700" s="3" t="s">
        <v>1957</v>
      </c>
      <c r="M700" s="7">
        <v>317.0</v>
      </c>
      <c r="N700" s="3" t="s">
        <v>1958</v>
      </c>
      <c r="S700" s="4" t="str">
        <f t="shared" si="1"/>
        <v>2017</v>
      </c>
    </row>
    <row r="701">
      <c r="A701" s="3">
        <v>976.0</v>
      </c>
      <c r="B701" s="3" t="b">
        <v>0</v>
      </c>
      <c r="C701" s="3" t="s">
        <v>39</v>
      </c>
      <c r="G701" s="3" t="s">
        <v>1959</v>
      </c>
      <c r="K701" s="3" t="b">
        <v>0</v>
      </c>
      <c r="L701" s="3" t="s">
        <v>1960</v>
      </c>
      <c r="N701" s="3" t="s">
        <v>1961</v>
      </c>
      <c r="S701" s="4" t="str">
        <f t="shared" si="1"/>
        <v>2017</v>
      </c>
    </row>
    <row r="702">
      <c r="A702" s="3">
        <v>900.0</v>
      </c>
      <c r="B702" s="3" t="b">
        <v>0</v>
      </c>
      <c r="C702" s="3" t="s">
        <v>313</v>
      </c>
      <c r="G702" s="3" t="s">
        <v>1962</v>
      </c>
      <c r="J702" s="7">
        <v>1.0</v>
      </c>
      <c r="K702" s="3" t="b">
        <v>1</v>
      </c>
      <c r="L702" s="3" t="s">
        <v>1234</v>
      </c>
      <c r="N702" s="3" t="s">
        <v>1963</v>
      </c>
      <c r="S702" s="4" t="str">
        <f t="shared" si="1"/>
        <v>2017</v>
      </c>
    </row>
    <row r="703">
      <c r="A703" s="3">
        <v>867.0</v>
      </c>
      <c r="B703" s="3" t="b">
        <v>0</v>
      </c>
      <c r="C703" s="3" t="s">
        <v>367</v>
      </c>
      <c r="G703" s="3" t="s">
        <v>1759</v>
      </c>
      <c r="K703" s="3" t="b">
        <v>0</v>
      </c>
      <c r="L703" s="3" t="s">
        <v>1391</v>
      </c>
      <c r="N703" s="3" t="s">
        <v>1964</v>
      </c>
      <c r="S703" s="4" t="str">
        <f t="shared" si="1"/>
        <v>2017</v>
      </c>
    </row>
    <row r="704">
      <c r="A704" s="3">
        <v>866.0</v>
      </c>
      <c r="B704" s="3" t="b">
        <v>0</v>
      </c>
      <c r="C704" s="3" t="s">
        <v>27</v>
      </c>
      <c r="G704" s="3" t="s">
        <v>1965</v>
      </c>
      <c r="K704" s="3" t="b">
        <v>0</v>
      </c>
      <c r="L704" s="3" t="s">
        <v>1966</v>
      </c>
      <c r="N704" s="3" t="s">
        <v>1967</v>
      </c>
      <c r="S704" s="4" t="str">
        <f t="shared" si="1"/>
        <v>2017</v>
      </c>
    </row>
    <row r="705">
      <c r="A705" s="3">
        <v>859.0</v>
      </c>
      <c r="B705" s="3" t="b">
        <v>0</v>
      </c>
      <c r="C705" s="3" t="s">
        <v>320</v>
      </c>
      <c r="G705" s="3" t="s">
        <v>1968</v>
      </c>
      <c r="K705" s="3" t="b">
        <v>0</v>
      </c>
      <c r="L705" s="3" t="s">
        <v>1969</v>
      </c>
      <c r="N705" s="3" t="s">
        <v>1970</v>
      </c>
      <c r="S705" s="4" t="str">
        <f t="shared" si="1"/>
        <v>2017</v>
      </c>
    </row>
    <row r="706">
      <c r="A706" s="3">
        <v>821.0</v>
      </c>
      <c r="B706" s="3" t="b">
        <v>0</v>
      </c>
      <c r="C706" s="3" t="s">
        <v>388</v>
      </c>
      <c r="G706" s="3" t="s">
        <v>1971</v>
      </c>
      <c r="K706" s="3" t="b">
        <v>1</v>
      </c>
      <c r="L706" s="3" t="s">
        <v>1972</v>
      </c>
      <c r="N706" s="3" t="s">
        <v>1973</v>
      </c>
      <c r="O706" s="7">
        <v>2.0</v>
      </c>
      <c r="P706" s="7">
        <v>48.0</v>
      </c>
      <c r="S706" s="4" t="str">
        <f t="shared" si="1"/>
        <v>2017</v>
      </c>
    </row>
    <row r="707">
      <c r="A707" s="3">
        <v>800.0</v>
      </c>
      <c r="B707" s="3" t="b">
        <v>0</v>
      </c>
      <c r="C707" s="3" t="s">
        <v>23</v>
      </c>
      <c r="G707" s="3" t="s">
        <v>1974</v>
      </c>
      <c r="K707" s="3" t="b">
        <v>0</v>
      </c>
      <c r="L707" s="3" t="s">
        <v>125</v>
      </c>
      <c r="N707" s="3" t="s">
        <v>1975</v>
      </c>
      <c r="S707" s="4" t="str">
        <f t="shared" si="1"/>
        <v>2017</v>
      </c>
    </row>
    <row r="708">
      <c r="A708" s="3">
        <v>775.0</v>
      </c>
      <c r="B708" s="3" t="b">
        <v>0</v>
      </c>
      <c r="C708" s="3" t="s">
        <v>149</v>
      </c>
      <c r="G708" s="3" t="s">
        <v>1976</v>
      </c>
      <c r="K708" s="3" t="b">
        <v>0</v>
      </c>
      <c r="L708" s="3" t="s">
        <v>1977</v>
      </c>
      <c r="N708" s="3" t="s">
        <v>1978</v>
      </c>
      <c r="S708" s="4" t="str">
        <f t="shared" si="1"/>
        <v>2017</v>
      </c>
    </row>
    <row r="709">
      <c r="A709" s="3">
        <v>760.0</v>
      </c>
      <c r="B709" s="3" t="b">
        <v>0</v>
      </c>
      <c r="C709" s="3" t="s">
        <v>23</v>
      </c>
      <c r="G709" s="3" t="s">
        <v>1837</v>
      </c>
      <c r="K709" s="3" t="b">
        <v>0</v>
      </c>
      <c r="L709" s="3" t="s">
        <v>1979</v>
      </c>
      <c r="N709" s="3" t="s">
        <v>1980</v>
      </c>
      <c r="S709" s="4" t="str">
        <f t="shared" si="1"/>
        <v>2017</v>
      </c>
    </row>
    <row r="710">
      <c r="A710" s="3">
        <v>747.0</v>
      </c>
      <c r="B710" s="3" t="b">
        <v>0</v>
      </c>
      <c r="C710" s="3" t="s">
        <v>1981</v>
      </c>
      <c r="G710" s="3" t="s">
        <v>1769</v>
      </c>
      <c r="K710" s="3" t="b">
        <v>0</v>
      </c>
      <c r="L710" s="3" t="s">
        <v>1982</v>
      </c>
      <c r="N710" s="3" t="s">
        <v>1983</v>
      </c>
      <c r="S710" s="4" t="str">
        <f t="shared" si="1"/>
        <v>2017</v>
      </c>
    </row>
    <row r="711">
      <c r="A711" s="3">
        <v>690.0</v>
      </c>
      <c r="B711" s="3" t="b">
        <v>0</v>
      </c>
      <c r="C711" s="3" t="s">
        <v>19</v>
      </c>
      <c r="G711" s="3" t="s">
        <v>1984</v>
      </c>
      <c r="K711" s="3" t="b">
        <v>1</v>
      </c>
      <c r="L711" s="3" t="s">
        <v>1985</v>
      </c>
      <c r="N711" s="3" t="s">
        <v>1986</v>
      </c>
      <c r="S711" s="4" t="str">
        <f t="shared" si="1"/>
        <v>2017</v>
      </c>
    </row>
    <row r="712">
      <c r="A712" s="3">
        <v>680.0</v>
      </c>
      <c r="B712" s="3" t="b">
        <v>0</v>
      </c>
      <c r="C712" s="3" t="s">
        <v>101</v>
      </c>
      <c r="F712" s="7">
        <v>1.0</v>
      </c>
      <c r="G712" s="3" t="s">
        <v>1987</v>
      </c>
      <c r="K712" s="3" t="b">
        <v>1</v>
      </c>
      <c r="L712" s="3" t="s">
        <v>1988</v>
      </c>
      <c r="M712" s="7">
        <v>8.0</v>
      </c>
      <c r="N712" s="3" t="s">
        <v>1989</v>
      </c>
      <c r="P712" s="7">
        <v>2.0</v>
      </c>
      <c r="S712" s="4" t="str">
        <f t="shared" si="1"/>
        <v>2017</v>
      </c>
    </row>
    <row r="713">
      <c r="A713" s="3">
        <v>670.0</v>
      </c>
      <c r="B713" s="3" t="b">
        <v>0</v>
      </c>
      <c r="C713" s="3" t="s">
        <v>134</v>
      </c>
      <c r="G713" s="3" t="s">
        <v>1990</v>
      </c>
      <c r="K713" s="3" t="b">
        <v>0</v>
      </c>
      <c r="L713" s="3" t="s">
        <v>1991</v>
      </c>
      <c r="N713" s="3" t="s">
        <v>1992</v>
      </c>
      <c r="S713" s="4" t="str">
        <f t="shared" si="1"/>
        <v>2017</v>
      </c>
    </row>
    <row r="714">
      <c r="A714" s="3">
        <v>630.0</v>
      </c>
      <c r="B714" s="3" t="b">
        <v>0</v>
      </c>
      <c r="C714" s="3" t="s">
        <v>101</v>
      </c>
      <c r="D714" s="7">
        <v>1.0</v>
      </c>
      <c r="G714" s="3" t="s">
        <v>1993</v>
      </c>
      <c r="K714" s="3" t="b">
        <v>1</v>
      </c>
      <c r="L714" s="3" t="s">
        <v>1994</v>
      </c>
      <c r="M714" s="7">
        <v>380.0</v>
      </c>
      <c r="N714" s="3" t="s">
        <v>1995</v>
      </c>
      <c r="S714" s="4" t="str">
        <f t="shared" si="1"/>
        <v>2017</v>
      </c>
    </row>
    <row r="715">
      <c r="A715" s="3">
        <v>562.0</v>
      </c>
      <c r="B715" s="3" t="b">
        <v>0</v>
      </c>
      <c r="C715" s="3" t="s">
        <v>145</v>
      </c>
      <c r="G715" s="3" t="s">
        <v>1993</v>
      </c>
      <c r="K715" s="3" t="b">
        <v>0</v>
      </c>
      <c r="L715" s="3" t="s">
        <v>1996</v>
      </c>
      <c r="N715" s="3" t="s">
        <v>1997</v>
      </c>
      <c r="S715" s="4" t="str">
        <f t="shared" si="1"/>
        <v>2017</v>
      </c>
    </row>
    <row r="716">
      <c r="A716" s="3">
        <v>545.0</v>
      </c>
      <c r="B716" s="3" t="b">
        <v>0</v>
      </c>
      <c r="C716" s="3" t="s">
        <v>27</v>
      </c>
      <c r="G716" s="3" t="s">
        <v>1772</v>
      </c>
      <c r="K716" s="3" t="b">
        <v>1</v>
      </c>
      <c r="L716" s="3" t="s">
        <v>1998</v>
      </c>
      <c r="N716" s="3" t="s">
        <v>1999</v>
      </c>
      <c r="S716" s="4" t="str">
        <f t="shared" si="1"/>
        <v>2017</v>
      </c>
    </row>
    <row r="717">
      <c r="A717" s="3">
        <v>530.0</v>
      </c>
      <c r="B717" s="3" t="b">
        <v>0</v>
      </c>
      <c r="C717" s="3" t="s">
        <v>320</v>
      </c>
      <c r="G717" s="3" t="s">
        <v>1952</v>
      </c>
      <c r="K717" s="3" t="b">
        <v>0</v>
      </c>
      <c r="L717" s="3" t="s">
        <v>2000</v>
      </c>
      <c r="N717" s="3" t="s">
        <v>2001</v>
      </c>
      <c r="S717" s="4" t="str">
        <f t="shared" si="1"/>
        <v>2017</v>
      </c>
    </row>
    <row r="718">
      <c r="A718" s="3">
        <v>506.0</v>
      </c>
      <c r="B718" s="3" t="b">
        <v>0</v>
      </c>
      <c r="C718" s="3" t="s">
        <v>69</v>
      </c>
      <c r="G718" s="3" t="s">
        <v>2002</v>
      </c>
      <c r="K718" s="3" t="b">
        <v>0</v>
      </c>
      <c r="L718" s="3" t="s">
        <v>2003</v>
      </c>
      <c r="N718" s="3" t="s">
        <v>2004</v>
      </c>
      <c r="S718" s="4" t="str">
        <f t="shared" si="1"/>
        <v>2017</v>
      </c>
    </row>
    <row r="719">
      <c r="A719" s="3">
        <v>486.0</v>
      </c>
      <c r="B719" s="3" t="b">
        <v>0</v>
      </c>
      <c r="C719" s="3" t="s">
        <v>62</v>
      </c>
      <c r="G719" s="3" t="s">
        <v>1894</v>
      </c>
      <c r="K719" s="3" t="b">
        <v>0</v>
      </c>
      <c r="L719" s="3" t="s">
        <v>2005</v>
      </c>
      <c r="N719" s="3" t="s">
        <v>2006</v>
      </c>
      <c r="S719" s="4" t="str">
        <f t="shared" si="1"/>
        <v>2017</v>
      </c>
    </row>
    <row r="720">
      <c r="A720" s="3">
        <v>469.0</v>
      </c>
      <c r="B720" s="3" t="b">
        <v>0</v>
      </c>
      <c r="C720" s="3" t="s">
        <v>46</v>
      </c>
      <c r="G720" s="3" t="s">
        <v>2007</v>
      </c>
      <c r="K720" s="3" t="b">
        <v>1</v>
      </c>
      <c r="L720" s="3" t="s">
        <v>2008</v>
      </c>
      <c r="N720" s="3" t="s">
        <v>2009</v>
      </c>
      <c r="S720" s="4" t="str">
        <f t="shared" si="1"/>
        <v>2017</v>
      </c>
    </row>
    <row r="721">
      <c r="A721" s="3">
        <v>460.0</v>
      </c>
      <c r="B721" s="3" t="b">
        <v>0</v>
      </c>
      <c r="C721" s="3" t="s">
        <v>149</v>
      </c>
      <c r="G721" s="3" t="s">
        <v>1885</v>
      </c>
      <c r="K721" s="3" t="b">
        <v>0</v>
      </c>
      <c r="L721" s="3" t="s">
        <v>658</v>
      </c>
      <c r="N721" s="3" t="s">
        <v>2010</v>
      </c>
      <c r="S721" s="4" t="str">
        <f t="shared" si="1"/>
        <v>2017</v>
      </c>
    </row>
    <row r="722">
      <c r="A722" s="3">
        <v>460.0</v>
      </c>
      <c r="B722" s="3" t="b">
        <v>0</v>
      </c>
      <c r="C722" s="3" t="s">
        <v>134</v>
      </c>
      <c r="G722" s="3" t="s">
        <v>2011</v>
      </c>
      <c r="K722" s="3" t="b">
        <v>0</v>
      </c>
      <c r="L722" s="3" t="s">
        <v>667</v>
      </c>
      <c r="N722" s="3" t="s">
        <v>2012</v>
      </c>
      <c r="S722" s="4" t="str">
        <f t="shared" si="1"/>
        <v>2017</v>
      </c>
    </row>
    <row r="723">
      <c r="A723" s="3">
        <v>450.0</v>
      </c>
      <c r="B723" s="3" t="b">
        <v>0</v>
      </c>
      <c r="C723" s="3" t="s">
        <v>39</v>
      </c>
      <c r="G723" s="3" t="s">
        <v>1924</v>
      </c>
      <c r="K723" s="3" t="b">
        <v>0</v>
      </c>
      <c r="L723" s="3" t="s">
        <v>2013</v>
      </c>
      <c r="N723" s="3" t="s">
        <v>2014</v>
      </c>
      <c r="S723" s="4" t="str">
        <f t="shared" si="1"/>
        <v>2017</v>
      </c>
    </row>
    <row r="724">
      <c r="A724" s="3">
        <v>444.0</v>
      </c>
      <c r="B724" s="3" t="b">
        <v>0</v>
      </c>
      <c r="C724" s="3" t="s">
        <v>97</v>
      </c>
      <c r="G724" s="3" t="s">
        <v>2015</v>
      </c>
      <c r="K724" s="3" t="b">
        <v>0</v>
      </c>
      <c r="L724" s="3" t="s">
        <v>2016</v>
      </c>
      <c r="N724" s="3" t="s">
        <v>2017</v>
      </c>
      <c r="S724" s="4" t="str">
        <f t="shared" si="1"/>
        <v>2017</v>
      </c>
    </row>
    <row r="725">
      <c r="A725" s="3">
        <v>429.0</v>
      </c>
      <c r="B725" s="3" t="b">
        <v>0</v>
      </c>
      <c r="C725" s="3" t="s">
        <v>156</v>
      </c>
      <c r="G725" s="3" t="s">
        <v>1809</v>
      </c>
      <c r="K725" s="3" t="b">
        <v>0</v>
      </c>
      <c r="L725" s="3" t="s">
        <v>2018</v>
      </c>
      <c r="N725" s="3" t="s">
        <v>2019</v>
      </c>
      <c r="S725" s="4" t="str">
        <f t="shared" si="1"/>
        <v>2017</v>
      </c>
    </row>
    <row r="726">
      <c r="A726" s="3">
        <v>426.0</v>
      </c>
      <c r="B726" s="3" t="b">
        <v>0</v>
      </c>
      <c r="C726" s="3" t="s">
        <v>130</v>
      </c>
      <c r="G726" s="3" t="s">
        <v>2020</v>
      </c>
      <c r="K726" s="3" t="b">
        <v>0</v>
      </c>
      <c r="L726" s="3" t="s">
        <v>1711</v>
      </c>
      <c r="N726" s="3" t="s">
        <v>2021</v>
      </c>
      <c r="S726" s="4" t="str">
        <f t="shared" si="1"/>
        <v>2017</v>
      </c>
    </row>
    <row r="727">
      <c r="A727" s="3">
        <v>422.0</v>
      </c>
      <c r="B727" s="3" t="b">
        <v>0</v>
      </c>
      <c r="C727" s="3" t="s">
        <v>23</v>
      </c>
      <c r="G727" s="3" t="s">
        <v>2022</v>
      </c>
      <c r="K727" s="3" t="b">
        <v>1</v>
      </c>
      <c r="L727" s="3" t="s">
        <v>2023</v>
      </c>
      <c r="N727" s="3" t="s">
        <v>2024</v>
      </c>
      <c r="S727" s="4" t="str">
        <f t="shared" si="1"/>
        <v>2017</v>
      </c>
    </row>
    <row r="728">
      <c r="A728" s="3">
        <v>416.0</v>
      </c>
      <c r="B728" s="3" t="b">
        <v>0</v>
      </c>
      <c r="C728" s="3" t="s">
        <v>94</v>
      </c>
      <c r="G728" s="3" t="s">
        <v>2025</v>
      </c>
      <c r="K728" s="3" t="b">
        <v>0</v>
      </c>
      <c r="L728" s="3" t="s">
        <v>2026</v>
      </c>
      <c r="N728" s="3" t="s">
        <v>2027</v>
      </c>
      <c r="S728" s="4" t="str">
        <f t="shared" si="1"/>
        <v>2017</v>
      </c>
    </row>
    <row r="729">
      <c r="A729" s="3">
        <v>410.0</v>
      </c>
      <c r="B729" s="3" t="b">
        <v>0</v>
      </c>
      <c r="C729" s="3" t="s">
        <v>145</v>
      </c>
      <c r="G729" s="3" t="s">
        <v>2028</v>
      </c>
      <c r="K729" s="3" t="b">
        <v>0</v>
      </c>
      <c r="L729" s="3" t="s">
        <v>2029</v>
      </c>
      <c r="N729" s="3" t="s">
        <v>2030</v>
      </c>
      <c r="S729" s="4" t="str">
        <f t="shared" si="1"/>
        <v>2017</v>
      </c>
    </row>
    <row r="730">
      <c r="A730" s="3">
        <v>400.0</v>
      </c>
      <c r="B730" s="3" t="b">
        <v>0</v>
      </c>
      <c r="C730" s="3" t="s">
        <v>62</v>
      </c>
      <c r="G730" s="3" t="s">
        <v>1750</v>
      </c>
      <c r="K730" s="3" t="b">
        <v>1</v>
      </c>
      <c r="L730" s="3" t="s">
        <v>2031</v>
      </c>
      <c r="N730" s="3" t="s">
        <v>2032</v>
      </c>
      <c r="S730" s="4" t="str">
        <f t="shared" si="1"/>
        <v>2017</v>
      </c>
    </row>
    <row r="731">
      <c r="A731" s="3">
        <v>400.0</v>
      </c>
      <c r="B731" s="3" t="b">
        <v>0</v>
      </c>
      <c r="C731" s="3" t="s">
        <v>39</v>
      </c>
      <c r="G731" s="3" t="s">
        <v>2033</v>
      </c>
      <c r="K731" s="3" t="b">
        <v>0</v>
      </c>
      <c r="L731" s="3" t="s">
        <v>2034</v>
      </c>
      <c r="N731" s="3" t="s">
        <v>2035</v>
      </c>
      <c r="S731" s="4" t="str">
        <f t="shared" si="1"/>
        <v>2017</v>
      </c>
    </row>
    <row r="732">
      <c r="A732" s="3">
        <v>392.0</v>
      </c>
      <c r="B732" s="3" t="b">
        <v>0</v>
      </c>
      <c r="C732" s="3" t="s">
        <v>388</v>
      </c>
      <c r="D732" s="7">
        <v>1.0</v>
      </c>
      <c r="E732" s="7">
        <v>1.0</v>
      </c>
      <c r="F732" s="7">
        <v>2.0</v>
      </c>
      <c r="G732" s="3" t="s">
        <v>1795</v>
      </c>
      <c r="J732" s="3">
        <v>1.0</v>
      </c>
      <c r="K732" s="3" t="b">
        <v>1</v>
      </c>
      <c r="L732" s="3" t="s">
        <v>2036</v>
      </c>
      <c r="M732" s="3">
        <v>48.0</v>
      </c>
      <c r="N732" s="3" t="s">
        <v>2037</v>
      </c>
      <c r="O732" s="7">
        <v>1.0</v>
      </c>
      <c r="P732" s="3">
        <v>0.0</v>
      </c>
      <c r="S732" s="4" t="str">
        <f t="shared" si="1"/>
        <v>2017</v>
      </c>
    </row>
    <row r="733">
      <c r="A733" s="3">
        <v>391.0</v>
      </c>
      <c r="B733" s="3" t="b">
        <v>0</v>
      </c>
      <c r="C733" s="3" t="s">
        <v>2038</v>
      </c>
      <c r="G733" s="3" t="s">
        <v>1941</v>
      </c>
      <c r="J733" s="3">
        <v>1.0</v>
      </c>
      <c r="K733" s="3" t="b">
        <v>1</v>
      </c>
      <c r="L733" s="3" t="s">
        <v>2039</v>
      </c>
      <c r="M733" s="3">
        <v>10.0</v>
      </c>
      <c r="N733" s="3" t="s">
        <v>2040</v>
      </c>
      <c r="P733" s="3">
        <v>6.0</v>
      </c>
      <c r="S733" s="4" t="str">
        <f t="shared" si="1"/>
        <v>2017</v>
      </c>
    </row>
    <row r="734">
      <c r="A734" s="3">
        <v>380.0</v>
      </c>
      <c r="B734" s="3" t="b">
        <v>0</v>
      </c>
      <c r="C734" s="3" t="s">
        <v>145</v>
      </c>
      <c r="G734" s="3" t="s">
        <v>2041</v>
      </c>
      <c r="K734" s="3" t="b">
        <v>0</v>
      </c>
      <c r="L734" s="3" t="s">
        <v>826</v>
      </c>
      <c r="N734" s="3" t="s">
        <v>2042</v>
      </c>
      <c r="S734" s="4" t="str">
        <f t="shared" si="1"/>
        <v>2017</v>
      </c>
    </row>
    <row r="735">
      <c r="A735" s="3">
        <v>370.0</v>
      </c>
      <c r="B735" s="3" t="b">
        <v>0</v>
      </c>
      <c r="C735" s="3" t="s">
        <v>874</v>
      </c>
      <c r="G735" s="3" t="s">
        <v>2043</v>
      </c>
      <c r="K735" s="3" t="b">
        <v>0</v>
      </c>
      <c r="L735" s="3" t="s">
        <v>2044</v>
      </c>
      <c r="N735" s="3" t="s">
        <v>2045</v>
      </c>
      <c r="S735" s="4" t="str">
        <f t="shared" si="1"/>
        <v>2017</v>
      </c>
    </row>
    <row r="736">
      <c r="A736" s="3">
        <v>370.0</v>
      </c>
      <c r="B736" s="3" t="b">
        <v>0</v>
      </c>
      <c r="C736" s="3" t="s">
        <v>80</v>
      </c>
      <c r="G736" s="3" t="s">
        <v>2046</v>
      </c>
      <c r="K736" s="3" t="b">
        <v>0</v>
      </c>
      <c r="L736" s="3" t="s">
        <v>879</v>
      </c>
      <c r="N736" s="3" t="s">
        <v>2047</v>
      </c>
      <c r="S736" s="4" t="str">
        <f t="shared" si="1"/>
        <v>2017</v>
      </c>
    </row>
    <row r="737">
      <c r="A737" s="3">
        <v>357.0</v>
      </c>
      <c r="B737" s="3" t="b">
        <v>0</v>
      </c>
      <c r="C737" s="3" t="s">
        <v>39</v>
      </c>
      <c r="G737" s="3" t="s">
        <v>1804</v>
      </c>
      <c r="K737" s="3" t="b">
        <v>0</v>
      </c>
      <c r="L737" s="3" t="s">
        <v>329</v>
      </c>
      <c r="N737" s="3" t="s">
        <v>2048</v>
      </c>
      <c r="S737" s="4" t="str">
        <f t="shared" si="1"/>
        <v>2017</v>
      </c>
    </row>
    <row r="738">
      <c r="A738" s="3">
        <v>340.0</v>
      </c>
      <c r="B738" s="3" t="b">
        <v>0</v>
      </c>
      <c r="C738" s="3" t="s">
        <v>149</v>
      </c>
      <c r="G738" s="3" t="s">
        <v>1769</v>
      </c>
      <c r="K738" s="3" t="b">
        <v>1</v>
      </c>
      <c r="L738" s="3" t="s">
        <v>2049</v>
      </c>
      <c r="N738" s="3" t="s">
        <v>2050</v>
      </c>
      <c r="S738" s="4" t="str">
        <f t="shared" si="1"/>
        <v>2017</v>
      </c>
    </row>
    <row r="739">
      <c r="A739" s="3">
        <v>339.0</v>
      </c>
      <c r="B739" s="3" t="b">
        <v>0</v>
      </c>
      <c r="C739" s="3" t="s">
        <v>94</v>
      </c>
      <c r="D739" s="7">
        <v>19.0</v>
      </c>
      <c r="E739" s="7">
        <v>0.0</v>
      </c>
      <c r="F739" s="7">
        <v>30.0</v>
      </c>
      <c r="G739" s="3" t="s">
        <v>2051</v>
      </c>
      <c r="I739" s="7">
        <v>1.0</v>
      </c>
      <c r="J739" s="7">
        <v>4.0</v>
      </c>
      <c r="K739" s="3" t="b">
        <v>1</v>
      </c>
      <c r="L739" s="3" t="s">
        <v>2052</v>
      </c>
      <c r="M739" s="7">
        <v>435.0</v>
      </c>
      <c r="N739" s="3" t="s">
        <v>2053</v>
      </c>
      <c r="S739" s="4" t="str">
        <f t="shared" si="1"/>
        <v>2017</v>
      </c>
    </row>
    <row r="740">
      <c r="A740" s="3">
        <v>338.0</v>
      </c>
      <c r="B740" s="3" t="b">
        <v>0</v>
      </c>
      <c r="C740" s="3" t="s">
        <v>69</v>
      </c>
      <c r="G740" s="3" t="s">
        <v>2054</v>
      </c>
      <c r="K740" s="3" t="b">
        <v>1</v>
      </c>
      <c r="L740" s="3" t="s">
        <v>2055</v>
      </c>
      <c r="N740" s="3" t="s">
        <v>2056</v>
      </c>
      <c r="S740" s="4" t="str">
        <f t="shared" si="1"/>
        <v>2017</v>
      </c>
    </row>
    <row r="741">
      <c r="A741" s="3">
        <v>325.0</v>
      </c>
      <c r="B741" s="3" t="b">
        <v>0</v>
      </c>
      <c r="C741" s="3" t="s">
        <v>134</v>
      </c>
      <c r="G741" s="3" t="s">
        <v>1829</v>
      </c>
      <c r="K741" s="3" t="b">
        <v>1</v>
      </c>
      <c r="L741" s="3" t="s">
        <v>2057</v>
      </c>
      <c r="N741" s="3" t="s">
        <v>2058</v>
      </c>
      <c r="S741" s="4" t="str">
        <f t="shared" si="1"/>
        <v>2017</v>
      </c>
    </row>
    <row r="742">
      <c r="A742" s="3">
        <v>319.0</v>
      </c>
      <c r="B742" s="3" t="b">
        <v>0</v>
      </c>
      <c r="C742" s="3" t="s">
        <v>856</v>
      </c>
      <c r="G742" s="3" t="s">
        <v>2059</v>
      </c>
      <c r="K742" s="3" t="b">
        <v>0</v>
      </c>
      <c r="L742" s="3" t="s">
        <v>2060</v>
      </c>
      <c r="N742" s="3" t="s">
        <v>2061</v>
      </c>
      <c r="S742" s="4" t="str">
        <f t="shared" si="1"/>
        <v>2017</v>
      </c>
    </row>
    <row r="743">
      <c r="A743" s="3">
        <v>300.0</v>
      </c>
      <c r="B743" s="3" t="b">
        <v>0</v>
      </c>
      <c r="C743" s="3" t="s">
        <v>27</v>
      </c>
      <c r="G743" s="3" t="s">
        <v>1863</v>
      </c>
      <c r="K743" s="3" t="b">
        <v>0</v>
      </c>
      <c r="L743" s="3" t="s">
        <v>2062</v>
      </c>
      <c r="N743" s="3" t="s">
        <v>2063</v>
      </c>
      <c r="S743" s="4" t="str">
        <f t="shared" si="1"/>
        <v>2017</v>
      </c>
    </row>
    <row r="744">
      <c r="A744" s="3">
        <v>288.0</v>
      </c>
      <c r="B744" s="3" t="b">
        <v>0</v>
      </c>
      <c r="C744" s="3" t="s">
        <v>69</v>
      </c>
      <c r="G744" s="3" t="s">
        <v>2064</v>
      </c>
      <c r="K744" s="3" t="b">
        <v>0</v>
      </c>
      <c r="L744" s="3" t="s">
        <v>2065</v>
      </c>
      <c r="N744" s="3" t="s">
        <v>2066</v>
      </c>
      <c r="S744" s="4" t="str">
        <f t="shared" si="1"/>
        <v>2017</v>
      </c>
    </row>
    <row r="745">
      <c r="A745" s="3">
        <v>260.0</v>
      </c>
      <c r="B745" s="3" t="b">
        <v>0</v>
      </c>
      <c r="C745" s="3" t="s">
        <v>134</v>
      </c>
      <c r="G745" s="3" t="s">
        <v>1863</v>
      </c>
      <c r="K745" s="3" t="b">
        <v>0</v>
      </c>
      <c r="L745" s="3" t="s">
        <v>2067</v>
      </c>
      <c r="N745" s="3" t="s">
        <v>2068</v>
      </c>
      <c r="S745" s="4" t="str">
        <f t="shared" si="1"/>
        <v>2017</v>
      </c>
    </row>
    <row r="746">
      <c r="A746" s="3">
        <v>255.0</v>
      </c>
      <c r="B746" s="3" t="b">
        <v>0</v>
      </c>
      <c r="C746" s="3" t="s">
        <v>62</v>
      </c>
      <c r="G746" s="3" t="s">
        <v>2011</v>
      </c>
      <c r="K746" s="3" t="b">
        <v>0</v>
      </c>
      <c r="L746" s="3" t="s">
        <v>2069</v>
      </c>
      <c r="N746" s="3" t="s">
        <v>2070</v>
      </c>
      <c r="S746" s="4" t="str">
        <f t="shared" si="1"/>
        <v>2017</v>
      </c>
    </row>
    <row r="747">
      <c r="A747" s="3">
        <v>245.0</v>
      </c>
      <c r="B747" s="3" t="b">
        <v>0</v>
      </c>
      <c r="C747" s="3" t="s">
        <v>149</v>
      </c>
      <c r="G747" s="3" t="s">
        <v>2071</v>
      </c>
      <c r="K747" s="3" t="b">
        <v>1</v>
      </c>
      <c r="L747" s="3" t="s">
        <v>2072</v>
      </c>
      <c r="N747" s="3" t="s">
        <v>2073</v>
      </c>
      <c r="S747" s="4" t="str">
        <f t="shared" si="1"/>
        <v>2017</v>
      </c>
    </row>
    <row r="748">
      <c r="A748" s="3">
        <v>237.0</v>
      </c>
      <c r="B748" s="3" t="b">
        <v>0</v>
      </c>
      <c r="C748" s="3" t="s">
        <v>39</v>
      </c>
      <c r="G748" s="3" t="s">
        <v>2071</v>
      </c>
      <c r="K748" s="3" t="b">
        <v>0</v>
      </c>
      <c r="L748" s="3" t="s">
        <v>308</v>
      </c>
      <c r="N748" s="3" t="s">
        <v>2074</v>
      </c>
      <c r="S748" s="4" t="str">
        <f t="shared" si="1"/>
        <v>2017</v>
      </c>
    </row>
    <row r="749">
      <c r="A749" s="3">
        <v>236.0</v>
      </c>
      <c r="B749" s="3" t="b">
        <v>0</v>
      </c>
      <c r="C749" s="3" t="s">
        <v>130</v>
      </c>
      <c r="G749" s="3" t="s">
        <v>1927</v>
      </c>
      <c r="K749" s="3" t="b">
        <v>0</v>
      </c>
      <c r="L749" s="3" t="s">
        <v>2075</v>
      </c>
      <c r="N749" s="3" t="s">
        <v>2076</v>
      </c>
      <c r="S749" s="4" t="str">
        <f t="shared" si="1"/>
        <v>2017</v>
      </c>
    </row>
    <row r="750">
      <c r="A750" s="3">
        <v>231.0</v>
      </c>
      <c r="B750" s="3" t="b">
        <v>0</v>
      </c>
      <c r="C750" s="3" t="s">
        <v>80</v>
      </c>
      <c r="G750" s="3" t="s">
        <v>2046</v>
      </c>
      <c r="K750" s="3" t="b">
        <v>0</v>
      </c>
      <c r="L750" s="3" t="s">
        <v>2077</v>
      </c>
      <c r="N750" s="3" t="s">
        <v>2078</v>
      </c>
      <c r="S750" s="4" t="str">
        <f t="shared" si="1"/>
        <v>2017</v>
      </c>
    </row>
    <row r="751">
      <c r="A751" s="3">
        <v>225.0</v>
      </c>
      <c r="B751" s="3" t="b">
        <v>0</v>
      </c>
      <c r="C751" s="3" t="s">
        <v>101</v>
      </c>
      <c r="D751" s="7">
        <v>23.0</v>
      </c>
      <c r="F751" s="7">
        <v>41.0</v>
      </c>
      <c r="G751" s="3" t="s">
        <v>2079</v>
      </c>
      <c r="K751" s="3" t="b">
        <v>1</v>
      </c>
      <c r="L751" s="3" t="s">
        <v>1598</v>
      </c>
      <c r="M751" s="7">
        <v>498.0</v>
      </c>
      <c r="N751" s="3" t="s">
        <v>2080</v>
      </c>
      <c r="O751" s="7">
        <v>1.0</v>
      </c>
      <c r="P751" s="7">
        <v>0.0</v>
      </c>
      <c r="S751" s="4" t="str">
        <f t="shared" si="1"/>
        <v>2017</v>
      </c>
    </row>
    <row r="752">
      <c r="A752" s="3">
        <v>225.0</v>
      </c>
      <c r="B752" s="3" t="b">
        <v>0</v>
      </c>
      <c r="C752" s="3" t="s">
        <v>149</v>
      </c>
      <c r="G752" s="3" t="s">
        <v>2081</v>
      </c>
      <c r="K752" s="3" t="b">
        <v>0</v>
      </c>
      <c r="L752" s="3" t="s">
        <v>2082</v>
      </c>
      <c r="N752" s="3" t="s">
        <v>2083</v>
      </c>
      <c r="S752" s="4" t="str">
        <f t="shared" si="1"/>
        <v>2017</v>
      </c>
    </row>
    <row r="753">
      <c r="A753" s="3">
        <v>225.0</v>
      </c>
      <c r="B753" s="3" t="b">
        <v>0</v>
      </c>
      <c r="C753" s="3" t="s">
        <v>149</v>
      </c>
      <c r="G753" s="3" t="s">
        <v>2084</v>
      </c>
      <c r="K753" s="3" t="b">
        <v>0</v>
      </c>
      <c r="L753" s="3" t="s">
        <v>2085</v>
      </c>
      <c r="N753" s="3" t="s">
        <v>2086</v>
      </c>
      <c r="S753" s="4" t="str">
        <f t="shared" si="1"/>
        <v>2017</v>
      </c>
    </row>
    <row r="754">
      <c r="A754" s="3">
        <v>206.0</v>
      </c>
      <c r="B754" s="3" t="b">
        <v>0</v>
      </c>
      <c r="C754" s="3" t="s">
        <v>69</v>
      </c>
      <c r="G754" s="3" t="s">
        <v>2087</v>
      </c>
      <c r="K754" s="3" t="b">
        <v>0</v>
      </c>
      <c r="L754" s="3" t="s">
        <v>2088</v>
      </c>
      <c r="N754" s="3" t="s">
        <v>2089</v>
      </c>
      <c r="S754" s="4" t="str">
        <f t="shared" si="1"/>
        <v>2017</v>
      </c>
    </row>
    <row r="755">
      <c r="A755" s="3">
        <v>205.0</v>
      </c>
      <c r="B755" s="3" t="b">
        <v>0</v>
      </c>
      <c r="C755" s="3" t="s">
        <v>27</v>
      </c>
      <c r="G755" s="3" t="s">
        <v>2007</v>
      </c>
      <c r="K755" s="3" t="b">
        <v>0</v>
      </c>
      <c r="L755" s="3" t="s">
        <v>2090</v>
      </c>
      <c r="N755" s="3" t="s">
        <v>2091</v>
      </c>
      <c r="S755" s="4" t="str">
        <f t="shared" si="1"/>
        <v>2017</v>
      </c>
    </row>
    <row r="756">
      <c r="A756" s="3">
        <v>200.0</v>
      </c>
      <c r="B756" s="3" t="b">
        <v>0</v>
      </c>
      <c r="C756" s="3" t="s">
        <v>186</v>
      </c>
      <c r="G756" s="3" t="s">
        <v>2092</v>
      </c>
      <c r="K756" s="3" t="b">
        <v>0</v>
      </c>
      <c r="L756" s="3" t="s">
        <v>2093</v>
      </c>
      <c r="N756" s="3" t="s">
        <v>2094</v>
      </c>
      <c r="S756" s="4" t="str">
        <f t="shared" si="1"/>
        <v>2017</v>
      </c>
    </row>
    <row r="757">
      <c r="A757" s="3">
        <v>200.0</v>
      </c>
      <c r="B757" s="3" t="b">
        <v>0</v>
      </c>
      <c r="C757" s="3" t="s">
        <v>205</v>
      </c>
      <c r="G757" s="3" t="s">
        <v>1882</v>
      </c>
      <c r="K757" s="3" t="b">
        <v>0</v>
      </c>
      <c r="L757" s="3" t="s">
        <v>1381</v>
      </c>
      <c r="N757" s="3" t="s">
        <v>2095</v>
      </c>
      <c r="S757" s="4" t="str">
        <f t="shared" si="1"/>
        <v>2017</v>
      </c>
    </row>
    <row r="758">
      <c r="A758" s="3">
        <v>200.0</v>
      </c>
      <c r="B758" s="3" t="b">
        <v>0</v>
      </c>
      <c r="C758" s="3" t="s">
        <v>62</v>
      </c>
      <c r="G758" s="3" t="s">
        <v>1759</v>
      </c>
      <c r="K758" s="3" t="b">
        <v>1</v>
      </c>
      <c r="L758" s="3" t="s">
        <v>2096</v>
      </c>
      <c r="N758" s="3" t="s">
        <v>2097</v>
      </c>
      <c r="S758" s="4" t="str">
        <f t="shared" si="1"/>
        <v>2017</v>
      </c>
    </row>
    <row r="759">
      <c r="A759" s="3">
        <v>200.0</v>
      </c>
      <c r="B759" s="3" t="b">
        <v>0</v>
      </c>
      <c r="C759" s="3" t="s">
        <v>27</v>
      </c>
      <c r="G759" s="3" t="s">
        <v>1854</v>
      </c>
      <c r="K759" s="3" t="b">
        <v>0</v>
      </c>
      <c r="L759" s="3" t="s">
        <v>2055</v>
      </c>
      <c r="N759" s="3" t="s">
        <v>2098</v>
      </c>
      <c r="S759" s="4" t="str">
        <f t="shared" si="1"/>
        <v>2017</v>
      </c>
    </row>
    <row r="760">
      <c r="A760" s="3">
        <v>194.0</v>
      </c>
      <c r="B760" s="3" t="b">
        <v>0</v>
      </c>
      <c r="C760" s="3" t="s">
        <v>54</v>
      </c>
      <c r="G760" s="3" t="s">
        <v>2043</v>
      </c>
      <c r="K760" s="3" t="b">
        <v>0</v>
      </c>
      <c r="L760" s="3" t="s">
        <v>351</v>
      </c>
      <c r="N760" s="3" t="s">
        <v>2099</v>
      </c>
      <c r="S760" s="4" t="str">
        <f t="shared" si="1"/>
        <v>2017</v>
      </c>
    </row>
    <row r="761">
      <c r="A761" s="3">
        <v>190.0</v>
      </c>
      <c r="B761" s="3" t="b">
        <v>0</v>
      </c>
      <c r="C761" s="3" t="s">
        <v>97</v>
      </c>
      <c r="G761" s="3" t="s">
        <v>2002</v>
      </c>
      <c r="K761" s="3" t="b">
        <v>0</v>
      </c>
      <c r="L761" s="3" t="s">
        <v>2100</v>
      </c>
      <c r="N761" s="3" t="s">
        <v>2101</v>
      </c>
      <c r="S761" s="4" t="str">
        <f t="shared" si="1"/>
        <v>2017</v>
      </c>
    </row>
    <row r="762">
      <c r="A762" s="3">
        <v>186.0</v>
      </c>
      <c r="B762" s="3" t="b">
        <v>0</v>
      </c>
      <c r="C762" s="3" t="s">
        <v>138</v>
      </c>
      <c r="G762" s="3" t="s">
        <v>1759</v>
      </c>
      <c r="K762" s="3" t="b">
        <v>0</v>
      </c>
      <c r="L762" s="3" t="s">
        <v>2102</v>
      </c>
      <c r="N762" s="3" t="s">
        <v>2103</v>
      </c>
      <c r="S762" s="4" t="str">
        <f t="shared" si="1"/>
        <v>2017</v>
      </c>
    </row>
    <row r="763">
      <c r="A763" s="3">
        <v>186.0</v>
      </c>
      <c r="B763" s="3" t="b">
        <v>0</v>
      </c>
      <c r="C763" s="3" t="s">
        <v>39</v>
      </c>
      <c r="G763" s="3" t="s">
        <v>1924</v>
      </c>
      <c r="K763" s="3" t="b">
        <v>0</v>
      </c>
      <c r="L763" s="3" t="s">
        <v>2104</v>
      </c>
      <c r="N763" s="3" t="s">
        <v>2105</v>
      </c>
      <c r="S763" s="4" t="str">
        <f t="shared" si="1"/>
        <v>2017</v>
      </c>
    </row>
    <row r="764">
      <c r="A764" s="3">
        <v>184.0</v>
      </c>
      <c r="B764" s="3" t="b">
        <v>0</v>
      </c>
      <c r="C764" s="3" t="s">
        <v>69</v>
      </c>
      <c r="G764" s="3" t="s">
        <v>2106</v>
      </c>
      <c r="K764" s="3" t="b">
        <v>0</v>
      </c>
      <c r="L764" s="3" t="s">
        <v>158</v>
      </c>
      <c r="N764" s="3" t="s">
        <v>2107</v>
      </c>
      <c r="S764" s="4" t="str">
        <f t="shared" si="1"/>
        <v>2017</v>
      </c>
    </row>
    <row r="765">
      <c r="A765" s="3">
        <v>183.0</v>
      </c>
      <c r="B765" s="3" t="b">
        <v>0</v>
      </c>
      <c r="C765" s="3" t="s">
        <v>69</v>
      </c>
      <c r="G765" s="3" t="s">
        <v>2020</v>
      </c>
      <c r="K765" s="3" t="b">
        <v>0</v>
      </c>
      <c r="L765" s="3" t="s">
        <v>2108</v>
      </c>
      <c r="N765" s="3" t="s">
        <v>2109</v>
      </c>
      <c r="S765" s="4" t="str">
        <f t="shared" si="1"/>
        <v>2017</v>
      </c>
    </row>
    <row r="766">
      <c r="A766" s="3">
        <v>180.0</v>
      </c>
      <c r="B766" s="3" t="b">
        <v>0</v>
      </c>
      <c r="C766" s="3" t="s">
        <v>58</v>
      </c>
      <c r="G766" s="3" t="s">
        <v>2059</v>
      </c>
      <c r="K766" s="3" t="b">
        <v>1</v>
      </c>
      <c r="L766" s="3" t="s">
        <v>2110</v>
      </c>
      <c r="N766" s="3" t="s">
        <v>2111</v>
      </c>
      <c r="P766" s="7">
        <v>5.0</v>
      </c>
      <c r="S766" s="4" t="str">
        <f t="shared" si="1"/>
        <v>2017</v>
      </c>
    </row>
    <row r="767">
      <c r="A767" s="3">
        <v>170.0</v>
      </c>
      <c r="B767" s="3" t="b">
        <v>0</v>
      </c>
      <c r="C767" s="3" t="s">
        <v>134</v>
      </c>
      <c r="G767" s="3" t="s">
        <v>2112</v>
      </c>
      <c r="K767" s="3" t="b">
        <v>1</v>
      </c>
      <c r="L767" s="3" t="s">
        <v>2113</v>
      </c>
      <c r="N767" s="3" t="s">
        <v>2114</v>
      </c>
      <c r="S767" s="4" t="str">
        <f t="shared" si="1"/>
        <v>2017</v>
      </c>
    </row>
    <row r="768">
      <c r="A768" s="3">
        <v>168.0</v>
      </c>
      <c r="B768" s="3" t="b">
        <v>0</v>
      </c>
      <c r="C768" s="3" t="s">
        <v>27</v>
      </c>
      <c r="G768" s="3" t="s">
        <v>1759</v>
      </c>
      <c r="K768" s="3" t="b">
        <v>0</v>
      </c>
      <c r="L768" s="3" t="s">
        <v>1456</v>
      </c>
      <c r="N768" s="3" t="s">
        <v>2115</v>
      </c>
      <c r="S768" s="4" t="str">
        <f t="shared" si="1"/>
        <v>2017</v>
      </c>
    </row>
    <row r="769">
      <c r="A769" s="3">
        <v>168.0</v>
      </c>
      <c r="B769" s="3" t="b">
        <v>0</v>
      </c>
      <c r="C769" s="3" t="s">
        <v>1981</v>
      </c>
      <c r="G769" s="3" t="s">
        <v>1921</v>
      </c>
      <c r="K769" s="3" t="b">
        <v>0</v>
      </c>
      <c r="L769" s="3" t="s">
        <v>2116</v>
      </c>
      <c r="N769" s="3" t="s">
        <v>2117</v>
      </c>
      <c r="S769" s="4" t="str">
        <f t="shared" si="1"/>
        <v>2017</v>
      </c>
    </row>
    <row r="770">
      <c r="A770" s="3">
        <v>166.0</v>
      </c>
      <c r="B770" s="3" t="b">
        <v>0</v>
      </c>
      <c r="C770" s="3" t="s">
        <v>87</v>
      </c>
      <c r="G770" s="3" t="s">
        <v>1750</v>
      </c>
      <c r="K770" s="3" t="b">
        <v>0</v>
      </c>
      <c r="L770" s="3" t="s">
        <v>770</v>
      </c>
      <c r="N770" s="3" t="s">
        <v>2118</v>
      </c>
      <c r="S770" s="4" t="str">
        <f t="shared" si="1"/>
        <v>2017</v>
      </c>
    </row>
    <row r="771">
      <c r="A771" s="3">
        <v>157.0</v>
      </c>
      <c r="B771" s="3" t="b">
        <v>0</v>
      </c>
      <c r="C771" s="3" t="s">
        <v>320</v>
      </c>
      <c r="G771" s="3" t="s">
        <v>1882</v>
      </c>
      <c r="K771" s="3" t="b">
        <v>0</v>
      </c>
      <c r="L771" s="3" t="s">
        <v>2119</v>
      </c>
      <c r="N771" s="3" t="s">
        <v>2120</v>
      </c>
      <c r="S771" s="4" t="str">
        <f t="shared" si="1"/>
        <v>2017</v>
      </c>
    </row>
    <row r="772">
      <c r="A772" s="3">
        <v>157.0</v>
      </c>
      <c r="B772" s="3" t="b">
        <v>0</v>
      </c>
      <c r="C772" s="3" t="s">
        <v>156</v>
      </c>
      <c r="G772" s="3" t="s">
        <v>2051</v>
      </c>
      <c r="K772" s="3" t="b">
        <v>0</v>
      </c>
      <c r="L772" s="3" t="s">
        <v>2121</v>
      </c>
      <c r="N772" s="3" t="s">
        <v>2122</v>
      </c>
      <c r="S772" s="4" t="str">
        <f t="shared" si="1"/>
        <v>2017</v>
      </c>
    </row>
    <row r="773">
      <c r="A773" s="3">
        <v>155.0</v>
      </c>
      <c r="B773" s="3" t="b">
        <v>0</v>
      </c>
      <c r="C773" s="3" t="s">
        <v>205</v>
      </c>
      <c r="G773" s="3" t="s">
        <v>2123</v>
      </c>
      <c r="K773" s="3" t="b">
        <v>0</v>
      </c>
      <c r="L773" s="3" t="s">
        <v>2124</v>
      </c>
      <c r="N773" s="3" t="s">
        <v>2125</v>
      </c>
      <c r="S773" s="4" t="str">
        <f t="shared" si="1"/>
        <v>2017</v>
      </c>
    </row>
    <row r="774">
      <c r="A774" s="3">
        <v>155.0</v>
      </c>
      <c r="B774" s="3" t="b">
        <v>0</v>
      </c>
      <c r="C774" s="3" t="s">
        <v>46</v>
      </c>
      <c r="G774" s="3" t="s">
        <v>2126</v>
      </c>
      <c r="K774" s="3" t="b">
        <v>0</v>
      </c>
      <c r="L774" s="3" t="s">
        <v>1914</v>
      </c>
      <c r="N774" s="3" t="s">
        <v>2127</v>
      </c>
      <c r="S774" s="4" t="str">
        <f t="shared" si="1"/>
        <v>2017</v>
      </c>
    </row>
    <row r="775">
      <c r="A775" s="3">
        <v>153.0</v>
      </c>
      <c r="B775" s="3" t="b">
        <v>0</v>
      </c>
      <c r="C775" s="3" t="s">
        <v>27</v>
      </c>
      <c r="G775" s="3" t="s">
        <v>2128</v>
      </c>
      <c r="K775" s="3" t="b">
        <v>0</v>
      </c>
      <c r="L775" s="3" t="s">
        <v>287</v>
      </c>
      <c r="N775" s="3" t="s">
        <v>2129</v>
      </c>
      <c r="S775" s="4" t="str">
        <f t="shared" si="1"/>
        <v>2017</v>
      </c>
    </row>
    <row r="776">
      <c r="A776" s="3">
        <v>150.0</v>
      </c>
      <c r="B776" s="3" t="b">
        <v>0</v>
      </c>
      <c r="C776" s="3" t="s">
        <v>87</v>
      </c>
      <c r="G776" s="3" t="s">
        <v>1907</v>
      </c>
      <c r="K776" s="3" t="b">
        <v>1</v>
      </c>
      <c r="L776" s="3" t="s">
        <v>471</v>
      </c>
      <c r="M776" s="7">
        <v>13.0</v>
      </c>
      <c r="N776" s="3" t="s">
        <v>2130</v>
      </c>
      <c r="S776" s="4" t="str">
        <f t="shared" si="1"/>
        <v>2017</v>
      </c>
    </row>
    <row r="777">
      <c r="A777" s="3">
        <v>150.0</v>
      </c>
      <c r="B777" s="3" t="b">
        <v>0</v>
      </c>
      <c r="C777" s="3" t="s">
        <v>149</v>
      </c>
      <c r="G777" s="3" t="s">
        <v>1753</v>
      </c>
      <c r="K777" s="3" t="b">
        <v>1</v>
      </c>
      <c r="L777" s="3" t="s">
        <v>238</v>
      </c>
      <c r="N777" s="3" t="s">
        <v>2131</v>
      </c>
      <c r="S777" s="4" t="str">
        <f t="shared" si="1"/>
        <v>2017</v>
      </c>
    </row>
    <row r="778">
      <c r="A778" s="3">
        <v>150.0</v>
      </c>
      <c r="B778" s="3" t="b">
        <v>0</v>
      </c>
      <c r="C778" s="3" t="s">
        <v>149</v>
      </c>
      <c r="G778" s="3" t="s">
        <v>2132</v>
      </c>
      <c r="K778" s="3" t="b">
        <v>0</v>
      </c>
      <c r="L778" s="3" t="s">
        <v>2133</v>
      </c>
      <c r="N778" s="3" t="s">
        <v>2134</v>
      </c>
      <c r="S778" s="4" t="str">
        <f t="shared" si="1"/>
        <v>2017</v>
      </c>
    </row>
    <row r="779">
      <c r="A779" s="3">
        <v>150.0</v>
      </c>
      <c r="B779" s="3" t="b">
        <v>0</v>
      </c>
      <c r="C779" s="3" t="s">
        <v>156</v>
      </c>
      <c r="G779" s="3" t="s">
        <v>2135</v>
      </c>
      <c r="K779" s="3" t="b">
        <v>0</v>
      </c>
      <c r="L779" s="3" t="s">
        <v>2136</v>
      </c>
      <c r="N779" s="3" t="s">
        <v>2137</v>
      </c>
      <c r="S779" s="4" t="str">
        <f t="shared" si="1"/>
        <v>2017</v>
      </c>
    </row>
    <row r="780">
      <c r="A780" s="3">
        <v>150.0</v>
      </c>
      <c r="B780" s="3" t="b">
        <v>0</v>
      </c>
      <c r="C780" s="3" t="s">
        <v>134</v>
      </c>
      <c r="G780" s="3" t="s">
        <v>1930</v>
      </c>
      <c r="K780" s="3" t="b">
        <v>0</v>
      </c>
      <c r="L780" s="3" t="s">
        <v>2138</v>
      </c>
      <c r="N780" s="3" t="s">
        <v>2139</v>
      </c>
      <c r="S780" s="4" t="str">
        <f t="shared" si="1"/>
        <v>2017</v>
      </c>
    </row>
    <row r="781">
      <c r="A781" s="3">
        <v>148.0</v>
      </c>
      <c r="B781" s="3" t="b">
        <v>0</v>
      </c>
      <c r="C781" s="3" t="s">
        <v>630</v>
      </c>
      <c r="G781" s="3" t="s">
        <v>2020</v>
      </c>
      <c r="K781" s="3" t="b">
        <v>0</v>
      </c>
      <c r="L781" s="3" t="s">
        <v>164</v>
      </c>
      <c r="N781" s="3" t="s">
        <v>2140</v>
      </c>
      <c r="S781" s="4" t="str">
        <f t="shared" si="1"/>
        <v>2017</v>
      </c>
    </row>
    <row r="782">
      <c r="A782" s="3">
        <v>146.0</v>
      </c>
      <c r="B782" s="3" t="b">
        <v>0</v>
      </c>
      <c r="C782" s="3" t="s">
        <v>313</v>
      </c>
      <c r="G782" s="3" t="s">
        <v>2141</v>
      </c>
      <c r="J782" s="7">
        <v>3.0</v>
      </c>
      <c r="K782" s="3" t="b">
        <v>1</v>
      </c>
      <c r="L782" s="3" t="s">
        <v>2142</v>
      </c>
      <c r="N782" s="3" t="s">
        <v>2143</v>
      </c>
      <c r="S782" s="4" t="str">
        <f t="shared" si="1"/>
        <v>2017</v>
      </c>
    </row>
    <row r="783">
      <c r="A783" s="3">
        <v>143.0</v>
      </c>
      <c r="B783" s="3" t="b">
        <v>0</v>
      </c>
      <c r="C783" s="3" t="s">
        <v>87</v>
      </c>
      <c r="G783" s="3" t="s">
        <v>1792</v>
      </c>
      <c r="K783" s="3" t="b">
        <v>0</v>
      </c>
      <c r="L783" s="3" t="s">
        <v>1231</v>
      </c>
      <c r="N783" s="3" t="s">
        <v>2144</v>
      </c>
      <c r="S783" s="4" t="str">
        <f t="shared" si="1"/>
        <v>2017</v>
      </c>
    </row>
    <row r="784">
      <c r="A784" s="3">
        <v>140.0</v>
      </c>
      <c r="B784" s="3" t="b">
        <v>0</v>
      </c>
      <c r="C784" s="3" t="s">
        <v>130</v>
      </c>
      <c r="G784" s="3" t="s">
        <v>1935</v>
      </c>
      <c r="K784" s="3" t="b">
        <v>1</v>
      </c>
      <c r="L784" s="3" t="s">
        <v>758</v>
      </c>
      <c r="N784" s="3" t="s">
        <v>2145</v>
      </c>
      <c r="S784" s="4" t="str">
        <f t="shared" si="1"/>
        <v>2017</v>
      </c>
    </row>
    <row r="785">
      <c r="A785" s="3">
        <v>136.0</v>
      </c>
      <c r="B785" s="3" t="b">
        <v>0</v>
      </c>
      <c r="C785" s="3" t="s">
        <v>130</v>
      </c>
      <c r="G785" s="3" t="s">
        <v>1809</v>
      </c>
      <c r="K785" s="3" t="b">
        <v>1</v>
      </c>
      <c r="L785" s="3" t="s">
        <v>542</v>
      </c>
      <c r="N785" s="3" t="s">
        <v>2146</v>
      </c>
      <c r="S785" s="4" t="str">
        <f t="shared" si="1"/>
        <v>2017</v>
      </c>
    </row>
    <row r="786">
      <c r="A786" s="3">
        <v>135.0</v>
      </c>
      <c r="B786" s="3" t="b">
        <v>0</v>
      </c>
      <c r="C786" s="3" t="s">
        <v>23</v>
      </c>
      <c r="G786" s="3" t="s">
        <v>1787</v>
      </c>
      <c r="K786" s="3" t="b">
        <v>0</v>
      </c>
      <c r="L786" s="3" t="s">
        <v>1745</v>
      </c>
      <c r="N786" s="3" t="s">
        <v>2147</v>
      </c>
      <c r="S786" s="4" t="str">
        <f t="shared" si="1"/>
        <v>2017</v>
      </c>
    </row>
    <row r="787">
      <c r="A787" s="3">
        <v>135.0</v>
      </c>
      <c r="B787" s="3" t="b">
        <v>0</v>
      </c>
      <c r="C787" s="3" t="s">
        <v>94</v>
      </c>
      <c r="D787" s="7">
        <v>10.0</v>
      </c>
      <c r="F787" s="7">
        <v>20.0</v>
      </c>
      <c r="G787" s="3" t="s">
        <v>2148</v>
      </c>
      <c r="I787" s="7">
        <v>1.0</v>
      </c>
      <c r="J787" s="7">
        <v>2.0</v>
      </c>
      <c r="K787" s="3" t="b">
        <v>1</v>
      </c>
      <c r="L787" s="3" t="s">
        <v>521</v>
      </c>
      <c r="M787" s="7">
        <v>212.0</v>
      </c>
      <c r="N787" s="3" t="s">
        <v>2149</v>
      </c>
      <c r="S787" s="4" t="str">
        <f t="shared" si="1"/>
        <v>2017</v>
      </c>
    </row>
    <row r="788">
      <c r="A788" s="3">
        <v>134.0</v>
      </c>
      <c r="B788" s="3" t="b">
        <v>0</v>
      </c>
      <c r="C788" s="3" t="s">
        <v>87</v>
      </c>
      <c r="G788" s="3" t="s">
        <v>1974</v>
      </c>
      <c r="K788" s="3" t="b">
        <v>0</v>
      </c>
      <c r="L788" s="3" t="s">
        <v>2150</v>
      </c>
      <c r="N788" s="3" t="s">
        <v>2151</v>
      </c>
      <c r="S788" s="4" t="str">
        <f t="shared" si="1"/>
        <v>2017</v>
      </c>
    </row>
    <row r="789">
      <c r="A789" s="3">
        <v>130.0</v>
      </c>
      <c r="B789" s="3" t="b">
        <v>0</v>
      </c>
      <c r="C789" s="3" t="s">
        <v>411</v>
      </c>
      <c r="G789" s="3" t="s">
        <v>1897</v>
      </c>
      <c r="K789" s="3" t="b">
        <v>1</v>
      </c>
      <c r="L789" s="3" t="s">
        <v>1131</v>
      </c>
      <c r="N789" s="3" t="s">
        <v>2152</v>
      </c>
      <c r="P789" s="7">
        <v>4.0</v>
      </c>
      <c r="S789" s="4" t="str">
        <f t="shared" si="1"/>
        <v>2017</v>
      </c>
    </row>
    <row r="790">
      <c r="A790" s="3">
        <v>130.0</v>
      </c>
      <c r="B790" s="3" t="b">
        <v>0</v>
      </c>
      <c r="C790" s="3" t="s">
        <v>62</v>
      </c>
      <c r="D790" s="7">
        <v>10.0</v>
      </c>
      <c r="E790" s="7">
        <v>3.0</v>
      </c>
      <c r="F790" s="7">
        <v>20.0</v>
      </c>
      <c r="G790" s="3" t="s">
        <v>1869</v>
      </c>
      <c r="I790" s="7">
        <v>2.0</v>
      </c>
      <c r="K790" s="3" t="b">
        <v>1</v>
      </c>
      <c r="L790" s="3" t="s">
        <v>311</v>
      </c>
      <c r="M790" s="7">
        <v>220.0</v>
      </c>
      <c r="N790" s="3" t="s">
        <v>2153</v>
      </c>
      <c r="S790" s="4" t="str">
        <f t="shared" si="1"/>
        <v>2017</v>
      </c>
    </row>
    <row r="791">
      <c r="A791" s="3">
        <v>130.0</v>
      </c>
      <c r="B791" s="3" t="b">
        <v>0</v>
      </c>
      <c r="C791" s="3" t="s">
        <v>149</v>
      </c>
      <c r="G791" s="3" t="s">
        <v>2154</v>
      </c>
      <c r="K791" s="3" t="b">
        <v>0</v>
      </c>
      <c r="L791" s="3" t="s">
        <v>238</v>
      </c>
      <c r="N791" s="3" t="s">
        <v>2155</v>
      </c>
      <c r="S791" s="4" t="str">
        <f t="shared" si="1"/>
        <v>2017</v>
      </c>
    </row>
    <row r="792">
      <c r="A792" s="3">
        <v>128.0</v>
      </c>
      <c r="B792" s="3" t="b">
        <v>0</v>
      </c>
      <c r="C792" s="3" t="s">
        <v>58</v>
      </c>
      <c r="G792" s="3" t="s">
        <v>1938</v>
      </c>
      <c r="K792" s="3" t="b">
        <v>0</v>
      </c>
      <c r="L792" s="3" t="s">
        <v>730</v>
      </c>
      <c r="N792" s="3" t="s">
        <v>2156</v>
      </c>
      <c r="S792" s="4" t="str">
        <f t="shared" si="1"/>
        <v>2017</v>
      </c>
    </row>
    <row r="793">
      <c r="A793" s="3">
        <v>126.0</v>
      </c>
      <c r="B793" s="3" t="b">
        <v>0</v>
      </c>
      <c r="C793" s="3" t="s">
        <v>39</v>
      </c>
      <c r="G793" s="3" t="s">
        <v>1959</v>
      </c>
      <c r="K793" s="3" t="b">
        <v>0</v>
      </c>
      <c r="L793" s="3" t="s">
        <v>2157</v>
      </c>
      <c r="N793" s="3" t="s">
        <v>2158</v>
      </c>
      <c r="S793" s="4" t="str">
        <f t="shared" si="1"/>
        <v>2017</v>
      </c>
    </row>
    <row r="794">
      <c r="A794" s="3">
        <v>125.0</v>
      </c>
      <c r="B794" s="3" t="b">
        <v>0</v>
      </c>
      <c r="C794" s="3" t="s">
        <v>101</v>
      </c>
      <c r="G794" s="3" t="s">
        <v>2159</v>
      </c>
      <c r="K794" s="3" t="b">
        <v>0</v>
      </c>
      <c r="L794" s="3" t="s">
        <v>2160</v>
      </c>
      <c r="N794" s="3" t="s">
        <v>2161</v>
      </c>
      <c r="S794" s="4" t="str">
        <f t="shared" si="1"/>
        <v>2017</v>
      </c>
    </row>
    <row r="795">
      <c r="A795" s="3">
        <v>124.0</v>
      </c>
      <c r="B795" s="3" t="b">
        <v>0</v>
      </c>
      <c r="C795" s="3" t="s">
        <v>19</v>
      </c>
      <c r="G795" s="3" t="s">
        <v>1927</v>
      </c>
      <c r="K795" s="3" t="b">
        <v>0</v>
      </c>
      <c r="L795" s="3" t="s">
        <v>2162</v>
      </c>
      <c r="N795" s="3" t="s">
        <v>2163</v>
      </c>
      <c r="S795" s="4" t="str">
        <f t="shared" si="1"/>
        <v>2017</v>
      </c>
    </row>
    <row r="796">
      <c r="A796" s="3">
        <v>122.0</v>
      </c>
      <c r="B796" s="3" t="b">
        <v>0</v>
      </c>
      <c r="C796" s="3" t="s">
        <v>27</v>
      </c>
      <c r="G796" s="3" t="s">
        <v>2164</v>
      </c>
      <c r="K796" s="3" t="b">
        <v>0</v>
      </c>
      <c r="L796" s="3" t="s">
        <v>2165</v>
      </c>
      <c r="N796" s="3" t="s">
        <v>2166</v>
      </c>
      <c r="S796" s="4" t="str">
        <f t="shared" si="1"/>
        <v>2017</v>
      </c>
    </row>
    <row r="797">
      <c r="A797" s="3">
        <v>120.0</v>
      </c>
      <c r="B797" s="3" t="b">
        <v>0</v>
      </c>
      <c r="C797" s="3" t="s">
        <v>149</v>
      </c>
      <c r="G797" s="3" t="s">
        <v>1869</v>
      </c>
      <c r="K797" s="3" t="b">
        <v>0</v>
      </c>
      <c r="L797" s="3" t="s">
        <v>2167</v>
      </c>
      <c r="N797" s="3" t="s">
        <v>2168</v>
      </c>
      <c r="S797" s="4" t="str">
        <f t="shared" si="1"/>
        <v>2017</v>
      </c>
    </row>
    <row r="798">
      <c r="A798" s="3">
        <v>120.0</v>
      </c>
      <c r="B798" s="3" t="b">
        <v>0</v>
      </c>
      <c r="C798" s="3" t="s">
        <v>27</v>
      </c>
      <c r="G798" s="3" t="s">
        <v>2169</v>
      </c>
      <c r="K798" s="3" t="b">
        <v>0</v>
      </c>
      <c r="L798" s="3" t="s">
        <v>2170</v>
      </c>
      <c r="N798" s="3" t="s">
        <v>2171</v>
      </c>
      <c r="S798" s="4" t="str">
        <f t="shared" si="1"/>
        <v>2017</v>
      </c>
    </row>
    <row r="799">
      <c r="A799" s="3">
        <v>117.0</v>
      </c>
      <c r="B799" s="3" t="b">
        <v>0</v>
      </c>
      <c r="C799" s="3" t="s">
        <v>411</v>
      </c>
      <c r="G799" s="3" t="s">
        <v>1910</v>
      </c>
      <c r="K799" s="3" t="b">
        <v>1</v>
      </c>
      <c r="L799" s="3" t="s">
        <v>2172</v>
      </c>
      <c r="N799" s="3" t="s">
        <v>2173</v>
      </c>
      <c r="S799" s="4" t="str">
        <f t="shared" si="1"/>
        <v>2017</v>
      </c>
    </row>
    <row r="800">
      <c r="A800" s="3">
        <v>116.0</v>
      </c>
      <c r="B800" s="3" t="b">
        <v>0</v>
      </c>
      <c r="C800" s="3" t="s">
        <v>205</v>
      </c>
      <c r="G800" s="3" t="s">
        <v>1941</v>
      </c>
      <c r="K800" s="3" t="b">
        <v>0</v>
      </c>
      <c r="L800" s="3" t="s">
        <v>464</v>
      </c>
      <c r="N800" s="3" t="s">
        <v>2174</v>
      </c>
      <c r="S800" s="4" t="str">
        <f t="shared" si="1"/>
        <v>2017</v>
      </c>
    </row>
    <row r="801">
      <c r="A801" s="3">
        <v>114.0</v>
      </c>
      <c r="B801" s="3" t="b">
        <v>0</v>
      </c>
      <c r="C801" s="3" t="s">
        <v>166</v>
      </c>
      <c r="D801" s="7">
        <v>1.0</v>
      </c>
      <c r="F801" s="7">
        <v>5.0</v>
      </c>
      <c r="G801" s="3" t="s">
        <v>2175</v>
      </c>
      <c r="K801" s="3" t="b">
        <v>1</v>
      </c>
      <c r="L801" s="3" t="s">
        <v>1278</v>
      </c>
      <c r="M801" s="7">
        <v>55.0</v>
      </c>
      <c r="N801" s="3" t="s">
        <v>2176</v>
      </c>
      <c r="S801" s="4" t="str">
        <f t="shared" si="1"/>
        <v>2017</v>
      </c>
    </row>
    <row r="802">
      <c r="A802" s="3">
        <v>111.0</v>
      </c>
      <c r="B802" s="3" t="b">
        <v>0</v>
      </c>
      <c r="C802" s="3" t="s">
        <v>39</v>
      </c>
      <c r="G802" s="3" t="s">
        <v>2177</v>
      </c>
      <c r="K802" s="3" t="b">
        <v>0</v>
      </c>
      <c r="L802" s="3" t="s">
        <v>1015</v>
      </c>
      <c r="N802" s="3" t="s">
        <v>2178</v>
      </c>
      <c r="S802" s="4" t="str">
        <f t="shared" si="1"/>
        <v>2017</v>
      </c>
    </row>
    <row r="803">
      <c r="A803" s="3">
        <v>111.0</v>
      </c>
      <c r="B803" s="3" t="b">
        <v>0</v>
      </c>
      <c r="C803" s="3" t="s">
        <v>87</v>
      </c>
      <c r="G803" s="3" t="s">
        <v>1804</v>
      </c>
      <c r="K803" s="3" t="b">
        <v>0</v>
      </c>
      <c r="L803" s="3" t="s">
        <v>184</v>
      </c>
      <c r="N803" s="3" t="s">
        <v>2179</v>
      </c>
      <c r="S803" s="4" t="str">
        <f t="shared" si="1"/>
        <v>2017</v>
      </c>
    </row>
    <row r="804">
      <c r="A804" s="3">
        <v>105.0</v>
      </c>
      <c r="B804" s="3" t="b">
        <v>0</v>
      </c>
      <c r="C804" s="3" t="s">
        <v>149</v>
      </c>
      <c r="G804" s="3" t="s">
        <v>2180</v>
      </c>
      <c r="K804" s="3" t="b">
        <v>0</v>
      </c>
      <c r="L804" s="3" t="s">
        <v>2181</v>
      </c>
      <c r="N804" s="3" t="s">
        <v>2182</v>
      </c>
      <c r="S804" s="4" t="str">
        <f t="shared" si="1"/>
        <v>2017</v>
      </c>
    </row>
    <row r="805">
      <c r="A805" s="3">
        <v>105.0</v>
      </c>
      <c r="B805" s="3" t="b">
        <v>0</v>
      </c>
      <c r="C805" s="3" t="s">
        <v>27</v>
      </c>
      <c r="G805" s="3" t="s">
        <v>2132</v>
      </c>
      <c r="K805" s="3" t="b">
        <v>0</v>
      </c>
      <c r="L805" s="3" t="s">
        <v>1278</v>
      </c>
      <c r="N805" s="3" t="s">
        <v>2183</v>
      </c>
      <c r="S805" s="4" t="str">
        <f t="shared" si="1"/>
        <v>2017</v>
      </c>
    </row>
    <row r="806">
      <c r="A806" s="3">
        <v>103.0</v>
      </c>
      <c r="B806" s="3" t="b">
        <v>0</v>
      </c>
      <c r="C806" s="3" t="s">
        <v>87</v>
      </c>
      <c r="G806" s="3" t="s">
        <v>2011</v>
      </c>
      <c r="K806" s="3" t="b">
        <v>0</v>
      </c>
      <c r="L806" s="3" t="s">
        <v>2184</v>
      </c>
      <c r="N806" s="3" t="s">
        <v>2185</v>
      </c>
      <c r="S806" s="4" t="str">
        <f t="shared" si="1"/>
        <v>2017</v>
      </c>
    </row>
    <row r="807">
      <c r="A807" s="3">
        <v>102.0</v>
      </c>
      <c r="B807" s="3" t="b">
        <v>0</v>
      </c>
      <c r="C807" s="3" t="s">
        <v>39</v>
      </c>
      <c r="G807" s="3" t="s">
        <v>1795</v>
      </c>
      <c r="K807" s="3" t="b">
        <v>0</v>
      </c>
      <c r="L807" s="3" t="s">
        <v>2186</v>
      </c>
      <c r="N807" s="3" t="s">
        <v>2187</v>
      </c>
      <c r="S807" s="4" t="str">
        <f t="shared" si="1"/>
        <v>2017</v>
      </c>
    </row>
    <row r="808">
      <c r="A808" s="3">
        <v>101.0</v>
      </c>
      <c r="B808" s="3" t="b">
        <v>0</v>
      </c>
      <c r="C808" s="3" t="s">
        <v>401</v>
      </c>
      <c r="G808" s="3" t="s">
        <v>2188</v>
      </c>
      <c r="K808" s="3" t="b">
        <v>0</v>
      </c>
      <c r="L808" s="3" t="s">
        <v>2189</v>
      </c>
      <c r="N808" s="3" t="s">
        <v>2190</v>
      </c>
      <c r="S808" s="4" t="str">
        <f t="shared" si="1"/>
        <v>2017</v>
      </c>
    </row>
    <row r="809">
      <c r="A809" s="3">
        <v>100.0</v>
      </c>
      <c r="B809" s="3" t="b">
        <v>0</v>
      </c>
      <c r="C809" s="3" t="s">
        <v>62</v>
      </c>
      <c r="G809" s="3" t="s">
        <v>1941</v>
      </c>
      <c r="K809" s="3" t="b">
        <v>0</v>
      </c>
      <c r="L809" s="3" t="s">
        <v>2191</v>
      </c>
      <c r="N809" s="3" t="s">
        <v>2192</v>
      </c>
      <c r="S809" s="4" t="str">
        <f t="shared" si="1"/>
        <v>2017</v>
      </c>
    </row>
    <row r="810">
      <c r="A810" s="3">
        <v>100.0</v>
      </c>
      <c r="B810" s="3" t="b">
        <v>0</v>
      </c>
      <c r="C810" s="3" t="s">
        <v>73</v>
      </c>
      <c r="G810" s="3" t="s">
        <v>2193</v>
      </c>
      <c r="K810" s="3" t="b">
        <v>1</v>
      </c>
      <c r="L810" s="3" t="s">
        <v>2194</v>
      </c>
      <c r="N810" s="3" t="s">
        <v>2195</v>
      </c>
      <c r="S810" s="4" t="str">
        <f t="shared" si="1"/>
        <v>2017</v>
      </c>
    </row>
    <row r="811">
      <c r="A811" s="3">
        <v>100.0</v>
      </c>
      <c r="B811" s="3" t="b">
        <v>0</v>
      </c>
      <c r="C811" s="3" t="s">
        <v>186</v>
      </c>
      <c r="G811" s="3" t="s">
        <v>2196</v>
      </c>
      <c r="K811" s="3" t="b">
        <v>0</v>
      </c>
      <c r="L811" s="3" t="s">
        <v>2197</v>
      </c>
      <c r="N811" s="3" t="s">
        <v>2198</v>
      </c>
      <c r="S811" s="4" t="str">
        <f t="shared" si="1"/>
        <v>2017</v>
      </c>
    </row>
    <row r="812">
      <c r="A812" s="3">
        <v>100.0</v>
      </c>
      <c r="B812" s="3" t="b">
        <v>0</v>
      </c>
      <c r="C812" s="3" t="s">
        <v>278</v>
      </c>
      <c r="G812" s="3" t="s">
        <v>2199</v>
      </c>
      <c r="K812" s="3" t="b">
        <v>0</v>
      </c>
      <c r="L812" s="3" t="s">
        <v>2200</v>
      </c>
      <c r="N812" s="3" t="s">
        <v>2201</v>
      </c>
      <c r="S812" s="4" t="str">
        <f t="shared" si="1"/>
        <v>2017</v>
      </c>
    </row>
    <row r="813">
      <c r="A813" s="3">
        <v>100.0</v>
      </c>
      <c r="B813" s="3" t="b">
        <v>0</v>
      </c>
      <c r="C813" s="3" t="s">
        <v>401</v>
      </c>
      <c r="G813" s="3" t="s">
        <v>1869</v>
      </c>
      <c r="K813" s="3" t="b">
        <v>0</v>
      </c>
      <c r="L813" s="3" t="s">
        <v>2202</v>
      </c>
      <c r="N813" s="3" t="s">
        <v>2203</v>
      </c>
      <c r="S813" s="4" t="str">
        <f t="shared" si="1"/>
        <v>2017</v>
      </c>
    </row>
    <row r="814">
      <c r="A814" s="3">
        <v>100.0</v>
      </c>
      <c r="B814" s="3" t="b">
        <v>0</v>
      </c>
      <c r="C814" s="3" t="s">
        <v>39</v>
      </c>
      <c r="G814" s="3" t="s">
        <v>1987</v>
      </c>
      <c r="K814" s="3" t="b">
        <v>0</v>
      </c>
      <c r="L814" s="3" t="s">
        <v>1901</v>
      </c>
      <c r="N814" s="3" t="s">
        <v>2204</v>
      </c>
      <c r="S814" s="4" t="str">
        <f t="shared" si="1"/>
        <v>2017</v>
      </c>
    </row>
    <row r="815">
      <c r="A815" s="3">
        <v>100.0</v>
      </c>
      <c r="B815" s="3" t="b">
        <v>0</v>
      </c>
      <c r="C815" s="3" t="s">
        <v>401</v>
      </c>
      <c r="G815" s="3" t="s">
        <v>1834</v>
      </c>
      <c r="K815" s="3" t="b">
        <v>0</v>
      </c>
      <c r="L815" s="3" t="s">
        <v>2205</v>
      </c>
      <c r="N815" s="3" t="s">
        <v>2206</v>
      </c>
      <c r="S815" s="4" t="str">
        <f t="shared" si="1"/>
        <v>2017</v>
      </c>
    </row>
    <row r="816">
      <c r="A816" s="3">
        <v>100.0</v>
      </c>
      <c r="B816" s="3" t="b">
        <v>0</v>
      </c>
      <c r="C816" s="3" t="s">
        <v>134</v>
      </c>
      <c r="G816" s="3" t="s">
        <v>1827</v>
      </c>
      <c r="K816" s="3" t="b">
        <v>0</v>
      </c>
      <c r="L816" s="3" t="s">
        <v>2207</v>
      </c>
      <c r="N816" s="3" t="s">
        <v>2208</v>
      </c>
      <c r="S816" s="4" t="str">
        <f t="shared" si="1"/>
        <v>2017</v>
      </c>
    </row>
    <row r="817">
      <c r="A817" s="3">
        <v>99.0</v>
      </c>
      <c r="B817" s="3" t="b">
        <v>0</v>
      </c>
      <c r="C817" s="3" t="s">
        <v>134</v>
      </c>
      <c r="G817" s="3" t="s">
        <v>2043</v>
      </c>
      <c r="K817" s="3" t="b">
        <v>0</v>
      </c>
      <c r="L817" s="3" t="s">
        <v>730</v>
      </c>
      <c r="N817" s="3" t="s">
        <v>2209</v>
      </c>
      <c r="S817" s="4" t="str">
        <f t="shared" si="1"/>
        <v>2017</v>
      </c>
    </row>
    <row r="818">
      <c r="A818" s="3">
        <v>92.0</v>
      </c>
      <c r="B818" s="3" t="b">
        <v>0</v>
      </c>
      <c r="C818" s="3" t="s">
        <v>27</v>
      </c>
      <c r="G818" s="3" t="s">
        <v>2210</v>
      </c>
      <c r="K818" s="3" t="b">
        <v>1</v>
      </c>
      <c r="L818" s="3" t="s">
        <v>706</v>
      </c>
      <c r="N818" s="3" t="s">
        <v>2211</v>
      </c>
      <c r="S818" s="4" t="str">
        <f t="shared" si="1"/>
        <v>2017</v>
      </c>
    </row>
    <row r="819">
      <c r="A819" s="3">
        <v>91.0</v>
      </c>
      <c r="B819" s="3" t="b">
        <v>0</v>
      </c>
      <c r="C819" s="3" t="s">
        <v>39</v>
      </c>
      <c r="G819" s="3" t="s">
        <v>1888</v>
      </c>
      <c r="K819" s="3" t="b">
        <v>1</v>
      </c>
      <c r="L819" s="3" t="s">
        <v>2212</v>
      </c>
      <c r="N819" s="3" t="s">
        <v>2213</v>
      </c>
      <c r="P819" s="7">
        <v>5.0</v>
      </c>
      <c r="S819" s="4" t="str">
        <f t="shared" si="1"/>
        <v>2017</v>
      </c>
    </row>
    <row r="820">
      <c r="A820" s="3">
        <v>91.0</v>
      </c>
      <c r="B820" s="3" t="b">
        <v>0</v>
      </c>
      <c r="C820" s="3" t="s">
        <v>87</v>
      </c>
      <c r="G820" s="3" t="s">
        <v>2214</v>
      </c>
      <c r="K820" s="3" t="b">
        <v>0</v>
      </c>
      <c r="L820" s="3" t="s">
        <v>2215</v>
      </c>
      <c r="N820" s="3" t="s">
        <v>2216</v>
      </c>
      <c r="S820" s="4" t="str">
        <f t="shared" si="1"/>
        <v>2017</v>
      </c>
    </row>
    <row r="821">
      <c r="A821" s="3">
        <v>90.0</v>
      </c>
      <c r="B821" s="3" t="b">
        <v>0</v>
      </c>
      <c r="C821" s="3" t="s">
        <v>156</v>
      </c>
      <c r="G821" s="3" t="s">
        <v>1784</v>
      </c>
      <c r="K821" s="3" t="b">
        <v>0</v>
      </c>
      <c r="L821" s="3" t="s">
        <v>2217</v>
      </c>
      <c r="N821" s="3" t="s">
        <v>2218</v>
      </c>
      <c r="S821" s="4" t="str">
        <f t="shared" si="1"/>
        <v>2017</v>
      </c>
    </row>
    <row r="822">
      <c r="A822" s="3">
        <v>87.0</v>
      </c>
      <c r="B822" s="3" t="b">
        <v>0</v>
      </c>
      <c r="C822" s="3" t="s">
        <v>186</v>
      </c>
      <c r="G822" s="3" t="s">
        <v>2199</v>
      </c>
      <c r="K822" s="3" t="b">
        <v>1</v>
      </c>
      <c r="L822" s="3" t="s">
        <v>2219</v>
      </c>
      <c r="N822" s="3" t="s">
        <v>2220</v>
      </c>
      <c r="S822" s="4" t="str">
        <f t="shared" si="1"/>
        <v>2017</v>
      </c>
    </row>
    <row r="823">
      <c r="A823" s="3">
        <v>86.0</v>
      </c>
      <c r="B823" s="3" t="b">
        <v>0</v>
      </c>
      <c r="C823" s="3" t="s">
        <v>35</v>
      </c>
      <c r="G823" s="3" t="s">
        <v>1965</v>
      </c>
      <c r="K823" s="3" t="b">
        <v>0</v>
      </c>
      <c r="L823" s="3" t="s">
        <v>2221</v>
      </c>
      <c r="N823" s="3" t="s">
        <v>2222</v>
      </c>
      <c r="S823" s="4" t="str">
        <f t="shared" si="1"/>
        <v>2017</v>
      </c>
    </row>
    <row r="824">
      <c r="A824" s="3">
        <v>85.0</v>
      </c>
      <c r="B824" s="3" t="b">
        <v>0</v>
      </c>
      <c r="C824" s="3" t="s">
        <v>27</v>
      </c>
      <c r="G824" s="3" t="s">
        <v>1789</v>
      </c>
      <c r="K824" s="3" t="b">
        <v>0</v>
      </c>
      <c r="L824" s="3" t="s">
        <v>2223</v>
      </c>
      <c r="N824" s="3" t="s">
        <v>2224</v>
      </c>
      <c r="S824" s="4" t="str">
        <f t="shared" si="1"/>
        <v>2017</v>
      </c>
    </row>
    <row r="825">
      <c r="A825" s="3">
        <v>85.0</v>
      </c>
      <c r="B825" s="3" t="b">
        <v>0</v>
      </c>
      <c r="C825" s="3" t="s">
        <v>50</v>
      </c>
      <c r="G825" s="3" t="s">
        <v>1885</v>
      </c>
      <c r="K825" s="3" t="b">
        <v>0</v>
      </c>
      <c r="L825" s="3" t="s">
        <v>2225</v>
      </c>
      <c r="N825" s="3" t="s">
        <v>2226</v>
      </c>
      <c r="S825" s="4" t="str">
        <f t="shared" si="1"/>
        <v>2017</v>
      </c>
    </row>
    <row r="826">
      <c r="A826" s="3">
        <v>85.0</v>
      </c>
      <c r="B826" s="3" t="b">
        <v>0</v>
      </c>
      <c r="C826" s="3" t="s">
        <v>134</v>
      </c>
      <c r="G826" s="3" t="s">
        <v>2227</v>
      </c>
      <c r="K826" s="3" t="b">
        <v>0</v>
      </c>
      <c r="L826" s="3" t="s">
        <v>2228</v>
      </c>
      <c r="N826" s="3" t="s">
        <v>2229</v>
      </c>
      <c r="S826" s="4" t="str">
        <f t="shared" si="1"/>
        <v>2017</v>
      </c>
    </row>
    <row r="827">
      <c r="A827" s="3">
        <v>85.0</v>
      </c>
      <c r="B827" s="3" t="b">
        <v>0</v>
      </c>
      <c r="C827" s="3" t="s">
        <v>401</v>
      </c>
      <c r="G827" s="3" t="s">
        <v>2230</v>
      </c>
      <c r="K827" s="3" t="b">
        <v>0</v>
      </c>
      <c r="L827" s="3" t="s">
        <v>758</v>
      </c>
      <c r="N827" s="3" t="s">
        <v>2231</v>
      </c>
      <c r="S827" s="4" t="str">
        <f t="shared" si="1"/>
        <v>2017</v>
      </c>
    </row>
    <row r="828">
      <c r="A828" s="3">
        <v>82.0</v>
      </c>
      <c r="B828" s="3" t="b">
        <v>0</v>
      </c>
      <c r="C828" s="3" t="s">
        <v>114</v>
      </c>
      <c r="G828" s="3" t="s">
        <v>1857</v>
      </c>
      <c r="K828" s="3" t="b">
        <v>0</v>
      </c>
      <c r="L828" s="3" t="s">
        <v>2232</v>
      </c>
      <c r="N828" s="3" t="s">
        <v>2233</v>
      </c>
      <c r="S828" s="4" t="str">
        <f t="shared" si="1"/>
        <v>2017</v>
      </c>
    </row>
    <row r="829">
      <c r="A829" s="3">
        <v>81.0</v>
      </c>
      <c r="B829" s="3" t="b">
        <v>0</v>
      </c>
      <c r="C829" s="3" t="s">
        <v>62</v>
      </c>
      <c r="G829" s="3" t="s">
        <v>2196</v>
      </c>
      <c r="K829" s="3" t="b">
        <v>0</v>
      </c>
      <c r="L829" s="3" t="s">
        <v>1307</v>
      </c>
      <c r="N829" s="3" t="s">
        <v>2234</v>
      </c>
      <c r="S829" s="4" t="str">
        <f t="shared" si="1"/>
        <v>2017</v>
      </c>
    </row>
    <row r="830">
      <c r="A830" s="3">
        <v>80.0</v>
      </c>
      <c r="B830" s="3" t="b">
        <v>0</v>
      </c>
      <c r="C830" s="3" t="s">
        <v>130</v>
      </c>
      <c r="G830" s="3" t="s">
        <v>2235</v>
      </c>
      <c r="K830" s="3" t="b">
        <v>0</v>
      </c>
      <c r="L830" s="3" t="s">
        <v>2236</v>
      </c>
      <c r="N830" s="3" t="s">
        <v>2237</v>
      </c>
      <c r="S830" s="4" t="str">
        <f t="shared" si="1"/>
        <v>2017</v>
      </c>
    </row>
    <row r="831">
      <c r="A831" s="3">
        <v>79.0</v>
      </c>
      <c r="B831" s="3" t="b">
        <v>0</v>
      </c>
      <c r="C831" s="3" t="s">
        <v>138</v>
      </c>
      <c r="G831" s="3" t="s">
        <v>1879</v>
      </c>
      <c r="K831" s="3" t="b">
        <v>0</v>
      </c>
      <c r="L831" s="3" t="s">
        <v>2238</v>
      </c>
      <c r="N831" s="3" t="s">
        <v>2239</v>
      </c>
      <c r="S831" s="4" t="str">
        <f t="shared" si="1"/>
        <v>2017</v>
      </c>
    </row>
    <row r="832">
      <c r="A832" s="3">
        <v>79.0</v>
      </c>
      <c r="B832" s="3" t="b">
        <v>0</v>
      </c>
      <c r="C832" s="3" t="s">
        <v>94</v>
      </c>
      <c r="G832" s="3" t="s">
        <v>2240</v>
      </c>
      <c r="K832" s="3" t="b">
        <v>0</v>
      </c>
      <c r="L832" s="3" t="s">
        <v>2241</v>
      </c>
      <c r="N832" s="3" t="s">
        <v>2242</v>
      </c>
      <c r="S832" s="4" t="str">
        <f t="shared" si="1"/>
        <v>2017</v>
      </c>
    </row>
    <row r="833">
      <c r="A833" s="3">
        <v>78.0</v>
      </c>
      <c r="B833" s="3" t="b">
        <v>0</v>
      </c>
      <c r="C833" s="3" t="s">
        <v>401</v>
      </c>
      <c r="G833" s="3" t="s">
        <v>2112</v>
      </c>
      <c r="K833" s="3" t="b">
        <v>0</v>
      </c>
      <c r="L833" s="3" t="s">
        <v>2243</v>
      </c>
      <c r="N833" s="3" t="s">
        <v>2244</v>
      </c>
      <c r="S833" s="4" t="str">
        <f t="shared" si="1"/>
        <v>2017</v>
      </c>
    </row>
    <row r="834">
      <c r="A834" s="3">
        <v>78.0</v>
      </c>
      <c r="B834" s="3" t="b">
        <v>0</v>
      </c>
      <c r="C834" s="3" t="s">
        <v>54</v>
      </c>
      <c r="G834" s="3" t="s">
        <v>2245</v>
      </c>
      <c r="K834" s="3" t="b">
        <v>0</v>
      </c>
      <c r="L834" s="3" t="s">
        <v>1598</v>
      </c>
      <c r="N834" s="3" t="s">
        <v>2246</v>
      </c>
      <c r="S834" s="4" t="str">
        <f t="shared" si="1"/>
        <v>2017</v>
      </c>
    </row>
    <row r="835">
      <c r="A835" s="3">
        <v>76.0</v>
      </c>
      <c r="B835" s="3" t="b">
        <v>0</v>
      </c>
      <c r="C835" s="3" t="s">
        <v>388</v>
      </c>
      <c r="G835" s="3" t="s">
        <v>2247</v>
      </c>
      <c r="K835" s="3" t="b">
        <v>1</v>
      </c>
      <c r="L835" s="3" t="s">
        <v>2248</v>
      </c>
      <c r="N835" s="3" t="s">
        <v>2249</v>
      </c>
      <c r="O835" s="7">
        <v>2.0</v>
      </c>
      <c r="P835" s="7">
        <v>13.0</v>
      </c>
      <c r="S835" s="4" t="str">
        <f t="shared" si="1"/>
        <v>2017</v>
      </c>
    </row>
    <row r="836">
      <c r="A836" s="3">
        <v>76.0</v>
      </c>
      <c r="B836" s="3" t="b">
        <v>0</v>
      </c>
      <c r="C836" s="3" t="s">
        <v>39</v>
      </c>
      <c r="G836" s="3" t="s">
        <v>2250</v>
      </c>
      <c r="K836" s="3" t="b">
        <v>0</v>
      </c>
      <c r="L836" s="3" t="s">
        <v>2251</v>
      </c>
      <c r="N836" s="3" t="s">
        <v>2252</v>
      </c>
      <c r="S836" s="4" t="str">
        <f t="shared" si="1"/>
        <v>2017</v>
      </c>
    </row>
    <row r="837">
      <c r="A837" s="3">
        <v>74.0</v>
      </c>
      <c r="B837" s="3" t="b">
        <v>0</v>
      </c>
      <c r="C837" s="3" t="s">
        <v>149</v>
      </c>
      <c r="G837" s="3" t="s">
        <v>2180</v>
      </c>
      <c r="K837" s="3" t="b">
        <v>0</v>
      </c>
      <c r="L837" s="3" t="s">
        <v>2253</v>
      </c>
      <c r="N837" s="3" t="s">
        <v>2254</v>
      </c>
      <c r="S837" s="4" t="str">
        <f t="shared" si="1"/>
        <v>2017</v>
      </c>
    </row>
    <row r="838">
      <c r="A838" s="3">
        <v>74.0</v>
      </c>
      <c r="B838" s="3" t="b">
        <v>0</v>
      </c>
      <c r="C838" s="3" t="s">
        <v>130</v>
      </c>
      <c r="D838" s="7">
        <v>2.0</v>
      </c>
      <c r="F838" s="7">
        <v>5.0</v>
      </c>
      <c r="G838" s="3" t="s">
        <v>1900</v>
      </c>
      <c r="K838" s="3" t="b">
        <v>1</v>
      </c>
      <c r="L838" s="3" t="s">
        <v>2255</v>
      </c>
      <c r="N838" s="3" t="s">
        <v>2256</v>
      </c>
      <c r="S838" s="4" t="str">
        <f t="shared" si="1"/>
        <v>2017</v>
      </c>
    </row>
    <row r="839">
      <c r="A839" s="3">
        <v>74.0</v>
      </c>
      <c r="B839" s="3" t="b">
        <v>0</v>
      </c>
      <c r="C839" s="3" t="s">
        <v>134</v>
      </c>
      <c r="G839" s="3" t="s">
        <v>1848</v>
      </c>
      <c r="K839" s="3" t="b">
        <v>0</v>
      </c>
      <c r="L839" s="3" t="s">
        <v>2057</v>
      </c>
      <c r="N839" s="3" t="s">
        <v>2257</v>
      </c>
      <c r="S839" s="4" t="str">
        <f t="shared" si="1"/>
        <v>2017</v>
      </c>
    </row>
    <row r="840">
      <c r="A840" s="3">
        <v>73.0</v>
      </c>
      <c r="B840" s="3" t="b">
        <v>0</v>
      </c>
      <c r="C840" s="3" t="s">
        <v>149</v>
      </c>
      <c r="G840" s="3" t="s">
        <v>2258</v>
      </c>
      <c r="K840" s="3" t="b">
        <v>0</v>
      </c>
      <c r="L840" s="3" t="s">
        <v>2259</v>
      </c>
      <c r="N840" s="3" t="s">
        <v>2260</v>
      </c>
      <c r="S840" s="4" t="str">
        <f t="shared" si="1"/>
        <v>2017</v>
      </c>
    </row>
    <row r="841">
      <c r="A841" s="3">
        <v>72.0</v>
      </c>
      <c r="B841" s="3" t="b">
        <v>0</v>
      </c>
      <c r="C841" s="3" t="s">
        <v>27</v>
      </c>
      <c r="G841" s="3" t="s">
        <v>2059</v>
      </c>
      <c r="K841" s="3" t="b">
        <v>0</v>
      </c>
      <c r="L841" s="3" t="s">
        <v>2261</v>
      </c>
      <c r="N841" s="3" t="s">
        <v>2262</v>
      </c>
      <c r="S841" s="4" t="str">
        <f t="shared" si="1"/>
        <v>2017</v>
      </c>
    </row>
    <row r="842">
      <c r="A842" s="3">
        <v>70.0</v>
      </c>
      <c r="B842" s="3" t="b">
        <v>0</v>
      </c>
      <c r="C842" s="3" t="s">
        <v>149</v>
      </c>
      <c r="G842" s="3" t="s">
        <v>1885</v>
      </c>
      <c r="K842" s="3" t="b">
        <v>0</v>
      </c>
      <c r="L842" s="3" t="s">
        <v>2263</v>
      </c>
      <c r="N842" s="3" t="s">
        <v>2264</v>
      </c>
      <c r="S842" s="4" t="str">
        <f t="shared" si="1"/>
        <v>2017</v>
      </c>
    </row>
    <row r="843">
      <c r="A843" s="3">
        <v>70.0</v>
      </c>
      <c r="B843" s="3" t="b">
        <v>0</v>
      </c>
      <c r="C843" s="3" t="s">
        <v>489</v>
      </c>
      <c r="D843" s="7">
        <v>4.0</v>
      </c>
      <c r="E843" s="7">
        <v>4.0</v>
      </c>
      <c r="F843" s="7">
        <v>10.0</v>
      </c>
      <c r="G843" s="3" t="s">
        <v>1910</v>
      </c>
      <c r="I843" s="7">
        <v>2.0</v>
      </c>
      <c r="K843" s="3" t="b">
        <v>1</v>
      </c>
      <c r="L843" s="3" t="s">
        <v>578</v>
      </c>
      <c r="M843" s="7">
        <v>76.0</v>
      </c>
      <c r="N843" s="3" t="s">
        <v>2265</v>
      </c>
      <c r="S843" s="4" t="str">
        <f t="shared" si="1"/>
        <v>2017</v>
      </c>
    </row>
    <row r="844">
      <c r="A844" s="3">
        <v>70.0</v>
      </c>
      <c r="B844" s="3" t="b">
        <v>0</v>
      </c>
      <c r="C844" s="3" t="s">
        <v>401</v>
      </c>
      <c r="G844" s="3" t="s">
        <v>1750</v>
      </c>
      <c r="K844" s="3" t="b">
        <v>0</v>
      </c>
      <c r="L844" s="3" t="s">
        <v>2266</v>
      </c>
      <c r="N844" s="3" t="s">
        <v>2267</v>
      </c>
      <c r="S844" s="4" t="str">
        <f t="shared" si="1"/>
        <v>2017</v>
      </c>
    </row>
    <row r="845">
      <c r="A845" s="3">
        <v>70.0</v>
      </c>
      <c r="B845" s="3" t="b">
        <v>0</v>
      </c>
      <c r="C845" s="3" t="s">
        <v>39</v>
      </c>
      <c r="G845" s="3" t="s">
        <v>2268</v>
      </c>
      <c r="K845" s="3" t="b">
        <v>0</v>
      </c>
      <c r="L845" s="3" t="s">
        <v>2269</v>
      </c>
      <c r="N845" s="3" t="s">
        <v>2270</v>
      </c>
      <c r="S845" s="4" t="str">
        <f t="shared" si="1"/>
        <v>2017</v>
      </c>
    </row>
    <row r="846">
      <c r="A846" s="3">
        <v>69.0</v>
      </c>
      <c r="B846" s="3" t="b">
        <v>0</v>
      </c>
      <c r="C846" s="3" t="s">
        <v>39</v>
      </c>
      <c r="G846" s="3" t="s">
        <v>1811</v>
      </c>
      <c r="K846" s="3" t="b">
        <v>0</v>
      </c>
      <c r="L846" s="3" t="s">
        <v>1914</v>
      </c>
      <c r="N846" s="3" t="s">
        <v>2271</v>
      </c>
      <c r="S846" s="4" t="str">
        <f t="shared" si="1"/>
        <v>2017</v>
      </c>
    </row>
    <row r="847">
      <c r="A847" s="3">
        <v>68.0</v>
      </c>
      <c r="B847" s="3" t="b">
        <v>0</v>
      </c>
      <c r="C847" s="3" t="s">
        <v>247</v>
      </c>
      <c r="G847" s="3" t="s">
        <v>2272</v>
      </c>
      <c r="K847" s="3" t="b">
        <v>0</v>
      </c>
      <c r="L847" s="3" t="s">
        <v>1665</v>
      </c>
      <c r="N847" s="3" t="s">
        <v>2273</v>
      </c>
      <c r="S847" s="4" t="str">
        <f t="shared" si="1"/>
        <v>2017</v>
      </c>
    </row>
    <row r="848">
      <c r="A848" s="3">
        <v>67.0</v>
      </c>
      <c r="B848" s="3" t="b">
        <v>0</v>
      </c>
      <c r="C848" s="3" t="s">
        <v>320</v>
      </c>
      <c r="G848" s="3" t="s">
        <v>2274</v>
      </c>
      <c r="K848" s="3" t="b">
        <v>0</v>
      </c>
      <c r="L848" s="3" t="s">
        <v>164</v>
      </c>
      <c r="N848" s="3" t="s">
        <v>2275</v>
      </c>
      <c r="S848" s="4" t="str">
        <f t="shared" si="1"/>
        <v>2017</v>
      </c>
    </row>
    <row r="849">
      <c r="A849" s="3">
        <v>65.0</v>
      </c>
      <c r="B849" s="3" t="b">
        <v>0</v>
      </c>
      <c r="C849" s="3" t="s">
        <v>260</v>
      </c>
      <c r="G849" s="3" t="s">
        <v>2276</v>
      </c>
      <c r="K849" s="3" t="b">
        <v>0</v>
      </c>
      <c r="L849" s="3" t="s">
        <v>2277</v>
      </c>
      <c r="N849" s="3" t="s">
        <v>2278</v>
      </c>
      <c r="S849" s="4" t="str">
        <f t="shared" si="1"/>
        <v>2017</v>
      </c>
    </row>
    <row r="850">
      <c r="A850" s="3">
        <v>63.0</v>
      </c>
      <c r="B850" s="3" t="b">
        <v>0</v>
      </c>
      <c r="C850" s="3" t="s">
        <v>27</v>
      </c>
      <c r="G850" s="3" t="s">
        <v>1787</v>
      </c>
      <c r="K850" s="3" t="b">
        <v>0</v>
      </c>
      <c r="L850" s="3" t="s">
        <v>2279</v>
      </c>
      <c r="N850" s="3" t="s">
        <v>2280</v>
      </c>
      <c r="S850" s="4" t="str">
        <f t="shared" si="1"/>
        <v>2017</v>
      </c>
    </row>
    <row r="851">
      <c r="A851" s="3">
        <v>63.0</v>
      </c>
      <c r="B851" s="3" t="b">
        <v>0</v>
      </c>
      <c r="C851" s="3" t="s">
        <v>101</v>
      </c>
      <c r="G851" s="3" t="s">
        <v>2132</v>
      </c>
      <c r="K851" s="3" t="b">
        <v>0</v>
      </c>
      <c r="L851" s="3" t="s">
        <v>2281</v>
      </c>
      <c r="N851" s="3" t="s">
        <v>2282</v>
      </c>
      <c r="S851" s="4" t="str">
        <f t="shared" si="1"/>
        <v>2017</v>
      </c>
    </row>
    <row r="852">
      <c r="A852" s="3">
        <v>62.0</v>
      </c>
      <c r="B852" s="3" t="b">
        <v>0</v>
      </c>
      <c r="C852" s="3" t="s">
        <v>62</v>
      </c>
      <c r="G852" s="3" t="s">
        <v>1882</v>
      </c>
      <c r="K852" s="3" t="b">
        <v>0</v>
      </c>
      <c r="L852" s="3" t="s">
        <v>2283</v>
      </c>
      <c r="N852" s="3" t="s">
        <v>2284</v>
      </c>
      <c r="S852" s="4" t="str">
        <f t="shared" si="1"/>
        <v>2017</v>
      </c>
    </row>
    <row r="853">
      <c r="A853" s="3">
        <v>62.0</v>
      </c>
      <c r="B853" s="3" t="b">
        <v>0</v>
      </c>
      <c r="C853" s="3" t="s">
        <v>186</v>
      </c>
      <c r="G853" s="3" t="s">
        <v>2285</v>
      </c>
      <c r="K853" s="3" t="b">
        <v>1</v>
      </c>
      <c r="L853" s="3" t="s">
        <v>2286</v>
      </c>
      <c r="N853" s="3" t="s">
        <v>2287</v>
      </c>
      <c r="S853" s="4" t="str">
        <f t="shared" si="1"/>
        <v>2017</v>
      </c>
    </row>
    <row r="854">
      <c r="A854" s="3">
        <v>62.0</v>
      </c>
      <c r="B854" s="3" t="b">
        <v>0</v>
      </c>
      <c r="C854" s="3" t="s">
        <v>260</v>
      </c>
      <c r="G854" s="3" t="s">
        <v>2046</v>
      </c>
      <c r="K854" s="3" t="b">
        <v>0</v>
      </c>
      <c r="L854" s="3" t="s">
        <v>125</v>
      </c>
      <c r="N854" s="3" t="s">
        <v>2288</v>
      </c>
      <c r="S854" s="4" t="str">
        <f t="shared" si="1"/>
        <v>2017</v>
      </c>
    </row>
    <row r="855">
      <c r="A855" s="3">
        <v>60.0</v>
      </c>
      <c r="B855" s="3" t="b">
        <v>0</v>
      </c>
      <c r="C855" s="3" t="s">
        <v>54</v>
      </c>
      <c r="G855" s="3" t="s">
        <v>2289</v>
      </c>
      <c r="K855" s="3" t="b">
        <v>0</v>
      </c>
      <c r="L855" s="3" t="s">
        <v>2290</v>
      </c>
      <c r="N855" s="3" t="s">
        <v>2291</v>
      </c>
      <c r="S855" s="4" t="str">
        <f t="shared" si="1"/>
        <v>2017</v>
      </c>
    </row>
    <row r="856">
      <c r="A856" s="3">
        <v>59.0</v>
      </c>
      <c r="B856" s="3" t="b">
        <v>0</v>
      </c>
      <c r="C856" s="3" t="s">
        <v>94</v>
      </c>
      <c r="G856" s="3" t="s">
        <v>1944</v>
      </c>
      <c r="K856" s="3" t="b">
        <v>0</v>
      </c>
      <c r="L856" s="3" t="s">
        <v>1219</v>
      </c>
      <c r="N856" s="3" t="s">
        <v>2292</v>
      </c>
      <c r="S856" s="4" t="str">
        <f t="shared" si="1"/>
        <v>2017</v>
      </c>
    </row>
    <row r="857">
      <c r="A857" s="3">
        <v>59.0</v>
      </c>
      <c r="B857" s="3" t="b">
        <v>0</v>
      </c>
      <c r="C857" s="3" t="s">
        <v>411</v>
      </c>
      <c r="G857" s="3" t="s">
        <v>2188</v>
      </c>
      <c r="K857" s="3" t="b">
        <v>1</v>
      </c>
      <c r="L857" s="3" t="s">
        <v>1912</v>
      </c>
      <c r="N857" s="3" t="s">
        <v>2293</v>
      </c>
      <c r="S857" s="4" t="str">
        <f t="shared" si="1"/>
        <v>2017</v>
      </c>
    </row>
    <row r="858">
      <c r="A858" s="3">
        <v>58.0</v>
      </c>
      <c r="B858" s="3" t="b">
        <v>0</v>
      </c>
      <c r="C858" s="3" t="s">
        <v>39</v>
      </c>
      <c r="G858" s="3" t="s">
        <v>2020</v>
      </c>
      <c r="K858" s="3" t="b">
        <v>1</v>
      </c>
      <c r="L858" s="3" t="s">
        <v>44</v>
      </c>
      <c r="N858" s="3" t="s">
        <v>2294</v>
      </c>
      <c r="P858" s="7">
        <v>3.0</v>
      </c>
      <c r="S858" s="4" t="str">
        <f t="shared" si="1"/>
        <v>2017</v>
      </c>
    </row>
    <row r="859">
      <c r="A859" s="3">
        <v>58.0</v>
      </c>
      <c r="B859" s="3" t="b">
        <v>0</v>
      </c>
      <c r="C859" s="3" t="s">
        <v>186</v>
      </c>
      <c r="G859" s="3" t="s">
        <v>2092</v>
      </c>
      <c r="K859" s="3" t="b">
        <v>0</v>
      </c>
      <c r="L859" s="3" t="s">
        <v>2295</v>
      </c>
      <c r="N859" s="3" t="s">
        <v>2296</v>
      </c>
      <c r="S859" s="4" t="str">
        <f t="shared" si="1"/>
        <v>2017</v>
      </c>
    </row>
    <row r="860">
      <c r="A860" s="3">
        <v>58.0</v>
      </c>
      <c r="B860" s="3" t="b">
        <v>0</v>
      </c>
      <c r="C860" s="3" t="s">
        <v>94</v>
      </c>
      <c r="G860" s="3" t="s">
        <v>2059</v>
      </c>
      <c r="K860" s="3" t="b">
        <v>0</v>
      </c>
      <c r="L860" s="3" t="s">
        <v>2297</v>
      </c>
      <c r="N860" s="3" t="s">
        <v>2298</v>
      </c>
      <c r="S860" s="4" t="str">
        <f t="shared" si="1"/>
        <v>2017</v>
      </c>
    </row>
    <row r="861">
      <c r="A861" s="3">
        <v>58.0</v>
      </c>
      <c r="B861" s="3" t="b">
        <v>0</v>
      </c>
      <c r="C861" s="3" t="s">
        <v>149</v>
      </c>
      <c r="G861" s="3" t="s">
        <v>2046</v>
      </c>
      <c r="K861" s="3" t="b">
        <v>0</v>
      </c>
      <c r="L861" s="3" t="s">
        <v>2138</v>
      </c>
      <c r="N861" s="3" t="s">
        <v>2299</v>
      </c>
      <c r="S861" s="4" t="str">
        <f t="shared" si="1"/>
        <v>2017</v>
      </c>
    </row>
    <row r="862">
      <c r="A862" s="3">
        <v>57.0</v>
      </c>
      <c r="B862" s="3" t="b">
        <v>0</v>
      </c>
      <c r="C862" s="3" t="s">
        <v>54</v>
      </c>
      <c r="G862" s="3" t="s">
        <v>1787</v>
      </c>
      <c r="K862" s="3" t="b">
        <v>0</v>
      </c>
      <c r="L862" s="3" t="s">
        <v>2300</v>
      </c>
      <c r="N862" s="3" t="s">
        <v>2301</v>
      </c>
      <c r="S862" s="4" t="str">
        <f t="shared" si="1"/>
        <v>2017</v>
      </c>
    </row>
    <row r="863">
      <c r="A863" s="3">
        <v>57.0</v>
      </c>
      <c r="B863" s="3" t="b">
        <v>0</v>
      </c>
      <c r="C863" s="3" t="s">
        <v>39</v>
      </c>
      <c r="G863" s="3" t="s">
        <v>2302</v>
      </c>
      <c r="K863" s="3" t="b">
        <v>0</v>
      </c>
      <c r="L863" s="3" t="s">
        <v>2303</v>
      </c>
      <c r="N863" s="3" t="s">
        <v>2304</v>
      </c>
      <c r="S863" s="4" t="str">
        <f t="shared" si="1"/>
        <v>2017</v>
      </c>
    </row>
    <row r="864">
      <c r="A864" s="3">
        <v>56.0</v>
      </c>
      <c r="B864" s="3" t="b">
        <v>0</v>
      </c>
      <c r="C864" s="3" t="s">
        <v>46</v>
      </c>
      <c r="G864" s="3" t="s">
        <v>2276</v>
      </c>
      <c r="K864" s="3" t="b">
        <v>0</v>
      </c>
      <c r="L864" s="3" t="s">
        <v>2305</v>
      </c>
      <c r="N864" s="3" t="s">
        <v>2306</v>
      </c>
      <c r="S864" s="4" t="str">
        <f t="shared" si="1"/>
        <v>2017</v>
      </c>
    </row>
    <row r="865">
      <c r="A865" s="3">
        <v>55.0</v>
      </c>
      <c r="B865" s="3" t="b">
        <v>0</v>
      </c>
      <c r="C865" s="3" t="s">
        <v>278</v>
      </c>
      <c r="G865" s="3" t="s">
        <v>2071</v>
      </c>
      <c r="K865" s="3" t="b">
        <v>1</v>
      </c>
      <c r="L865" s="3" t="s">
        <v>2307</v>
      </c>
      <c r="N865" s="3" t="s">
        <v>2308</v>
      </c>
      <c r="O865" s="7">
        <v>1.0</v>
      </c>
      <c r="P865" s="7">
        <v>2.0</v>
      </c>
      <c r="S865" s="4" t="str">
        <f t="shared" si="1"/>
        <v>2017</v>
      </c>
    </row>
    <row r="866">
      <c r="A866" s="3">
        <v>55.0</v>
      </c>
      <c r="B866" s="3" t="b">
        <v>0</v>
      </c>
      <c r="C866" s="3" t="s">
        <v>46</v>
      </c>
      <c r="G866" s="3" t="s">
        <v>1778</v>
      </c>
      <c r="K866" s="3" t="b">
        <v>0</v>
      </c>
      <c r="L866" s="3" t="s">
        <v>2309</v>
      </c>
      <c r="N866" s="3" t="s">
        <v>2310</v>
      </c>
      <c r="S866" s="4" t="str">
        <f t="shared" si="1"/>
        <v>2017</v>
      </c>
    </row>
    <row r="867">
      <c r="A867" s="3">
        <v>55.0</v>
      </c>
      <c r="B867" s="3" t="b">
        <v>0</v>
      </c>
      <c r="C867" s="3" t="s">
        <v>23</v>
      </c>
      <c r="G867" s="3" t="s">
        <v>2230</v>
      </c>
      <c r="K867" s="3" t="b">
        <v>0</v>
      </c>
      <c r="L867" s="3" t="s">
        <v>2311</v>
      </c>
      <c r="N867" s="3" t="s">
        <v>2312</v>
      </c>
      <c r="S867" s="4" t="str">
        <f t="shared" si="1"/>
        <v>2017</v>
      </c>
    </row>
    <row r="868">
      <c r="A868" s="3">
        <v>54.0</v>
      </c>
      <c r="B868" s="3" t="b">
        <v>0</v>
      </c>
      <c r="C868" s="3" t="s">
        <v>46</v>
      </c>
      <c r="G868" s="3" t="s">
        <v>1811</v>
      </c>
      <c r="K868" s="3" t="b">
        <v>0</v>
      </c>
      <c r="L868" s="3" t="s">
        <v>1517</v>
      </c>
      <c r="N868" s="3" t="s">
        <v>2313</v>
      </c>
      <c r="S868" s="4" t="str">
        <f t="shared" si="1"/>
        <v>2017</v>
      </c>
    </row>
    <row r="869">
      <c r="A869" s="3">
        <v>54.0</v>
      </c>
      <c r="B869" s="3" t="b">
        <v>0</v>
      </c>
      <c r="C869" s="3" t="s">
        <v>46</v>
      </c>
      <c r="G869" s="3" t="s">
        <v>1811</v>
      </c>
      <c r="K869" s="3" t="b">
        <v>0</v>
      </c>
      <c r="L869" s="3" t="s">
        <v>1517</v>
      </c>
      <c r="N869" s="3" t="s">
        <v>2314</v>
      </c>
      <c r="S869" s="4" t="str">
        <f t="shared" si="1"/>
        <v>2017</v>
      </c>
    </row>
    <row r="870">
      <c r="A870" s="3">
        <v>54.0</v>
      </c>
      <c r="B870" s="3" t="b">
        <v>0</v>
      </c>
      <c r="C870" s="3" t="s">
        <v>401</v>
      </c>
      <c r="G870" s="3" t="s">
        <v>1921</v>
      </c>
      <c r="K870" s="3" t="b">
        <v>0</v>
      </c>
      <c r="L870" s="3" t="s">
        <v>2315</v>
      </c>
      <c r="N870" s="3" t="s">
        <v>2316</v>
      </c>
      <c r="S870" s="4" t="str">
        <f t="shared" si="1"/>
        <v>2017</v>
      </c>
    </row>
    <row r="871">
      <c r="A871" s="3">
        <v>51.0</v>
      </c>
      <c r="B871" s="3" t="b">
        <v>0</v>
      </c>
      <c r="C871" s="3" t="s">
        <v>401</v>
      </c>
      <c r="G871" s="3" t="s">
        <v>1787</v>
      </c>
      <c r="K871" s="3" t="b">
        <v>0</v>
      </c>
      <c r="L871" s="3" t="s">
        <v>2317</v>
      </c>
      <c r="N871" s="3" t="s">
        <v>2318</v>
      </c>
      <c r="S871" s="4" t="str">
        <f t="shared" si="1"/>
        <v>2017</v>
      </c>
    </row>
    <row r="872">
      <c r="A872" s="3">
        <v>50.0</v>
      </c>
      <c r="B872" s="3" t="b">
        <v>0</v>
      </c>
      <c r="C872" s="3" t="s">
        <v>69</v>
      </c>
      <c r="G872" s="3" t="s">
        <v>1965</v>
      </c>
      <c r="K872" s="3" t="b">
        <v>0</v>
      </c>
      <c r="L872" s="3" t="s">
        <v>2319</v>
      </c>
      <c r="N872" s="3" t="s">
        <v>2320</v>
      </c>
      <c r="S872" s="4" t="str">
        <f t="shared" si="1"/>
        <v>2017</v>
      </c>
    </row>
    <row r="873">
      <c r="A873" s="3">
        <v>50.0</v>
      </c>
      <c r="B873" s="3" t="b">
        <v>0</v>
      </c>
      <c r="C873" s="3" t="s">
        <v>27</v>
      </c>
      <c r="G873" s="3" t="s">
        <v>2321</v>
      </c>
      <c r="K873" s="3" t="b">
        <v>0</v>
      </c>
      <c r="L873" s="3" t="s">
        <v>2322</v>
      </c>
      <c r="N873" s="3" t="s">
        <v>2323</v>
      </c>
      <c r="S873" s="4" t="str">
        <f t="shared" si="1"/>
        <v>2017</v>
      </c>
    </row>
    <row r="874">
      <c r="A874" s="3">
        <v>50.0</v>
      </c>
      <c r="B874" s="3" t="b">
        <v>0</v>
      </c>
      <c r="C874" s="3" t="s">
        <v>23</v>
      </c>
      <c r="G874" s="3" t="s">
        <v>2324</v>
      </c>
      <c r="K874" s="3" t="b">
        <v>0</v>
      </c>
      <c r="L874" s="3" t="s">
        <v>2325</v>
      </c>
      <c r="N874" s="3" t="s">
        <v>2326</v>
      </c>
      <c r="S874" s="4" t="str">
        <f t="shared" si="1"/>
        <v>2017</v>
      </c>
    </row>
    <row r="875">
      <c r="A875" s="3">
        <v>50.0</v>
      </c>
      <c r="B875" s="3" t="b">
        <v>0</v>
      </c>
      <c r="C875" s="3" t="s">
        <v>429</v>
      </c>
      <c r="D875" s="7">
        <v>4.0</v>
      </c>
      <c r="F875" s="7">
        <v>5.0</v>
      </c>
      <c r="G875" s="3" t="s">
        <v>2092</v>
      </c>
      <c r="K875" s="3" t="b">
        <v>1</v>
      </c>
      <c r="L875" s="3" t="s">
        <v>2327</v>
      </c>
      <c r="M875" s="7">
        <v>85.0</v>
      </c>
      <c r="N875" s="3" t="s">
        <v>2328</v>
      </c>
      <c r="S875" s="4" t="str">
        <f t="shared" si="1"/>
        <v>2017</v>
      </c>
    </row>
    <row r="876">
      <c r="A876" s="3">
        <v>50.0</v>
      </c>
      <c r="B876" s="3" t="b">
        <v>0</v>
      </c>
      <c r="C876" s="3" t="s">
        <v>69</v>
      </c>
      <c r="G876" s="3" t="s">
        <v>2164</v>
      </c>
      <c r="K876" s="3" t="b">
        <v>0</v>
      </c>
      <c r="L876" s="3" t="s">
        <v>2329</v>
      </c>
      <c r="N876" s="3" t="s">
        <v>2330</v>
      </c>
      <c r="S876" s="4" t="str">
        <f t="shared" si="1"/>
        <v>2017</v>
      </c>
    </row>
    <row r="877">
      <c r="A877" s="3">
        <v>50.0</v>
      </c>
      <c r="B877" s="3" t="b">
        <v>0</v>
      </c>
      <c r="C877" s="3" t="s">
        <v>97</v>
      </c>
      <c r="G877" s="3" t="s">
        <v>1944</v>
      </c>
      <c r="K877" s="3" t="b">
        <v>0</v>
      </c>
      <c r="L877" s="3" t="s">
        <v>990</v>
      </c>
      <c r="N877" s="3" t="s">
        <v>2331</v>
      </c>
      <c r="S877" s="4" t="str">
        <f t="shared" si="1"/>
        <v>2017</v>
      </c>
    </row>
    <row r="878">
      <c r="A878" s="3">
        <v>50.0</v>
      </c>
      <c r="B878" s="3" t="b">
        <v>0</v>
      </c>
      <c r="C878" s="3" t="s">
        <v>367</v>
      </c>
      <c r="G878" s="3" t="s">
        <v>1900</v>
      </c>
      <c r="K878" s="3" t="b">
        <v>0</v>
      </c>
      <c r="L878" s="3" t="s">
        <v>826</v>
      </c>
      <c r="N878" s="3" t="s">
        <v>2332</v>
      </c>
      <c r="S878" s="4" t="str">
        <f t="shared" si="1"/>
        <v>2017</v>
      </c>
    </row>
    <row r="879">
      <c r="A879" s="3">
        <v>50.0</v>
      </c>
      <c r="B879" s="3" t="b">
        <v>0</v>
      </c>
      <c r="C879" s="3" t="s">
        <v>35</v>
      </c>
      <c r="G879" s="3" t="s">
        <v>2302</v>
      </c>
      <c r="K879" s="3" t="b">
        <v>0</v>
      </c>
      <c r="L879" s="3" t="s">
        <v>1234</v>
      </c>
      <c r="N879" s="3" t="s">
        <v>2333</v>
      </c>
      <c r="S879" s="4" t="str">
        <f t="shared" si="1"/>
        <v>2017</v>
      </c>
    </row>
    <row r="880">
      <c r="A880" s="3">
        <v>50.0</v>
      </c>
      <c r="B880" s="3" t="b">
        <v>0</v>
      </c>
      <c r="C880" s="3" t="s">
        <v>27</v>
      </c>
      <c r="G880" s="3" t="s">
        <v>1916</v>
      </c>
      <c r="K880" s="3" t="b">
        <v>0</v>
      </c>
      <c r="L880" s="3" t="s">
        <v>2334</v>
      </c>
      <c r="N880" s="3" t="s">
        <v>2335</v>
      </c>
      <c r="S880" s="4" t="str">
        <f t="shared" si="1"/>
        <v>2017</v>
      </c>
    </row>
    <row r="881">
      <c r="A881" s="3">
        <v>50.0</v>
      </c>
      <c r="B881" s="3" t="b">
        <v>0</v>
      </c>
      <c r="C881" s="3" t="s">
        <v>62</v>
      </c>
      <c r="G881" s="3" t="s">
        <v>2148</v>
      </c>
      <c r="K881" s="3" t="b">
        <v>0</v>
      </c>
      <c r="L881" s="3" t="s">
        <v>2336</v>
      </c>
      <c r="N881" s="3" t="s">
        <v>2337</v>
      </c>
      <c r="S881" s="4" t="str">
        <f t="shared" si="1"/>
        <v>2017</v>
      </c>
    </row>
    <row r="882">
      <c r="A882" s="3">
        <v>48.0</v>
      </c>
      <c r="B882" s="3" t="b">
        <v>0</v>
      </c>
      <c r="C882" s="3" t="s">
        <v>156</v>
      </c>
      <c r="G882" s="3" t="s">
        <v>2071</v>
      </c>
      <c r="K882" s="3" t="b">
        <v>0</v>
      </c>
      <c r="L882" s="3" t="s">
        <v>112</v>
      </c>
      <c r="N882" s="3" t="s">
        <v>2338</v>
      </c>
      <c r="S882" s="4" t="str">
        <f t="shared" si="1"/>
        <v>2017</v>
      </c>
    </row>
    <row r="883">
      <c r="A883" s="3">
        <v>48.0</v>
      </c>
      <c r="B883" s="3" t="b">
        <v>0</v>
      </c>
      <c r="C883" s="3" t="s">
        <v>27</v>
      </c>
      <c r="G883" s="3" t="s">
        <v>2339</v>
      </c>
      <c r="K883" s="3" t="b">
        <v>0</v>
      </c>
      <c r="L883" s="3" t="s">
        <v>2340</v>
      </c>
      <c r="N883" s="3" t="s">
        <v>2341</v>
      </c>
      <c r="S883" s="4" t="str">
        <f t="shared" si="1"/>
        <v>2017</v>
      </c>
    </row>
    <row r="884">
      <c r="A884" s="3">
        <v>47.0</v>
      </c>
      <c r="B884" s="3" t="b">
        <v>0</v>
      </c>
      <c r="C884" s="3" t="s">
        <v>170</v>
      </c>
      <c r="G884" s="3" t="s">
        <v>2043</v>
      </c>
      <c r="K884" s="3" t="b">
        <v>0</v>
      </c>
      <c r="L884" s="3" t="s">
        <v>2342</v>
      </c>
      <c r="N884" s="3" t="s">
        <v>2343</v>
      </c>
      <c r="S884" s="4" t="str">
        <f t="shared" si="1"/>
        <v>2017</v>
      </c>
    </row>
    <row r="885">
      <c r="A885" s="3">
        <v>47.0</v>
      </c>
      <c r="B885" s="3" t="b">
        <v>0</v>
      </c>
      <c r="C885" s="3" t="s">
        <v>149</v>
      </c>
      <c r="G885" s="3" t="s">
        <v>2227</v>
      </c>
      <c r="K885" s="3" t="b">
        <v>0</v>
      </c>
      <c r="L885" s="3" t="s">
        <v>2344</v>
      </c>
      <c r="N885" s="3" t="s">
        <v>2345</v>
      </c>
      <c r="S885" s="4" t="str">
        <f t="shared" si="1"/>
        <v>2017</v>
      </c>
    </row>
    <row r="886">
      <c r="A886" s="3">
        <v>46.0</v>
      </c>
      <c r="B886" s="3" t="b">
        <v>0</v>
      </c>
      <c r="C886" s="3" t="s">
        <v>27</v>
      </c>
      <c r="G886" s="3" t="s">
        <v>2177</v>
      </c>
      <c r="K886" s="3" t="b">
        <v>0</v>
      </c>
      <c r="L886" s="3" t="s">
        <v>1278</v>
      </c>
      <c r="N886" s="3" t="s">
        <v>2346</v>
      </c>
      <c r="S886" s="4" t="str">
        <f t="shared" si="1"/>
        <v>2017</v>
      </c>
    </row>
    <row r="887">
      <c r="A887" s="3">
        <v>46.0</v>
      </c>
      <c r="B887" s="3" t="b">
        <v>0</v>
      </c>
      <c r="C887" s="3" t="s">
        <v>134</v>
      </c>
      <c r="G887" s="3" t="s">
        <v>2028</v>
      </c>
      <c r="K887" s="3" t="b">
        <v>0</v>
      </c>
      <c r="L887" s="3" t="s">
        <v>1673</v>
      </c>
      <c r="N887" s="3" t="s">
        <v>2347</v>
      </c>
      <c r="S887" s="4" t="str">
        <f t="shared" si="1"/>
        <v>2017</v>
      </c>
    </row>
    <row r="888">
      <c r="A888" s="3">
        <v>46.0</v>
      </c>
      <c r="B888" s="3" t="b">
        <v>0</v>
      </c>
      <c r="C888" s="3" t="s">
        <v>46</v>
      </c>
      <c r="G888" s="3" t="s">
        <v>2214</v>
      </c>
      <c r="K888" s="3" t="b">
        <v>1</v>
      </c>
      <c r="L888" s="3" t="s">
        <v>2348</v>
      </c>
      <c r="N888" s="3" t="s">
        <v>2349</v>
      </c>
      <c r="S888" s="4" t="str">
        <f t="shared" si="1"/>
        <v>2017</v>
      </c>
    </row>
    <row r="889">
      <c r="A889" s="3">
        <v>45.0</v>
      </c>
      <c r="B889" s="3" t="b">
        <v>0</v>
      </c>
      <c r="C889" s="3" t="s">
        <v>27</v>
      </c>
      <c r="G889" s="3" t="s">
        <v>2235</v>
      </c>
      <c r="K889" s="3" t="b">
        <v>0</v>
      </c>
      <c r="L889" s="3" t="s">
        <v>2350</v>
      </c>
      <c r="N889" s="3" t="s">
        <v>2351</v>
      </c>
      <c r="S889" s="4" t="str">
        <f t="shared" si="1"/>
        <v>2017</v>
      </c>
    </row>
    <row r="890">
      <c r="A890" s="3">
        <v>45.0</v>
      </c>
      <c r="B890" s="3" t="b">
        <v>0</v>
      </c>
      <c r="C890" s="3" t="s">
        <v>149</v>
      </c>
      <c r="G890" s="3" t="s">
        <v>1907</v>
      </c>
      <c r="K890" s="3" t="b">
        <v>0</v>
      </c>
      <c r="L890" s="3" t="s">
        <v>2352</v>
      </c>
      <c r="N890" s="3" t="s">
        <v>2353</v>
      </c>
      <c r="S890" s="4" t="str">
        <f t="shared" si="1"/>
        <v>2017</v>
      </c>
    </row>
    <row r="891">
      <c r="A891" s="3">
        <v>45.0</v>
      </c>
      <c r="B891" s="3" t="b">
        <v>0</v>
      </c>
      <c r="C891" s="3" t="s">
        <v>58</v>
      </c>
      <c r="G891" s="3" t="s">
        <v>2354</v>
      </c>
      <c r="K891" s="3" t="b">
        <v>0</v>
      </c>
      <c r="L891" s="3" t="s">
        <v>2355</v>
      </c>
      <c r="N891" s="3" t="s">
        <v>2042</v>
      </c>
      <c r="S891" s="4" t="str">
        <f t="shared" si="1"/>
        <v>2017</v>
      </c>
    </row>
    <row r="892">
      <c r="A892" s="3">
        <v>44.0</v>
      </c>
      <c r="B892" s="3" t="b">
        <v>0</v>
      </c>
      <c r="C892" s="3" t="s">
        <v>205</v>
      </c>
      <c r="G892" s="3" t="s">
        <v>2177</v>
      </c>
      <c r="K892" s="3" t="b">
        <v>0</v>
      </c>
      <c r="L892" s="3" t="s">
        <v>2356</v>
      </c>
      <c r="N892" s="3" t="s">
        <v>2357</v>
      </c>
      <c r="S892" s="4" t="str">
        <f t="shared" si="1"/>
        <v>2017</v>
      </c>
    </row>
    <row r="893">
      <c r="A893" s="3">
        <v>43.0</v>
      </c>
      <c r="B893" s="3" t="b">
        <v>0</v>
      </c>
      <c r="C893" s="3" t="s">
        <v>54</v>
      </c>
      <c r="G893" s="3" t="s">
        <v>2043</v>
      </c>
      <c r="K893" s="3" t="b">
        <v>0</v>
      </c>
      <c r="L893" s="3" t="s">
        <v>2358</v>
      </c>
      <c r="N893" s="3" t="s">
        <v>2359</v>
      </c>
      <c r="S893" s="4" t="str">
        <f t="shared" si="1"/>
        <v>2017</v>
      </c>
    </row>
    <row r="894">
      <c r="A894" s="3">
        <v>43.0</v>
      </c>
      <c r="B894" s="3" t="b">
        <v>0</v>
      </c>
      <c r="C894" s="3" t="s">
        <v>114</v>
      </c>
      <c r="G894" s="3" t="s">
        <v>2360</v>
      </c>
      <c r="K894" s="3" t="b">
        <v>0</v>
      </c>
      <c r="L894" s="3" t="s">
        <v>1338</v>
      </c>
      <c r="N894" s="3" t="s">
        <v>2361</v>
      </c>
      <c r="S894" s="4" t="str">
        <f t="shared" si="1"/>
        <v>2017</v>
      </c>
    </row>
    <row r="895">
      <c r="A895" s="3">
        <v>42.0</v>
      </c>
      <c r="B895" s="3" t="b">
        <v>0</v>
      </c>
      <c r="C895" s="3" t="s">
        <v>114</v>
      </c>
      <c r="G895" s="3" t="s">
        <v>2230</v>
      </c>
      <c r="K895" s="3" t="b">
        <v>0</v>
      </c>
      <c r="L895" s="3" t="s">
        <v>2362</v>
      </c>
      <c r="N895" s="3" t="s">
        <v>2363</v>
      </c>
      <c r="S895" s="4" t="str">
        <f t="shared" si="1"/>
        <v>2017</v>
      </c>
    </row>
    <row r="896">
      <c r="A896" s="3">
        <v>42.0</v>
      </c>
      <c r="B896" s="3" t="b">
        <v>0</v>
      </c>
      <c r="C896" s="3" t="s">
        <v>54</v>
      </c>
      <c r="G896" s="3" t="s">
        <v>2364</v>
      </c>
      <c r="K896" s="3" t="b">
        <v>0</v>
      </c>
      <c r="L896" s="3" t="s">
        <v>232</v>
      </c>
      <c r="N896" s="3" t="s">
        <v>2365</v>
      </c>
      <c r="S896" s="4" t="str">
        <f t="shared" si="1"/>
        <v>2017</v>
      </c>
    </row>
    <row r="897">
      <c r="A897" s="3">
        <v>42.0</v>
      </c>
      <c r="B897" s="3" t="b">
        <v>0</v>
      </c>
      <c r="C897" s="3" t="s">
        <v>145</v>
      </c>
      <c r="G897" s="3" t="s">
        <v>2366</v>
      </c>
      <c r="K897" s="3" t="b">
        <v>0</v>
      </c>
      <c r="L897" s="3" t="s">
        <v>2367</v>
      </c>
      <c r="N897" s="3" t="s">
        <v>2368</v>
      </c>
      <c r="S897" s="4" t="str">
        <f t="shared" si="1"/>
        <v>2017</v>
      </c>
    </row>
    <row r="898">
      <c r="A898" s="3">
        <v>41.0</v>
      </c>
      <c r="B898" s="3" t="b">
        <v>0</v>
      </c>
      <c r="C898" s="3" t="s">
        <v>46</v>
      </c>
      <c r="G898" s="3" t="s">
        <v>1947</v>
      </c>
      <c r="K898" s="3" t="b">
        <v>0</v>
      </c>
      <c r="L898" s="3" t="s">
        <v>1037</v>
      </c>
      <c r="N898" s="3" t="s">
        <v>2369</v>
      </c>
      <c r="S898" s="4" t="str">
        <f t="shared" si="1"/>
        <v>2017</v>
      </c>
    </row>
    <row r="899">
      <c r="A899" s="3">
        <v>41.0</v>
      </c>
      <c r="B899" s="3" t="b">
        <v>0</v>
      </c>
      <c r="C899" s="3" t="s">
        <v>23</v>
      </c>
      <c r="G899" s="3" t="s">
        <v>2230</v>
      </c>
      <c r="K899" s="3" t="b">
        <v>0</v>
      </c>
      <c r="L899" s="3" t="s">
        <v>2370</v>
      </c>
      <c r="N899" s="3" t="s">
        <v>2371</v>
      </c>
      <c r="S899" s="4" t="str">
        <f t="shared" si="1"/>
        <v>2017</v>
      </c>
    </row>
    <row r="900">
      <c r="A900" s="3">
        <v>41.0</v>
      </c>
      <c r="B900" s="3" t="b">
        <v>0</v>
      </c>
      <c r="C900" s="3" t="s">
        <v>69</v>
      </c>
      <c r="G900" s="3" t="s">
        <v>2084</v>
      </c>
      <c r="K900" s="3" t="b">
        <v>0</v>
      </c>
      <c r="L900" s="3" t="s">
        <v>2372</v>
      </c>
      <c r="N900" s="3" t="s">
        <v>2373</v>
      </c>
      <c r="S900" s="4" t="str">
        <f t="shared" si="1"/>
        <v>2017</v>
      </c>
    </row>
    <row r="901">
      <c r="A901" s="3">
        <v>40.0</v>
      </c>
      <c r="B901" s="3" t="b">
        <v>0</v>
      </c>
      <c r="C901" s="3" t="s">
        <v>27</v>
      </c>
      <c r="G901" s="3" t="s">
        <v>1863</v>
      </c>
      <c r="K901" s="3" t="b">
        <v>0</v>
      </c>
      <c r="L901" s="3" t="s">
        <v>2374</v>
      </c>
      <c r="N901" s="3" t="s">
        <v>2375</v>
      </c>
      <c r="S901" s="4" t="str">
        <f t="shared" si="1"/>
        <v>2017</v>
      </c>
    </row>
    <row r="902">
      <c r="A902" s="3">
        <v>40.0</v>
      </c>
      <c r="B902" s="3" t="b">
        <v>0</v>
      </c>
      <c r="C902" s="3" t="s">
        <v>27</v>
      </c>
      <c r="G902" s="3" t="s">
        <v>2043</v>
      </c>
      <c r="K902" s="3" t="b">
        <v>0</v>
      </c>
      <c r="L902" s="3" t="s">
        <v>2376</v>
      </c>
      <c r="N902" s="3" t="s">
        <v>2377</v>
      </c>
      <c r="S902" s="4" t="str">
        <f t="shared" si="1"/>
        <v>2017</v>
      </c>
    </row>
    <row r="903">
      <c r="A903" s="3">
        <v>40.0</v>
      </c>
      <c r="B903" s="3" t="b">
        <v>0</v>
      </c>
      <c r="C903" s="3" t="s">
        <v>134</v>
      </c>
      <c r="G903" s="3" t="s">
        <v>1965</v>
      </c>
      <c r="K903" s="3" t="b">
        <v>0</v>
      </c>
      <c r="L903" s="3" t="s">
        <v>776</v>
      </c>
      <c r="N903" s="3" t="s">
        <v>2378</v>
      </c>
      <c r="S903" s="4" t="str">
        <f t="shared" si="1"/>
        <v>2017</v>
      </c>
    </row>
    <row r="904">
      <c r="A904" s="3">
        <v>40.0</v>
      </c>
      <c r="B904" s="3" t="b">
        <v>0</v>
      </c>
      <c r="C904" s="3" t="s">
        <v>58</v>
      </c>
      <c r="G904" s="3" t="s">
        <v>2379</v>
      </c>
      <c r="K904" s="3" t="b">
        <v>0</v>
      </c>
      <c r="L904" s="3" t="s">
        <v>2367</v>
      </c>
      <c r="N904" s="3" t="s">
        <v>2380</v>
      </c>
      <c r="S904" s="4" t="str">
        <f t="shared" si="1"/>
        <v>2017</v>
      </c>
    </row>
    <row r="905">
      <c r="A905" s="3">
        <v>40.0</v>
      </c>
      <c r="B905" s="3" t="b">
        <v>0</v>
      </c>
      <c r="C905" s="3" t="s">
        <v>69</v>
      </c>
      <c r="G905" s="3" t="s">
        <v>2199</v>
      </c>
      <c r="K905" s="3" t="b">
        <v>0</v>
      </c>
      <c r="L905" s="3" t="s">
        <v>2381</v>
      </c>
      <c r="N905" s="3" t="s">
        <v>2382</v>
      </c>
      <c r="S905" s="4" t="str">
        <f t="shared" si="1"/>
        <v>2017</v>
      </c>
    </row>
    <row r="906">
      <c r="A906" s="3">
        <v>40.0</v>
      </c>
      <c r="B906" s="3" t="b">
        <v>0</v>
      </c>
      <c r="C906" s="3" t="s">
        <v>856</v>
      </c>
      <c r="G906" s="3" t="s">
        <v>2092</v>
      </c>
      <c r="K906" s="3" t="b">
        <v>0</v>
      </c>
      <c r="L906" s="3" t="s">
        <v>2383</v>
      </c>
      <c r="N906" s="3" t="s">
        <v>2384</v>
      </c>
      <c r="S906" s="4" t="str">
        <f t="shared" si="1"/>
        <v>2017</v>
      </c>
    </row>
    <row r="907">
      <c r="A907" s="3">
        <v>40.0</v>
      </c>
      <c r="B907" s="3" t="b">
        <v>0</v>
      </c>
      <c r="C907" s="3" t="s">
        <v>50</v>
      </c>
      <c r="G907" s="3" t="s">
        <v>1811</v>
      </c>
      <c r="K907" s="3" t="b">
        <v>0</v>
      </c>
      <c r="L907" s="3" t="s">
        <v>2385</v>
      </c>
      <c r="N907" s="3" t="s">
        <v>2386</v>
      </c>
      <c r="S907" s="4" t="str">
        <f t="shared" si="1"/>
        <v>2017</v>
      </c>
    </row>
    <row r="908">
      <c r="A908" s="3">
        <v>40.0</v>
      </c>
      <c r="B908" s="3" t="b">
        <v>0</v>
      </c>
      <c r="C908" s="3" t="s">
        <v>54</v>
      </c>
      <c r="G908" s="3" t="s">
        <v>2177</v>
      </c>
      <c r="K908" s="3" t="b">
        <v>0</v>
      </c>
      <c r="L908" s="3" t="s">
        <v>2387</v>
      </c>
      <c r="N908" s="3" t="s">
        <v>2388</v>
      </c>
      <c r="S908" s="4" t="str">
        <f t="shared" si="1"/>
        <v>2017</v>
      </c>
    </row>
    <row r="909">
      <c r="A909" s="3">
        <v>40.0</v>
      </c>
      <c r="B909" s="3" t="b">
        <v>0</v>
      </c>
      <c r="C909" s="3" t="s">
        <v>186</v>
      </c>
      <c r="G909" s="3" t="s">
        <v>1944</v>
      </c>
      <c r="K909" s="3" t="b">
        <v>0</v>
      </c>
      <c r="L909" s="3" t="s">
        <v>308</v>
      </c>
      <c r="N909" s="3" t="s">
        <v>2389</v>
      </c>
      <c r="S909" s="4" t="str">
        <f t="shared" si="1"/>
        <v>2017</v>
      </c>
    </row>
    <row r="910">
      <c r="A910" s="3">
        <v>40.0</v>
      </c>
      <c r="B910" s="3" t="b">
        <v>0</v>
      </c>
      <c r="C910" s="3" t="s">
        <v>114</v>
      </c>
      <c r="G910" s="3" t="s">
        <v>1962</v>
      </c>
      <c r="K910" s="3" t="b">
        <v>0</v>
      </c>
      <c r="L910" s="3" t="s">
        <v>2390</v>
      </c>
      <c r="N910" s="3" t="s">
        <v>2391</v>
      </c>
      <c r="S910" s="4" t="str">
        <f t="shared" si="1"/>
        <v>2017</v>
      </c>
    </row>
    <row r="911">
      <c r="A911" s="3">
        <v>39.0</v>
      </c>
      <c r="B911" s="3" t="b">
        <v>0</v>
      </c>
      <c r="C911" s="3" t="s">
        <v>19</v>
      </c>
      <c r="G911" s="3" t="s">
        <v>2392</v>
      </c>
      <c r="K911" s="3" t="b">
        <v>0</v>
      </c>
      <c r="L911" s="3" t="s">
        <v>1711</v>
      </c>
      <c r="N911" s="3" t="s">
        <v>2393</v>
      </c>
      <c r="S911" s="4" t="str">
        <f t="shared" si="1"/>
        <v>2017</v>
      </c>
    </row>
    <row r="912">
      <c r="A912" s="3">
        <v>39.0</v>
      </c>
      <c r="B912" s="3" t="b">
        <v>0</v>
      </c>
      <c r="C912" s="3" t="s">
        <v>367</v>
      </c>
      <c r="G912" s="3" t="s">
        <v>1753</v>
      </c>
      <c r="K912" s="3" t="b">
        <v>1</v>
      </c>
      <c r="L912" s="3" t="s">
        <v>2394</v>
      </c>
      <c r="N912" s="3" t="s">
        <v>2395</v>
      </c>
      <c r="P912" s="7">
        <v>5.0</v>
      </c>
      <c r="S912" s="4" t="str">
        <f t="shared" si="1"/>
        <v>2017</v>
      </c>
    </row>
    <row r="913">
      <c r="A913" s="3">
        <v>39.0</v>
      </c>
      <c r="B913" s="3" t="b">
        <v>0</v>
      </c>
      <c r="C913" s="3" t="s">
        <v>278</v>
      </c>
      <c r="G913" s="3" t="s">
        <v>1804</v>
      </c>
      <c r="K913" s="3" t="b">
        <v>0</v>
      </c>
      <c r="L913" s="3" t="s">
        <v>2102</v>
      </c>
      <c r="N913" s="3" t="s">
        <v>2396</v>
      </c>
      <c r="S913" s="4" t="str">
        <f t="shared" si="1"/>
        <v>2017</v>
      </c>
    </row>
    <row r="914">
      <c r="A914" s="3">
        <v>38.0</v>
      </c>
      <c r="B914" s="3" t="b">
        <v>0</v>
      </c>
      <c r="C914" s="3" t="s">
        <v>2397</v>
      </c>
      <c r="G914" s="3" t="s">
        <v>1990</v>
      </c>
      <c r="K914" s="3" t="b">
        <v>0</v>
      </c>
      <c r="L914" s="3" t="s">
        <v>1338</v>
      </c>
      <c r="N914" s="3" t="s">
        <v>2398</v>
      </c>
      <c r="S914" s="4" t="str">
        <f t="shared" si="1"/>
        <v>2017</v>
      </c>
    </row>
    <row r="915">
      <c r="A915" s="3">
        <v>38.0</v>
      </c>
      <c r="B915" s="3" t="b">
        <v>0</v>
      </c>
      <c r="C915" s="3" t="s">
        <v>19</v>
      </c>
      <c r="G915" s="3" t="s">
        <v>2250</v>
      </c>
      <c r="K915" s="3" t="b">
        <v>0</v>
      </c>
      <c r="L915" s="3" t="s">
        <v>658</v>
      </c>
      <c r="N915" s="3" t="s">
        <v>2399</v>
      </c>
      <c r="S915" s="4" t="str">
        <f t="shared" si="1"/>
        <v>2017</v>
      </c>
    </row>
    <row r="916">
      <c r="A916" s="3">
        <v>37.0</v>
      </c>
      <c r="B916" s="3" t="b">
        <v>0</v>
      </c>
      <c r="C916" s="3" t="s">
        <v>58</v>
      </c>
      <c r="G916" s="3" t="s">
        <v>2043</v>
      </c>
      <c r="K916" s="3" t="b">
        <v>0</v>
      </c>
      <c r="L916" s="3" t="s">
        <v>667</v>
      </c>
      <c r="N916" s="3" t="s">
        <v>2400</v>
      </c>
      <c r="S916" s="4" t="str">
        <f t="shared" si="1"/>
        <v>2017</v>
      </c>
    </row>
    <row r="917">
      <c r="A917" s="3">
        <v>36.0</v>
      </c>
      <c r="B917" s="3" t="b">
        <v>0</v>
      </c>
      <c r="C917" s="3" t="s">
        <v>101</v>
      </c>
      <c r="G917" s="3" t="s">
        <v>2046</v>
      </c>
      <c r="K917" s="3" t="b">
        <v>0</v>
      </c>
      <c r="L917" s="3" t="s">
        <v>2401</v>
      </c>
      <c r="N917" s="3" t="s">
        <v>2402</v>
      </c>
      <c r="S917" s="4" t="str">
        <f t="shared" si="1"/>
        <v>2017</v>
      </c>
    </row>
    <row r="918">
      <c r="A918" s="3">
        <v>36.0</v>
      </c>
      <c r="B918" s="3" t="b">
        <v>0</v>
      </c>
      <c r="C918" s="3" t="s">
        <v>62</v>
      </c>
      <c r="G918" s="3" t="s">
        <v>2364</v>
      </c>
      <c r="K918" s="3" t="b">
        <v>0</v>
      </c>
      <c r="L918" s="3" t="s">
        <v>644</v>
      </c>
      <c r="N918" s="3" t="s">
        <v>2403</v>
      </c>
      <c r="S918" s="4" t="str">
        <f t="shared" si="1"/>
        <v>2017</v>
      </c>
    </row>
    <row r="919">
      <c r="A919" s="3">
        <v>35.0</v>
      </c>
      <c r="B919" s="3" t="b">
        <v>0</v>
      </c>
      <c r="C919" s="3" t="s">
        <v>27</v>
      </c>
      <c r="G919" s="3" t="s">
        <v>2015</v>
      </c>
      <c r="K919" s="3" t="b">
        <v>0</v>
      </c>
      <c r="L919" s="3" t="s">
        <v>2404</v>
      </c>
      <c r="N919" s="3" t="s">
        <v>2405</v>
      </c>
      <c r="S919" s="4" t="str">
        <f t="shared" si="1"/>
        <v>2017</v>
      </c>
    </row>
    <row r="920">
      <c r="A920" s="3">
        <v>35.0</v>
      </c>
      <c r="B920" s="3" t="b">
        <v>0</v>
      </c>
      <c r="C920" s="3" t="s">
        <v>2397</v>
      </c>
      <c r="G920" s="3" t="s">
        <v>2028</v>
      </c>
      <c r="K920" s="3" t="b">
        <v>0</v>
      </c>
      <c r="L920" s="3" t="s">
        <v>2406</v>
      </c>
      <c r="N920" s="3" t="s">
        <v>2407</v>
      </c>
      <c r="S920" s="4" t="str">
        <f t="shared" si="1"/>
        <v>2017</v>
      </c>
    </row>
    <row r="921">
      <c r="A921" s="3">
        <v>35.0</v>
      </c>
      <c r="B921" s="3" t="b">
        <v>0</v>
      </c>
      <c r="C921" s="3" t="s">
        <v>27</v>
      </c>
      <c r="G921" s="3" t="s">
        <v>2302</v>
      </c>
      <c r="K921" s="3" t="b">
        <v>0</v>
      </c>
      <c r="L921" s="3" t="s">
        <v>175</v>
      </c>
      <c r="N921" s="3" t="s">
        <v>2408</v>
      </c>
      <c r="S921" s="4" t="str">
        <f t="shared" si="1"/>
        <v>2017</v>
      </c>
    </row>
    <row r="922">
      <c r="A922" s="3">
        <v>35.0</v>
      </c>
      <c r="B922" s="3" t="b">
        <v>0</v>
      </c>
      <c r="C922" s="3" t="s">
        <v>247</v>
      </c>
      <c r="G922" s="3" t="s">
        <v>1990</v>
      </c>
      <c r="K922" s="3" t="b">
        <v>0</v>
      </c>
      <c r="L922" s="3" t="s">
        <v>1936</v>
      </c>
      <c r="N922" s="3" t="s">
        <v>2409</v>
      </c>
      <c r="S922" s="4" t="str">
        <f t="shared" si="1"/>
        <v>2017</v>
      </c>
    </row>
    <row r="923">
      <c r="A923" s="3">
        <v>35.0</v>
      </c>
      <c r="B923" s="3" t="b">
        <v>0</v>
      </c>
      <c r="C923" s="3" t="s">
        <v>69</v>
      </c>
      <c r="G923" s="3" t="s">
        <v>2087</v>
      </c>
      <c r="K923" s="3" t="b">
        <v>0</v>
      </c>
      <c r="L923" s="3" t="s">
        <v>2410</v>
      </c>
      <c r="N923" s="3" t="s">
        <v>2411</v>
      </c>
      <c r="S923" s="4" t="str">
        <f t="shared" si="1"/>
        <v>2017</v>
      </c>
    </row>
    <row r="924">
      <c r="A924" s="3">
        <v>35.0</v>
      </c>
      <c r="B924" s="3" t="b">
        <v>0</v>
      </c>
      <c r="C924" s="3" t="s">
        <v>27</v>
      </c>
      <c r="G924" s="3" t="s">
        <v>2002</v>
      </c>
      <c r="K924" s="3" t="b">
        <v>0</v>
      </c>
      <c r="L924" s="3" t="s">
        <v>287</v>
      </c>
      <c r="N924" s="3" t="s">
        <v>2412</v>
      </c>
      <c r="S924" s="4" t="str">
        <f t="shared" si="1"/>
        <v>2017</v>
      </c>
    </row>
    <row r="925">
      <c r="A925" s="3">
        <v>34.0</v>
      </c>
      <c r="B925" s="3" t="b">
        <v>0</v>
      </c>
      <c r="C925" s="3" t="s">
        <v>134</v>
      </c>
      <c r="G925" s="3" t="s">
        <v>1863</v>
      </c>
      <c r="K925" s="3" t="b">
        <v>0</v>
      </c>
      <c r="L925" s="3" t="s">
        <v>2413</v>
      </c>
      <c r="N925" s="3" t="s">
        <v>2414</v>
      </c>
      <c r="S925" s="4" t="str">
        <f t="shared" si="1"/>
        <v>2017</v>
      </c>
    </row>
    <row r="926">
      <c r="A926" s="3">
        <v>34.0</v>
      </c>
      <c r="B926" s="3" t="b">
        <v>0</v>
      </c>
      <c r="C926" s="3" t="s">
        <v>27</v>
      </c>
      <c r="G926" s="3" t="s">
        <v>2360</v>
      </c>
      <c r="K926" s="3" t="b">
        <v>0</v>
      </c>
      <c r="L926" s="3" t="s">
        <v>2415</v>
      </c>
      <c r="N926" s="3" t="s">
        <v>2416</v>
      </c>
      <c r="S926" s="4" t="str">
        <f t="shared" si="1"/>
        <v>2017</v>
      </c>
    </row>
    <row r="927">
      <c r="A927" s="3">
        <v>34.0</v>
      </c>
      <c r="B927" s="3" t="b">
        <v>0</v>
      </c>
      <c r="C927" s="3" t="s">
        <v>50</v>
      </c>
      <c r="G927" s="3" t="s">
        <v>1789</v>
      </c>
      <c r="K927" s="3" t="b">
        <v>0</v>
      </c>
      <c r="L927" s="3" t="s">
        <v>2417</v>
      </c>
      <c r="N927" s="3" t="s">
        <v>2418</v>
      </c>
      <c r="S927" s="4" t="str">
        <f t="shared" si="1"/>
        <v>2017</v>
      </c>
    </row>
    <row r="928">
      <c r="A928" s="3">
        <v>34.0</v>
      </c>
      <c r="B928" s="3" t="b">
        <v>0</v>
      </c>
      <c r="C928" s="3" t="s">
        <v>170</v>
      </c>
      <c r="G928" s="3" t="s">
        <v>2419</v>
      </c>
      <c r="K928" s="3" t="b">
        <v>0</v>
      </c>
      <c r="L928" s="3" t="s">
        <v>440</v>
      </c>
      <c r="N928" s="3" t="s">
        <v>2304</v>
      </c>
      <c r="S928" s="4" t="str">
        <f t="shared" si="1"/>
        <v>2017</v>
      </c>
    </row>
    <row r="929">
      <c r="A929" s="3">
        <v>33.0</v>
      </c>
      <c r="B929" s="3" t="b">
        <v>0</v>
      </c>
      <c r="C929" s="3" t="s">
        <v>27</v>
      </c>
      <c r="G929" s="3" t="s">
        <v>1784</v>
      </c>
      <c r="K929" s="3" t="b">
        <v>0</v>
      </c>
      <c r="L929" s="3" t="s">
        <v>2420</v>
      </c>
      <c r="N929" s="3" t="s">
        <v>2421</v>
      </c>
      <c r="S929" s="4" t="str">
        <f t="shared" si="1"/>
        <v>2017</v>
      </c>
    </row>
    <row r="930">
      <c r="A930" s="3">
        <v>33.0</v>
      </c>
      <c r="B930" s="3" t="b">
        <v>0</v>
      </c>
      <c r="C930" s="3" t="s">
        <v>27</v>
      </c>
      <c r="G930" s="3" t="s">
        <v>2148</v>
      </c>
      <c r="K930" s="3" t="b">
        <v>0</v>
      </c>
      <c r="L930" s="3" t="s">
        <v>440</v>
      </c>
      <c r="N930" s="3" t="s">
        <v>2422</v>
      </c>
      <c r="S930" s="4" t="str">
        <f t="shared" si="1"/>
        <v>2017</v>
      </c>
    </row>
    <row r="931">
      <c r="A931" s="3">
        <v>33.0</v>
      </c>
      <c r="B931" s="3" t="b">
        <v>0</v>
      </c>
      <c r="C931" s="3" t="s">
        <v>69</v>
      </c>
      <c r="G931" s="3" t="s">
        <v>2366</v>
      </c>
      <c r="K931" s="3" t="b">
        <v>0</v>
      </c>
      <c r="L931" s="3" t="s">
        <v>329</v>
      </c>
      <c r="N931" s="3" t="s">
        <v>2423</v>
      </c>
      <c r="S931" s="4" t="str">
        <f t="shared" si="1"/>
        <v>2017</v>
      </c>
    </row>
    <row r="932">
      <c r="A932" s="3">
        <v>32.0</v>
      </c>
      <c r="B932" s="3" t="b">
        <v>0</v>
      </c>
      <c r="C932" s="3" t="s">
        <v>630</v>
      </c>
      <c r="G932" s="3" t="s">
        <v>1827</v>
      </c>
      <c r="K932" s="3" t="b">
        <v>0</v>
      </c>
      <c r="L932" s="3" t="s">
        <v>2424</v>
      </c>
      <c r="N932" s="3" t="s">
        <v>2425</v>
      </c>
      <c r="S932" s="4" t="str">
        <f t="shared" si="1"/>
        <v>2017</v>
      </c>
    </row>
    <row r="933">
      <c r="A933" s="3">
        <v>32.0</v>
      </c>
      <c r="B933" s="3" t="b">
        <v>0</v>
      </c>
      <c r="C933" s="3" t="s">
        <v>630</v>
      </c>
      <c r="G933" s="3" t="s">
        <v>1885</v>
      </c>
      <c r="K933" s="3" t="b">
        <v>0</v>
      </c>
      <c r="L933" s="3" t="s">
        <v>2424</v>
      </c>
      <c r="N933" s="3" t="s">
        <v>2426</v>
      </c>
      <c r="S933" s="4" t="str">
        <f t="shared" si="1"/>
        <v>2017</v>
      </c>
    </row>
    <row r="934">
      <c r="A934" s="3">
        <v>32.0</v>
      </c>
      <c r="B934" s="3" t="b">
        <v>0</v>
      </c>
      <c r="C934" s="3" t="s">
        <v>27</v>
      </c>
      <c r="G934" s="3" t="s">
        <v>2028</v>
      </c>
      <c r="K934" s="3" t="b">
        <v>0</v>
      </c>
      <c r="L934" s="3" t="s">
        <v>1255</v>
      </c>
      <c r="N934" s="3" t="s">
        <v>2427</v>
      </c>
      <c r="S934" s="4" t="str">
        <f t="shared" si="1"/>
        <v>2017</v>
      </c>
    </row>
    <row r="935">
      <c r="A935" s="3">
        <v>32.0</v>
      </c>
      <c r="B935" s="3" t="b">
        <v>0</v>
      </c>
      <c r="C935" s="3" t="s">
        <v>114</v>
      </c>
      <c r="G935" s="3" t="s">
        <v>1974</v>
      </c>
      <c r="K935" s="3" t="b">
        <v>1</v>
      </c>
      <c r="L935" s="3" t="s">
        <v>2428</v>
      </c>
      <c r="N935" s="3" t="s">
        <v>2429</v>
      </c>
      <c r="S935" s="4" t="str">
        <f t="shared" si="1"/>
        <v>2017</v>
      </c>
    </row>
    <row r="936">
      <c r="A936" s="3">
        <v>32.0</v>
      </c>
      <c r="B936" s="3" t="b">
        <v>0</v>
      </c>
      <c r="C936" s="3" t="s">
        <v>114</v>
      </c>
      <c r="G936" s="3" t="s">
        <v>1924</v>
      </c>
      <c r="K936" s="3" t="b">
        <v>0</v>
      </c>
      <c r="L936" s="3" t="s">
        <v>2430</v>
      </c>
      <c r="N936" s="3" t="s">
        <v>2431</v>
      </c>
      <c r="S936" s="4" t="str">
        <f t="shared" si="1"/>
        <v>2017</v>
      </c>
    </row>
    <row r="937">
      <c r="A937" s="3">
        <v>31.0</v>
      </c>
      <c r="B937" s="3" t="b">
        <v>0</v>
      </c>
      <c r="C937" s="3" t="s">
        <v>114</v>
      </c>
      <c r="G937" s="3" t="s">
        <v>2324</v>
      </c>
      <c r="K937" s="3" t="b">
        <v>0</v>
      </c>
      <c r="L937" s="3" t="s">
        <v>2432</v>
      </c>
      <c r="N937" s="3" t="s">
        <v>2433</v>
      </c>
      <c r="S937" s="4" t="str">
        <f t="shared" si="1"/>
        <v>2017</v>
      </c>
    </row>
    <row r="938">
      <c r="A938" s="3">
        <v>31.0</v>
      </c>
      <c r="B938" s="3" t="b">
        <v>0</v>
      </c>
      <c r="C938" s="3" t="s">
        <v>39</v>
      </c>
      <c r="G938" s="3" t="s">
        <v>1882</v>
      </c>
      <c r="K938" s="3" t="b">
        <v>0</v>
      </c>
      <c r="L938" s="3" t="s">
        <v>2434</v>
      </c>
      <c r="N938" s="3" t="s">
        <v>2435</v>
      </c>
      <c r="S938" s="4" t="str">
        <f t="shared" si="1"/>
        <v>2017</v>
      </c>
    </row>
    <row r="939">
      <c r="A939" s="3">
        <v>31.0</v>
      </c>
      <c r="B939" s="3" t="b">
        <v>0</v>
      </c>
      <c r="C939" s="3" t="s">
        <v>69</v>
      </c>
      <c r="G939" s="3" t="s">
        <v>2033</v>
      </c>
      <c r="K939" s="3" t="b">
        <v>0</v>
      </c>
      <c r="L939" s="3" t="s">
        <v>2436</v>
      </c>
      <c r="N939" s="3" t="s">
        <v>2437</v>
      </c>
      <c r="S939" s="4" t="str">
        <f t="shared" si="1"/>
        <v>2017</v>
      </c>
    </row>
    <row r="940">
      <c r="A940" s="3">
        <v>30.0</v>
      </c>
      <c r="B940" s="3" t="b">
        <v>0</v>
      </c>
      <c r="C940" s="3" t="s">
        <v>23</v>
      </c>
      <c r="G940" s="3" t="s">
        <v>2438</v>
      </c>
      <c r="K940" s="3" t="b">
        <v>0</v>
      </c>
      <c r="L940" s="3" t="s">
        <v>2439</v>
      </c>
      <c r="N940" s="3" t="s">
        <v>2440</v>
      </c>
      <c r="S940" s="4" t="str">
        <f t="shared" si="1"/>
        <v>2017</v>
      </c>
    </row>
    <row r="941">
      <c r="A941" s="3">
        <v>30.0</v>
      </c>
      <c r="B941" s="3" t="b">
        <v>0</v>
      </c>
      <c r="C941" s="3" t="s">
        <v>50</v>
      </c>
      <c r="G941" s="3" t="s">
        <v>1829</v>
      </c>
      <c r="K941" s="3" t="b">
        <v>0</v>
      </c>
      <c r="L941" s="3" t="s">
        <v>2441</v>
      </c>
      <c r="N941" s="3" t="s">
        <v>2442</v>
      </c>
      <c r="S941" s="4" t="str">
        <f t="shared" si="1"/>
        <v>2017</v>
      </c>
    </row>
    <row r="942">
      <c r="A942" s="3">
        <v>30.0</v>
      </c>
      <c r="B942" s="3" t="b">
        <v>0</v>
      </c>
      <c r="C942" s="3" t="s">
        <v>27</v>
      </c>
      <c r="G942" s="3" t="s">
        <v>2419</v>
      </c>
      <c r="K942" s="3" t="b">
        <v>0</v>
      </c>
      <c r="L942" s="3" t="s">
        <v>2443</v>
      </c>
      <c r="N942" s="3" t="s">
        <v>2444</v>
      </c>
      <c r="S942" s="4" t="str">
        <f t="shared" si="1"/>
        <v>2017</v>
      </c>
    </row>
    <row r="943">
      <c r="A943" s="3">
        <v>29.0</v>
      </c>
      <c r="B943" s="3" t="b">
        <v>0</v>
      </c>
      <c r="C943" s="3" t="s">
        <v>130</v>
      </c>
      <c r="G943" s="3" t="s">
        <v>2445</v>
      </c>
      <c r="K943" s="3" t="b">
        <v>0</v>
      </c>
      <c r="L943" s="3" t="s">
        <v>2446</v>
      </c>
      <c r="N943" s="3" t="s">
        <v>2447</v>
      </c>
      <c r="S943" s="4" t="str">
        <f t="shared" si="1"/>
        <v>2017</v>
      </c>
    </row>
    <row r="944">
      <c r="A944" s="3">
        <v>29.0</v>
      </c>
      <c r="B944" s="3" t="b">
        <v>0</v>
      </c>
      <c r="C944" s="3" t="s">
        <v>54</v>
      </c>
      <c r="G944" s="3" t="s">
        <v>1769</v>
      </c>
      <c r="K944" s="3" t="b">
        <v>0</v>
      </c>
      <c r="L944" s="3" t="s">
        <v>2448</v>
      </c>
      <c r="N944" s="3" t="s">
        <v>2449</v>
      </c>
      <c r="S944" s="4" t="str">
        <f t="shared" si="1"/>
        <v>2017</v>
      </c>
    </row>
    <row r="945">
      <c r="A945" s="3">
        <v>28.0</v>
      </c>
      <c r="B945" s="3" t="b">
        <v>0</v>
      </c>
      <c r="C945" s="3" t="s">
        <v>87</v>
      </c>
      <c r="G945" s="3" t="s">
        <v>2450</v>
      </c>
      <c r="K945" s="3" t="b">
        <v>0</v>
      </c>
      <c r="L945" s="3" t="s">
        <v>2451</v>
      </c>
      <c r="N945" s="3" t="s">
        <v>2452</v>
      </c>
      <c r="S945" s="4" t="str">
        <f t="shared" si="1"/>
        <v>2017</v>
      </c>
    </row>
    <row r="946">
      <c r="A946" s="3">
        <v>28.0</v>
      </c>
      <c r="B946" s="3" t="b">
        <v>0</v>
      </c>
      <c r="C946" s="3" t="s">
        <v>145</v>
      </c>
      <c r="G946" s="3" t="s">
        <v>1795</v>
      </c>
      <c r="K946" s="3" t="b">
        <v>0</v>
      </c>
      <c r="L946" s="3" t="s">
        <v>2453</v>
      </c>
      <c r="N946" s="3" t="s">
        <v>2454</v>
      </c>
      <c r="S946" s="4" t="str">
        <f t="shared" si="1"/>
        <v>2017</v>
      </c>
    </row>
    <row r="947">
      <c r="A947" s="3">
        <v>28.0</v>
      </c>
      <c r="B947" s="3" t="b">
        <v>0</v>
      </c>
      <c r="C947" s="3" t="s">
        <v>856</v>
      </c>
      <c r="G947" s="3" t="s">
        <v>1837</v>
      </c>
      <c r="K947" s="3" t="b">
        <v>0</v>
      </c>
      <c r="L947" s="3" t="s">
        <v>2428</v>
      </c>
      <c r="N947" s="3" t="s">
        <v>2455</v>
      </c>
      <c r="S947" s="4" t="str">
        <f t="shared" si="1"/>
        <v>2017</v>
      </c>
    </row>
    <row r="948">
      <c r="A948" s="3">
        <v>28.0</v>
      </c>
      <c r="B948" s="3" t="b">
        <v>0</v>
      </c>
      <c r="C948" s="3" t="s">
        <v>27</v>
      </c>
      <c r="G948" s="3" t="s">
        <v>2132</v>
      </c>
      <c r="K948" s="3" t="b">
        <v>0</v>
      </c>
      <c r="L948" s="3" t="s">
        <v>2456</v>
      </c>
      <c r="N948" s="3" t="s">
        <v>2457</v>
      </c>
      <c r="S948" s="4" t="str">
        <f t="shared" si="1"/>
        <v>2017</v>
      </c>
    </row>
    <row r="949">
      <c r="A949" s="3">
        <v>27.0</v>
      </c>
      <c r="B949" s="3" t="b">
        <v>0</v>
      </c>
      <c r="C949" s="3" t="s">
        <v>145</v>
      </c>
      <c r="G949" s="3" t="s">
        <v>1795</v>
      </c>
      <c r="K949" s="3" t="b">
        <v>1</v>
      </c>
      <c r="L949" s="3" t="s">
        <v>2458</v>
      </c>
      <c r="N949" s="3" t="s">
        <v>2459</v>
      </c>
      <c r="S949" s="4" t="str">
        <f t="shared" si="1"/>
        <v>2017</v>
      </c>
    </row>
    <row r="950">
      <c r="A950" s="3">
        <v>27.0</v>
      </c>
      <c r="B950" s="3" t="b">
        <v>0</v>
      </c>
      <c r="C950" s="3" t="s">
        <v>27</v>
      </c>
      <c r="G950" s="3" t="s">
        <v>2366</v>
      </c>
      <c r="K950" s="3" t="b">
        <v>0</v>
      </c>
      <c r="L950" s="3" t="s">
        <v>2460</v>
      </c>
      <c r="N950" s="3" t="s">
        <v>2461</v>
      </c>
      <c r="S950" s="4" t="str">
        <f t="shared" si="1"/>
        <v>2017</v>
      </c>
    </row>
    <row r="951">
      <c r="A951" s="3">
        <v>26.0</v>
      </c>
      <c r="B951" s="3" t="b">
        <v>0</v>
      </c>
      <c r="C951" s="3" t="s">
        <v>367</v>
      </c>
      <c r="G951" s="3" t="s">
        <v>2462</v>
      </c>
      <c r="K951" s="3" t="b">
        <v>0</v>
      </c>
      <c r="L951" s="3" t="s">
        <v>2463</v>
      </c>
      <c r="N951" s="3" t="s">
        <v>2464</v>
      </c>
      <c r="S951" s="4" t="str">
        <f t="shared" si="1"/>
        <v>2017</v>
      </c>
    </row>
    <row r="952">
      <c r="A952" s="3">
        <v>26.0</v>
      </c>
      <c r="B952" s="3" t="b">
        <v>0</v>
      </c>
      <c r="C952" s="3" t="s">
        <v>27</v>
      </c>
      <c r="G952" s="3" t="s">
        <v>2276</v>
      </c>
      <c r="K952" s="3" t="b">
        <v>0</v>
      </c>
      <c r="L952" s="3" t="s">
        <v>2465</v>
      </c>
      <c r="N952" s="3" t="s">
        <v>2466</v>
      </c>
      <c r="S952" s="4" t="str">
        <f t="shared" si="1"/>
        <v>2017</v>
      </c>
    </row>
    <row r="953">
      <c r="A953" s="3">
        <v>26.0</v>
      </c>
      <c r="B953" s="3" t="b">
        <v>0</v>
      </c>
      <c r="C953" s="3" t="s">
        <v>27</v>
      </c>
      <c r="G953" s="3" t="s">
        <v>2240</v>
      </c>
      <c r="K953" s="3" t="b">
        <v>0</v>
      </c>
      <c r="L953" s="3" t="s">
        <v>2467</v>
      </c>
      <c r="N953" s="3" t="s">
        <v>2468</v>
      </c>
      <c r="S953" s="4" t="str">
        <f t="shared" si="1"/>
        <v>2017</v>
      </c>
    </row>
    <row r="954">
      <c r="A954" s="3">
        <v>25.0</v>
      </c>
      <c r="B954" s="3" t="b">
        <v>0</v>
      </c>
      <c r="C954" s="3" t="s">
        <v>62</v>
      </c>
      <c r="G954" s="3" t="s">
        <v>2324</v>
      </c>
      <c r="K954" s="3" t="b">
        <v>0</v>
      </c>
      <c r="L954" s="3" t="s">
        <v>2325</v>
      </c>
      <c r="N954" s="3" t="s">
        <v>2469</v>
      </c>
      <c r="S954" s="4" t="str">
        <f t="shared" si="1"/>
        <v>2017</v>
      </c>
    </row>
    <row r="955">
      <c r="A955" s="3">
        <v>25.0</v>
      </c>
      <c r="B955" s="3" t="b">
        <v>0</v>
      </c>
      <c r="C955" s="3" t="s">
        <v>149</v>
      </c>
      <c r="G955" s="3" t="s">
        <v>2071</v>
      </c>
      <c r="K955" s="3" t="b">
        <v>0</v>
      </c>
      <c r="L955" s="3" t="s">
        <v>2470</v>
      </c>
      <c r="N955" s="3" t="s">
        <v>2471</v>
      </c>
      <c r="S955" s="4" t="str">
        <f t="shared" si="1"/>
        <v>2017</v>
      </c>
    </row>
    <row r="956">
      <c r="A956" s="3">
        <v>25.0</v>
      </c>
      <c r="B956" s="3" t="b">
        <v>0</v>
      </c>
      <c r="C956" s="3" t="s">
        <v>62</v>
      </c>
      <c r="G956" s="3" t="s">
        <v>2360</v>
      </c>
      <c r="K956" s="3" t="b">
        <v>0</v>
      </c>
      <c r="L956" s="3" t="s">
        <v>2472</v>
      </c>
      <c r="N956" s="3" t="s">
        <v>2473</v>
      </c>
      <c r="S956" s="4" t="str">
        <f t="shared" si="1"/>
        <v>2017</v>
      </c>
    </row>
    <row r="957">
      <c r="A957" s="3">
        <v>25.0</v>
      </c>
      <c r="B957" s="3" t="b">
        <v>0</v>
      </c>
      <c r="C957" s="3" t="s">
        <v>58</v>
      </c>
      <c r="G957" s="3" t="s">
        <v>1789</v>
      </c>
      <c r="K957" s="3" t="b">
        <v>0</v>
      </c>
      <c r="L957" s="3" t="s">
        <v>2474</v>
      </c>
      <c r="N957" s="3" t="s">
        <v>2475</v>
      </c>
      <c r="S957" s="4" t="str">
        <f t="shared" si="1"/>
        <v>2017</v>
      </c>
    </row>
    <row r="958">
      <c r="A958" s="3">
        <v>25.0</v>
      </c>
      <c r="B958" s="3" t="b">
        <v>0</v>
      </c>
      <c r="C958" s="3" t="s">
        <v>62</v>
      </c>
      <c r="G958" s="3" t="s">
        <v>1990</v>
      </c>
      <c r="K958" s="3" t="b">
        <v>0</v>
      </c>
      <c r="L958" s="3" t="s">
        <v>2476</v>
      </c>
      <c r="N958" s="3" t="s">
        <v>2477</v>
      </c>
      <c r="S958" s="4" t="str">
        <f t="shared" si="1"/>
        <v>2017</v>
      </c>
    </row>
    <row r="959">
      <c r="A959" s="3">
        <v>25.0</v>
      </c>
      <c r="B959" s="3" t="b">
        <v>0</v>
      </c>
      <c r="C959" s="3" t="s">
        <v>156</v>
      </c>
      <c r="G959" s="3" t="s">
        <v>2289</v>
      </c>
      <c r="K959" s="3" t="b">
        <v>0</v>
      </c>
      <c r="L959" s="3" t="s">
        <v>2478</v>
      </c>
      <c r="N959" s="3" t="s">
        <v>2479</v>
      </c>
      <c r="S959" s="4" t="str">
        <f t="shared" si="1"/>
        <v>2017</v>
      </c>
    </row>
    <row r="960">
      <c r="A960" s="3">
        <v>25.0</v>
      </c>
      <c r="B960" s="3" t="b">
        <v>0</v>
      </c>
      <c r="C960" s="3" t="s">
        <v>23</v>
      </c>
      <c r="G960" s="3" t="s">
        <v>2366</v>
      </c>
      <c r="K960" s="3" t="b">
        <v>0</v>
      </c>
      <c r="L960" s="3" t="s">
        <v>2480</v>
      </c>
      <c r="N960" s="3" t="s">
        <v>2481</v>
      </c>
      <c r="S960" s="4" t="str">
        <f t="shared" si="1"/>
        <v>2017</v>
      </c>
    </row>
    <row r="961">
      <c r="A961" s="3">
        <v>25.0</v>
      </c>
      <c r="B961" s="3" t="b">
        <v>0</v>
      </c>
      <c r="C961" s="3" t="s">
        <v>62</v>
      </c>
      <c r="G961" s="3" t="s">
        <v>2482</v>
      </c>
      <c r="K961" s="3" t="b">
        <v>0</v>
      </c>
      <c r="L961" s="3" t="s">
        <v>2483</v>
      </c>
      <c r="N961" s="3" t="s">
        <v>2484</v>
      </c>
      <c r="S961" s="4" t="str">
        <f t="shared" si="1"/>
        <v>2017</v>
      </c>
    </row>
    <row r="962">
      <c r="A962" s="3">
        <v>23.0</v>
      </c>
      <c r="B962" s="3" t="b">
        <v>0</v>
      </c>
      <c r="C962" s="3" t="s">
        <v>27</v>
      </c>
      <c r="G962" s="3" t="s">
        <v>2485</v>
      </c>
      <c r="K962" s="3" t="b">
        <v>0</v>
      </c>
      <c r="L962" s="3" t="s">
        <v>2486</v>
      </c>
      <c r="N962" s="3" t="s">
        <v>2487</v>
      </c>
      <c r="S962" s="4" t="str">
        <f t="shared" si="1"/>
        <v>2017</v>
      </c>
    </row>
    <row r="963">
      <c r="A963" s="3">
        <v>22.0</v>
      </c>
      <c r="B963" s="3" t="b">
        <v>0</v>
      </c>
      <c r="C963" s="3" t="s">
        <v>205</v>
      </c>
      <c r="G963" s="3" t="s">
        <v>2462</v>
      </c>
      <c r="K963" s="3" t="b">
        <v>0</v>
      </c>
      <c r="L963" s="3" t="s">
        <v>2488</v>
      </c>
      <c r="N963" s="3" t="s">
        <v>2489</v>
      </c>
      <c r="S963" s="4" t="str">
        <f t="shared" si="1"/>
        <v>2017</v>
      </c>
    </row>
    <row r="964">
      <c r="A964" s="3">
        <v>22.0</v>
      </c>
      <c r="B964" s="3" t="b">
        <v>0</v>
      </c>
      <c r="C964" s="3" t="s">
        <v>411</v>
      </c>
      <c r="G964" s="3" t="s">
        <v>2007</v>
      </c>
      <c r="K964" s="3" t="b">
        <v>0</v>
      </c>
      <c r="L964" s="3" t="s">
        <v>194</v>
      </c>
      <c r="N964" s="3" t="s">
        <v>2490</v>
      </c>
      <c r="S964" s="4" t="str">
        <f t="shared" si="1"/>
        <v>2017</v>
      </c>
    </row>
    <row r="965">
      <c r="A965" s="3">
        <v>22.0</v>
      </c>
      <c r="B965" s="3" t="b">
        <v>0</v>
      </c>
      <c r="C965" s="3" t="s">
        <v>166</v>
      </c>
      <c r="D965" s="7">
        <v>4.0</v>
      </c>
      <c r="E965" s="7">
        <v>2.0</v>
      </c>
      <c r="F965" s="7">
        <v>6.0</v>
      </c>
      <c r="G965" s="3" t="s">
        <v>2250</v>
      </c>
      <c r="K965" s="3" t="b">
        <v>1</v>
      </c>
      <c r="L965" s="3" t="s">
        <v>2491</v>
      </c>
      <c r="M965" s="7">
        <v>80.0</v>
      </c>
      <c r="N965" s="3" t="s">
        <v>2492</v>
      </c>
      <c r="S965" s="4" t="str">
        <f t="shared" si="1"/>
        <v>2017</v>
      </c>
    </row>
    <row r="966">
      <c r="A966" s="3">
        <v>21.0</v>
      </c>
      <c r="B966" s="3" t="b">
        <v>0</v>
      </c>
      <c r="C966" s="3" t="s">
        <v>149</v>
      </c>
      <c r="G966" s="3" t="s">
        <v>2321</v>
      </c>
      <c r="K966" s="3" t="b">
        <v>0</v>
      </c>
      <c r="L966" s="3" t="s">
        <v>1231</v>
      </c>
      <c r="N966" s="3" t="s">
        <v>2493</v>
      </c>
      <c r="S966" s="4" t="str">
        <f t="shared" si="1"/>
        <v>2017</v>
      </c>
    </row>
    <row r="967">
      <c r="A967" s="3">
        <v>21.0</v>
      </c>
      <c r="B967" s="3" t="b">
        <v>0</v>
      </c>
      <c r="C967" s="3" t="s">
        <v>186</v>
      </c>
      <c r="G967" s="3" t="s">
        <v>2360</v>
      </c>
      <c r="K967" s="3" t="b">
        <v>0</v>
      </c>
      <c r="L967" s="3" t="s">
        <v>2494</v>
      </c>
      <c r="N967" s="3" t="s">
        <v>2495</v>
      </c>
      <c r="S967" s="4" t="str">
        <f t="shared" si="1"/>
        <v>2017</v>
      </c>
    </row>
    <row r="968">
      <c r="A968" s="3">
        <v>21.0</v>
      </c>
      <c r="B968" s="3" t="b">
        <v>0</v>
      </c>
      <c r="C968" s="3" t="s">
        <v>94</v>
      </c>
      <c r="G968" s="3" t="s">
        <v>2007</v>
      </c>
      <c r="K968" s="3" t="b">
        <v>0</v>
      </c>
      <c r="L968" s="3" t="s">
        <v>2496</v>
      </c>
      <c r="N968" s="3" t="s">
        <v>2497</v>
      </c>
      <c r="S968" s="4" t="str">
        <f t="shared" si="1"/>
        <v>2017</v>
      </c>
    </row>
    <row r="969">
      <c r="A969" s="3">
        <v>21.0</v>
      </c>
      <c r="B969" s="3" t="b">
        <v>0</v>
      </c>
      <c r="C969" s="3" t="s">
        <v>87</v>
      </c>
      <c r="G969" s="3" t="s">
        <v>1921</v>
      </c>
      <c r="K969" s="3" t="b">
        <v>0</v>
      </c>
      <c r="L969" s="3" t="s">
        <v>653</v>
      </c>
      <c r="N969" s="3" t="s">
        <v>2498</v>
      </c>
      <c r="S969" s="4" t="str">
        <f t="shared" si="1"/>
        <v>2017</v>
      </c>
    </row>
    <row r="970">
      <c r="A970" s="3">
        <v>21.0</v>
      </c>
      <c r="B970" s="3" t="b">
        <v>0</v>
      </c>
      <c r="C970" s="3" t="s">
        <v>58</v>
      </c>
      <c r="G970" s="3" t="s">
        <v>2148</v>
      </c>
      <c r="K970" s="3" t="b">
        <v>0</v>
      </c>
      <c r="L970" s="3" t="s">
        <v>2499</v>
      </c>
      <c r="N970" s="3" t="s">
        <v>2500</v>
      </c>
      <c r="S970" s="4" t="str">
        <f t="shared" si="1"/>
        <v>2017</v>
      </c>
    </row>
    <row r="971">
      <c r="A971" s="3">
        <v>21.0</v>
      </c>
      <c r="B971" s="3" t="b">
        <v>0</v>
      </c>
      <c r="C971" s="3" t="s">
        <v>170</v>
      </c>
      <c r="G971" s="3" t="s">
        <v>2002</v>
      </c>
      <c r="K971" s="3" t="b">
        <v>0</v>
      </c>
      <c r="L971" s="3" t="s">
        <v>2342</v>
      </c>
      <c r="N971" s="3" t="s">
        <v>2501</v>
      </c>
      <c r="S971" s="4" t="str">
        <f t="shared" si="1"/>
        <v>2017</v>
      </c>
    </row>
    <row r="972">
      <c r="A972" s="3">
        <v>20.0</v>
      </c>
      <c r="B972" s="3" t="b">
        <v>0</v>
      </c>
      <c r="C972" s="3" t="s">
        <v>50</v>
      </c>
      <c r="G972" s="3" t="s">
        <v>2502</v>
      </c>
      <c r="K972" s="3" t="b">
        <v>1</v>
      </c>
      <c r="L972" s="3" t="s">
        <v>2503</v>
      </c>
      <c r="N972" s="3" t="s">
        <v>2504</v>
      </c>
      <c r="S972" s="4" t="str">
        <f t="shared" si="1"/>
        <v>2017</v>
      </c>
    </row>
    <row r="973">
      <c r="A973" s="3">
        <v>20.0</v>
      </c>
      <c r="B973" s="3" t="b">
        <v>0</v>
      </c>
      <c r="C973" s="3" t="s">
        <v>73</v>
      </c>
      <c r="G973" s="3" t="s">
        <v>2502</v>
      </c>
      <c r="K973" s="3" t="b">
        <v>0</v>
      </c>
      <c r="L973" s="3" t="s">
        <v>1375</v>
      </c>
      <c r="N973" s="3" t="s">
        <v>2505</v>
      </c>
      <c r="S973" s="4" t="str">
        <f t="shared" si="1"/>
        <v>2017</v>
      </c>
    </row>
    <row r="974">
      <c r="A974" s="3">
        <v>20.0</v>
      </c>
      <c r="B974" s="3" t="b">
        <v>0</v>
      </c>
      <c r="C974" s="3" t="s">
        <v>54</v>
      </c>
      <c r="G974" s="3" t="s">
        <v>2199</v>
      </c>
      <c r="K974" s="3" t="b">
        <v>0</v>
      </c>
      <c r="L974" s="3" t="s">
        <v>1063</v>
      </c>
      <c r="N974" s="3" t="s">
        <v>2506</v>
      </c>
      <c r="S974" s="4" t="str">
        <f t="shared" si="1"/>
        <v>2017</v>
      </c>
    </row>
    <row r="975">
      <c r="A975" s="3">
        <v>20.0</v>
      </c>
      <c r="B975" s="3" t="b">
        <v>0</v>
      </c>
      <c r="C975" s="3" t="s">
        <v>19</v>
      </c>
      <c r="G975" s="3" t="s">
        <v>1827</v>
      </c>
      <c r="K975" s="3" t="b">
        <v>0</v>
      </c>
      <c r="L975" s="3" t="s">
        <v>106</v>
      </c>
      <c r="N975" s="3" t="s">
        <v>2507</v>
      </c>
      <c r="S975" s="4" t="str">
        <f t="shared" si="1"/>
        <v>2017</v>
      </c>
    </row>
    <row r="976">
      <c r="A976" s="3">
        <v>20.0</v>
      </c>
      <c r="B976" s="3" t="b">
        <v>0</v>
      </c>
      <c r="C976" s="3" t="s">
        <v>134</v>
      </c>
      <c r="G976" s="3" t="s">
        <v>2227</v>
      </c>
      <c r="K976" s="3" t="b">
        <v>0</v>
      </c>
      <c r="L976" s="3" t="s">
        <v>2508</v>
      </c>
      <c r="N976" s="3" t="s">
        <v>2509</v>
      </c>
      <c r="S976" s="4" t="str">
        <f t="shared" si="1"/>
        <v>2017</v>
      </c>
    </row>
    <row r="977">
      <c r="A977" s="3">
        <v>20.0</v>
      </c>
      <c r="B977" s="3" t="b">
        <v>0</v>
      </c>
      <c r="C977" s="3" t="s">
        <v>313</v>
      </c>
      <c r="G977" s="3" t="s">
        <v>1910</v>
      </c>
      <c r="K977" s="3" t="b">
        <v>1</v>
      </c>
      <c r="L977" s="3" t="s">
        <v>1381</v>
      </c>
      <c r="N977" s="3" t="s">
        <v>2510</v>
      </c>
      <c r="S977" s="4" t="str">
        <f t="shared" si="1"/>
        <v>2017</v>
      </c>
    </row>
    <row r="978">
      <c r="A978" s="3">
        <v>20.0</v>
      </c>
      <c r="B978" s="3" t="b">
        <v>0</v>
      </c>
      <c r="C978" s="3" t="s">
        <v>27</v>
      </c>
      <c r="G978" s="3" t="s">
        <v>2148</v>
      </c>
      <c r="K978" s="3" t="b">
        <v>0</v>
      </c>
      <c r="L978" s="3" t="s">
        <v>706</v>
      </c>
      <c r="N978" s="3" t="s">
        <v>2511</v>
      </c>
      <c r="S978" s="4" t="str">
        <f t="shared" si="1"/>
        <v>2017</v>
      </c>
    </row>
    <row r="979">
      <c r="A979" s="3">
        <v>20.0</v>
      </c>
      <c r="B979" s="3" t="b">
        <v>0</v>
      </c>
      <c r="C979" s="3" t="s">
        <v>80</v>
      </c>
      <c r="G979" s="3" t="s">
        <v>2274</v>
      </c>
      <c r="K979" s="3" t="b">
        <v>0</v>
      </c>
      <c r="L979" s="3" t="s">
        <v>95</v>
      </c>
      <c r="N979" s="3" t="s">
        <v>2512</v>
      </c>
      <c r="S979" s="4" t="str">
        <f t="shared" si="1"/>
        <v>2017</v>
      </c>
    </row>
    <row r="980">
      <c r="A980" s="3">
        <v>20.0</v>
      </c>
      <c r="B980" s="3" t="b">
        <v>0</v>
      </c>
      <c r="C980" s="3" t="s">
        <v>1768</v>
      </c>
      <c r="G980" s="3" t="s">
        <v>1814</v>
      </c>
      <c r="K980" s="3" t="b">
        <v>0</v>
      </c>
      <c r="L980" s="3" t="s">
        <v>2513</v>
      </c>
      <c r="N980" s="3" t="s">
        <v>2514</v>
      </c>
      <c r="S980" s="4" t="str">
        <f t="shared" si="1"/>
        <v>2017</v>
      </c>
    </row>
    <row r="981">
      <c r="A981" s="3">
        <v>20.0</v>
      </c>
      <c r="B981" s="3" t="b">
        <v>0</v>
      </c>
      <c r="C981" s="3" t="s">
        <v>114</v>
      </c>
      <c r="G981" s="3" t="s">
        <v>1903</v>
      </c>
      <c r="K981" s="3" t="b">
        <v>0</v>
      </c>
      <c r="L981" s="3" t="s">
        <v>2515</v>
      </c>
      <c r="N981" s="3" t="s">
        <v>2516</v>
      </c>
      <c r="S981" s="4" t="str">
        <f t="shared" si="1"/>
        <v>2017</v>
      </c>
    </row>
    <row r="982">
      <c r="A982" s="3">
        <v>19.0</v>
      </c>
      <c r="B982" s="3" t="b">
        <v>0</v>
      </c>
      <c r="C982" s="3" t="s">
        <v>27</v>
      </c>
      <c r="G982" s="3" t="s">
        <v>2235</v>
      </c>
      <c r="K982" s="3" t="b">
        <v>0</v>
      </c>
      <c r="L982" s="3" t="s">
        <v>2517</v>
      </c>
      <c r="N982" s="3" t="s">
        <v>2518</v>
      </c>
      <c r="S982" s="4" t="str">
        <f t="shared" si="1"/>
        <v>2017</v>
      </c>
    </row>
    <row r="983">
      <c r="A983" s="3">
        <v>19.0</v>
      </c>
      <c r="B983" s="3" t="b">
        <v>0</v>
      </c>
      <c r="C983" s="3" t="s">
        <v>388</v>
      </c>
      <c r="G983" s="3" t="s">
        <v>1897</v>
      </c>
      <c r="K983" s="3" t="b">
        <v>0</v>
      </c>
      <c r="L983" s="3" t="s">
        <v>1928</v>
      </c>
      <c r="N983" s="3" t="s">
        <v>2519</v>
      </c>
      <c r="S983" s="4" t="str">
        <f t="shared" si="1"/>
        <v>2017</v>
      </c>
    </row>
    <row r="984">
      <c r="A984" s="3">
        <v>19.0</v>
      </c>
      <c r="B984" s="3" t="b">
        <v>0</v>
      </c>
      <c r="C984" s="3" t="s">
        <v>27</v>
      </c>
      <c r="G984" s="3" t="s">
        <v>1947</v>
      </c>
      <c r="K984" s="3" t="b">
        <v>0</v>
      </c>
      <c r="L984" s="3" t="s">
        <v>2456</v>
      </c>
      <c r="N984" s="3" t="s">
        <v>2520</v>
      </c>
      <c r="S984" s="4" t="str">
        <f t="shared" si="1"/>
        <v>2017</v>
      </c>
    </row>
    <row r="985">
      <c r="A985" s="3">
        <v>19.0</v>
      </c>
      <c r="B985" s="3" t="b">
        <v>0</v>
      </c>
      <c r="C985" s="3" t="s">
        <v>50</v>
      </c>
      <c r="G985" s="3" t="s">
        <v>1827</v>
      </c>
      <c r="K985" s="3" t="b">
        <v>0</v>
      </c>
      <c r="L985" s="3" t="s">
        <v>2521</v>
      </c>
      <c r="N985" s="3" t="s">
        <v>2522</v>
      </c>
      <c r="S985" s="4" t="str">
        <f t="shared" si="1"/>
        <v>2017</v>
      </c>
    </row>
    <row r="986">
      <c r="A986" s="3">
        <v>19.0</v>
      </c>
      <c r="B986" s="3" t="b">
        <v>0</v>
      </c>
      <c r="C986" s="3" t="s">
        <v>260</v>
      </c>
      <c r="G986" s="3" t="s">
        <v>2059</v>
      </c>
      <c r="K986" s="3" t="b">
        <v>0</v>
      </c>
      <c r="L986" s="3" t="s">
        <v>2523</v>
      </c>
      <c r="N986" s="3" t="s">
        <v>2524</v>
      </c>
      <c r="S986" s="4" t="str">
        <f t="shared" si="1"/>
        <v>2017</v>
      </c>
    </row>
    <row r="987">
      <c r="A987" s="3">
        <v>19.0</v>
      </c>
      <c r="B987" s="3" t="b">
        <v>0</v>
      </c>
      <c r="C987" s="3" t="s">
        <v>46</v>
      </c>
      <c r="G987" s="3" t="s">
        <v>1837</v>
      </c>
      <c r="K987" s="3" t="b">
        <v>1</v>
      </c>
      <c r="L987" s="3" t="s">
        <v>521</v>
      </c>
      <c r="N987" s="3" t="s">
        <v>2525</v>
      </c>
      <c r="S987" s="4" t="str">
        <f t="shared" si="1"/>
        <v>2017</v>
      </c>
    </row>
    <row r="988">
      <c r="A988" s="3">
        <v>19.0</v>
      </c>
      <c r="B988" s="3" t="b">
        <v>0</v>
      </c>
      <c r="C988" s="3" t="s">
        <v>69</v>
      </c>
      <c r="G988" s="3" t="s">
        <v>2154</v>
      </c>
      <c r="K988" s="3" t="b">
        <v>0</v>
      </c>
      <c r="L988" s="3" t="s">
        <v>2008</v>
      </c>
      <c r="N988" s="3" t="s">
        <v>2526</v>
      </c>
      <c r="S988" s="4" t="str">
        <f t="shared" si="1"/>
        <v>2017</v>
      </c>
    </row>
    <row r="989">
      <c r="A989" s="3">
        <v>18.0</v>
      </c>
      <c r="B989" s="3" t="b">
        <v>0</v>
      </c>
      <c r="C989" s="3" t="s">
        <v>73</v>
      </c>
      <c r="G989" s="3" t="s">
        <v>2177</v>
      </c>
      <c r="K989" s="3" t="b">
        <v>0</v>
      </c>
      <c r="L989" s="3" t="s">
        <v>2527</v>
      </c>
      <c r="N989" s="3" t="s">
        <v>2528</v>
      </c>
      <c r="S989" s="4" t="str">
        <f t="shared" si="1"/>
        <v>2017</v>
      </c>
    </row>
    <row r="990">
      <c r="A990" s="3">
        <v>18.0</v>
      </c>
      <c r="B990" s="3" t="b">
        <v>0</v>
      </c>
      <c r="C990" s="3" t="s">
        <v>87</v>
      </c>
      <c r="G990" s="3" t="s">
        <v>2302</v>
      </c>
      <c r="K990" s="3" t="b">
        <v>0</v>
      </c>
      <c r="L990" s="3" t="s">
        <v>2529</v>
      </c>
      <c r="N990" s="3" t="s">
        <v>2530</v>
      </c>
      <c r="S990" s="4" t="str">
        <f t="shared" si="1"/>
        <v>2017</v>
      </c>
    </row>
    <row r="991">
      <c r="A991" s="3">
        <v>18.0</v>
      </c>
      <c r="B991" s="3" t="b">
        <v>0</v>
      </c>
      <c r="C991" s="3" t="s">
        <v>39</v>
      </c>
      <c r="G991" s="3" t="s">
        <v>2339</v>
      </c>
      <c r="K991" s="3" t="b">
        <v>0</v>
      </c>
      <c r="L991" s="3" t="s">
        <v>2531</v>
      </c>
      <c r="N991" s="3" t="s">
        <v>2532</v>
      </c>
      <c r="S991" s="4" t="str">
        <f t="shared" si="1"/>
        <v>2017</v>
      </c>
    </row>
    <row r="992">
      <c r="A992" s="3">
        <v>18.0</v>
      </c>
      <c r="B992" s="3" t="b">
        <v>0</v>
      </c>
      <c r="C992" s="3" t="s">
        <v>114</v>
      </c>
      <c r="G992" s="3" t="s">
        <v>2064</v>
      </c>
      <c r="K992" s="3" t="b">
        <v>0</v>
      </c>
      <c r="L992" s="3" t="s">
        <v>1338</v>
      </c>
      <c r="N992" s="3" t="s">
        <v>2533</v>
      </c>
      <c r="S992" s="4" t="str">
        <f t="shared" si="1"/>
        <v>2017</v>
      </c>
    </row>
    <row r="993">
      <c r="A993" s="3">
        <v>17.0</v>
      </c>
      <c r="B993" s="3" t="b">
        <v>0</v>
      </c>
      <c r="C993" s="3" t="s">
        <v>101</v>
      </c>
      <c r="G993" s="3" t="s">
        <v>2199</v>
      </c>
      <c r="K993" s="3" t="b">
        <v>0</v>
      </c>
      <c r="L993" s="3" t="s">
        <v>2534</v>
      </c>
      <c r="N993" s="3" t="s">
        <v>2535</v>
      </c>
      <c r="S993" s="4" t="str">
        <f t="shared" si="1"/>
        <v>2017</v>
      </c>
    </row>
    <row r="994">
      <c r="A994" s="3">
        <v>17.0</v>
      </c>
      <c r="B994" s="3" t="b">
        <v>0</v>
      </c>
      <c r="C994" s="3" t="s">
        <v>58</v>
      </c>
      <c r="D994" s="7">
        <v>1.0</v>
      </c>
      <c r="F994" s="7">
        <v>2.0</v>
      </c>
      <c r="G994" s="3" t="s">
        <v>1772</v>
      </c>
      <c r="K994" s="3" t="b">
        <v>1</v>
      </c>
      <c r="L994" s="3" t="s">
        <v>2536</v>
      </c>
      <c r="M994" s="7">
        <v>20.0</v>
      </c>
      <c r="N994" s="3" t="s">
        <v>2537</v>
      </c>
      <c r="S994" s="4" t="str">
        <f t="shared" si="1"/>
        <v>2017</v>
      </c>
    </row>
    <row r="995">
      <c r="A995" s="3">
        <v>17.0</v>
      </c>
      <c r="B995" s="3" t="b">
        <v>0</v>
      </c>
      <c r="C995" s="3" t="s">
        <v>58</v>
      </c>
      <c r="G995" s="3" t="s">
        <v>2126</v>
      </c>
      <c r="K995" s="3" t="b">
        <v>0</v>
      </c>
      <c r="L995" s="3" t="s">
        <v>941</v>
      </c>
      <c r="N995" s="3" t="s">
        <v>2538</v>
      </c>
      <c r="S995" s="4" t="str">
        <f t="shared" si="1"/>
        <v>2017</v>
      </c>
    </row>
    <row r="996">
      <c r="A996" s="3">
        <v>17.0</v>
      </c>
      <c r="B996" s="3" t="b">
        <v>0</v>
      </c>
      <c r="C996" s="3" t="s">
        <v>149</v>
      </c>
      <c r="G996" s="3" t="s">
        <v>1894</v>
      </c>
      <c r="K996" s="3" t="b">
        <v>0</v>
      </c>
      <c r="L996" s="3" t="s">
        <v>849</v>
      </c>
      <c r="N996" s="3" t="s">
        <v>2539</v>
      </c>
      <c r="S996" s="4" t="str">
        <f t="shared" si="1"/>
        <v>2017</v>
      </c>
    </row>
    <row r="997">
      <c r="A997" s="3">
        <v>17.0</v>
      </c>
      <c r="B997" s="3" t="b">
        <v>0</v>
      </c>
      <c r="C997" s="3" t="s">
        <v>114</v>
      </c>
      <c r="G997" s="3" t="s">
        <v>2540</v>
      </c>
      <c r="K997" s="3" t="b">
        <v>1</v>
      </c>
      <c r="L997" s="3" t="s">
        <v>2541</v>
      </c>
      <c r="N997" s="3" t="s">
        <v>2542</v>
      </c>
      <c r="S997" s="4" t="str">
        <f t="shared" si="1"/>
        <v>2017</v>
      </c>
    </row>
    <row r="998">
      <c r="A998" s="3">
        <v>17.0</v>
      </c>
      <c r="B998" s="3" t="b">
        <v>0</v>
      </c>
      <c r="C998" s="3" t="s">
        <v>27</v>
      </c>
      <c r="G998" s="3" t="s">
        <v>1903</v>
      </c>
      <c r="K998" s="3" t="b">
        <v>0</v>
      </c>
      <c r="L998" s="3" t="s">
        <v>1278</v>
      </c>
      <c r="N998" s="3" t="s">
        <v>2543</v>
      </c>
      <c r="S998" s="4" t="str">
        <f t="shared" si="1"/>
        <v>2017</v>
      </c>
    </row>
    <row r="999">
      <c r="A999" s="3">
        <v>16.0</v>
      </c>
      <c r="B999" s="3" t="b">
        <v>0</v>
      </c>
      <c r="C999" s="3" t="s">
        <v>69</v>
      </c>
      <c r="G999" s="3" t="s">
        <v>2240</v>
      </c>
      <c r="K999" s="3" t="b">
        <v>0</v>
      </c>
      <c r="L999" s="3" t="s">
        <v>929</v>
      </c>
      <c r="N999" s="3" t="s">
        <v>2544</v>
      </c>
      <c r="S999" s="4" t="str">
        <f t="shared" si="1"/>
        <v>2017</v>
      </c>
    </row>
    <row r="1000">
      <c r="A1000" s="3">
        <v>16.0</v>
      </c>
      <c r="B1000" s="3" t="b">
        <v>0</v>
      </c>
      <c r="C1000" s="3" t="s">
        <v>134</v>
      </c>
      <c r="G1000" s="3" t="s">
        <v>2272</v>
      </c>
      <c r="K1000" s="3" t="b">
        <v>0</v>
      </c>
      <c r="L1000" s="3" t="s">
        <v>2545</v>
      </c>
      <c r="N1000" s="3" t="s">
        <v>2546</v>
      </c>
      <c r="S1000" s="4" t="str">
        <f t="shared" si="1"/>
        <v>2017</v>
      </c>
    </row>
    <row r="1001">
      <c r="A1001" s="3">
        <v>16.0</v>
      </c>
      <c r="B1001" s="3" t="b">
        <v>0</v>
      </c>
      <c r="C1001" s="3" t="s">
        <v>39</v>
      </c>
      <c r="G1001" s="3" t="s">
        <v>1955</v>
      </c>
      <c r="K1001" s="3" t="b">
        <v>0</v>
      </c>
      <c r="L1001" s="3" t="s">
        <v>2547</v>
      </c>
      <c r="N1001" s="3" t="s">
        <v>2548</v>
      </c>
      <c r="S1001" s="4" t="str">
        <f t="shared" si="1"/>
        <v>2017</v>
      </c>
    </row>
    <row r="1002">
      <c r="A1002" s="3">
        <v>15.0</v>
      </c>
      <c r="B1002" s="3" t="b">
        <v>0</v>
      </c>
      <c r="C1002" s="3" t="s">
        <v>54</v>
      </c>
      <c r="G1002" s="3" t="s">
        <v>2054</v>
      </c>
      <c r="K1002" s="3" t="b">
        <v>0</v>
      </c>
      <c r="L1002" s="3" t="s">
        <v>232</v>
      </c>
      <c r="N1002" s="3" t="s">
        <v>2549</v>
      </c>
      <c r="S1002" s="4" t="str">
        <f t="shared" si="1"/>
        <v>2017</v>
      </c>
    </row>
    <row r="1003">
      <c r="A1003" s="3">
        <v>15.0</v>
      </c>
      <c r="B1003" s="3" t="b">
        <v>0</v>
      </c>
      <c r="C1003" s="3" t="s">
        <v>388</v>
      </c>
      <c r="G1003" s="3" t="s">
        <v>1935</v>
      </c>
      <c r="K1003" s="3" t="b">
        <v>0</v>
      </c>
      <c r="L1003" s="3" t="s">
        <v>2550</v>
      </c>
      <c r="N1003" s="3" t="s">
        <v>2551</v>
      </c>
      <c r="S1003" s="4" t="str">
        <f t="shared" si="1"/>
        <v>2017</v>
      </c>
    </row>
    <row r="1004">
      <c r="A1004" s="3">
        <v>15.0</v>
      </c>
      <c r="B1004" s="3" t="b">
        <v>0</v>
      </c>
      <c r="C1004" s="3" t="s">
        <v>145</v>
      </c>
      <c r="G1004" s="3" t="s">
        <v>1910</v>
      </c>
      <c r="K1004" s="3" t="b">
        <v>0</v>
      </c>
      <c r="L1004" s="3" t="s">
        <v>345</v>
      </c>
      <c r="N1004" s="3" t="s">
        <v>2552</v>
      </c>
      <c r="S1004" s="4" t="str">
        <f t="shared" si="1"/>
        <v>2017</v>
      </c>
    </row>
    <row r="1005">
      <c r="A1005" s="3">
        <v>15.0</v>
      </c>
      <c r="B1005" s="3" t="b">
        <v>0</v>
      </c>
      <c r="C1005" s="3" t="s">
        <v>114</v>
      </c>
      <c r="G1005" s="3" t="s">
        <v>1993</v>
      </c>
      <c r="K1005" s="3" t="b">
        <v>0</v>
      </c>
      <c r="L1005" s="3" t="s">
        <v>2553</v>
      </c>
      <c r="N1005" s="3" t="s">
        <v>2554</v>
      </c>
      <c r="S1005" s="4" t="str">
        <f t="shared" si="1"/>
        <v>2017</v>
      </c>
    </row>
    <row r="1006">
      <c r="A1006" s="3">
        <v>15.0</v>
      </c>
      <c r="B1006" s="3" t="b">
        <v>0</v>
      </c>
      <c r="C1006" s="3" t="s">
        <v>411</v>
      </c>
      <c r="G1006" s="3" t="s">
        <v>2339</v>
      </c>
      <c r="K1006" s="3" t="b">
        <v>0</v>
      </c>
      <c r="L1006" s="3" t="s">
        <v>2555</v>
      </c>
      <c r="N1006" s="3" t="s">
        <v>2556</v>
      </c>
      <c r="S1006" s="4" t="str">
        <f t="shared" si="1"/>
        <v>2017</v>
      </c>
    </row>
    <row r="1007">
      <c r="A1007" s="3">
        <v>15.0</v>
      </c>
      <c r="B1007" s="3" t="b">
        <v>0</v>
      </c>
      <c r="C1007" s="3" t="s">
        <v>27</v>
      </c>
      <c r="G1007" s="3" t="s">
        <v>2557</v>
      </c>
      <c r="K1007" s="3" t="b">
        <v>0</v>
      </c>
      <c r="L1007" s="3" t="s">
        <v>2558</v>
      </c>
      <c r="N1007" s="3" t="s">
        <v>2559</v>
      </c>
      <c r="S1007" s="4" t="str">
        <f t="shared" si="1"/>
        <v>2017</v>
      </c>
    </row>
    <row r="1008">
      <c r="A1008" s="3">
        <v>14.0</v>
      </c>
      <c r="B1008" s="3" t="b">
        <v>0</v>
      </c>
      <c r="C1008" s="3" t="s">
        <v>97</v>
      </c>
      <c r="G1008" s="3" t="s">
        <v>2235</v>
      </c>
      <c r="K1008" s="3" t="b">
        <v>0</v>
      </c>
      <c r="L1008" s="3" t="s">
        <v>2560</v>
      </c>
      <c r="N1008" s="3" t="s">
        <v>2561</v>
      </c>
      <c r="S1008" s="4" t="str">
        <f t="shared" si="1"/>
        <v>2017</v>
      </c>
    </row>
    <row r="1009">
      <c r="A1009" s="3">
        <v>14.0</v>
      </c>
      <c r="B1009" s="3" t="b">
        <v>0</v>
      </c>
      <c r="C1009" s="3" t="s">
        <v>97</v>
      </c>
      <c r="G1009" s="3" t="s">
        <v>2235</v>
      </c>
      <c r="K1009" s="3" t="b">
        <v>0</v>
      </c>
      <c r="L1009" s="3" t="s">
        <v>2562</v>
      </c>
      <c r="N1009" s="3" t="s">
        <v>2563</v>
      </c>
      <c r="S1009" s="4" t="str">
        <f t="shared" si="1"/>
        <v>2017</v>
      </c>
    </row>
    <row r="1010">
      <c r="A1010" s="3">
        <v>14.0</v>
      </c>
      <c r="B1010" s="3" t="b">
        <v>0</v>
      </c>
      <c r="C1010" s="3" t="s">
        <v>87</v>
      </c>
      <c r="G1010" s="3" t="s">
        <v>2079</v>
      </c>
      <c r="K1010" s="3" t="b">
        <v>0</v>
      </c>
      <c r="L1010" s="3" t="s">
        <v>2564</v>
      </c>
      <c r="N1010" s="3" t="s">
        <v>2565</v>
      </c>
      <c r="S1010" s="4" t="str">
        <f t="shared" si="1"/>
        <v>2017</v>
      </c>
    </row>
    <row r="1011">
      <c r="A1011" s="3">
        <v>14.0</v>
      </c>
      <c r="B1011" s="3" t="b">
        <v>0</v>
      </c>
      <c r="C1011" s="3" t="s">
        <v>114</v>
      </c>
      <c r="G1011" s="3" t="s">
        <v>2087</v>
      </c>
      <c r="K1011" s="3" t="b">
        <v>0</v>
      </c>
      <c r="L1011" s="3" t="s">
        <v>1401</v>
      </c>
      <c r="N1011" s="3" t="s">
        <v>2566</v>
      </c>
      <c r="S1011" s="4" t="str">
        <f t="shared" si="1"/>
        <v>2017</v>
      </c>
    </row>
    <row r="1012">
      <c r="A1012" s="3">
        <v>14.0</v>
      </c>
      <c r="B1012" s="3" t="b">
        <v>0</v>
      </c>
      <c r="C1012" s="3" t="s">
        <v>27</v>
      </c>
      <c r="G1012" s="3" t="s">
        <v>2268</v>
      </c>
      <c r="K1012" s="3" t="b">
        <v>0</v>
      </c>
      <c r="L1012" s="3" t="s">
        <v>2567</v>
      </c>
      <c r="N1012" s="3" t="s">
        <v>2568</v>
      </c>
      <c r="S1012" s="4" t="str">
        <f t="shared" si="1"/>
        <v>2017</v>
      </c>
    </row>
    <row r="1013">
      <c r="A1013" s="3">
        <v>13.0</v>
      </c>
      <c r="B1013" s="3" t="b">
        <v>0</v>
      </c>
      <c r="C1013" s="3" t="s">
        <v>260</v>
      </c>
      <c r="G1013" s="3" t="s">
        <v>1941</v>
      </c>
      <c r="K1013" s="3" t="b">
        <v>0</v>
      </c>
      <c r="L1013" s="3" t="s">
        <v>2569</v>
      </c>
      <c r="N1013" s="3" t="s">
        <v>2570</v>
      </c>
      <c r="S1013" s="4" t="str">
        <f t="shared" si="1"/>
        <v>2017</v>
      </c>
    </row>
    <row r="1014">
      <c r="A1014" s="3">
        <v>13.0</v>
      </c>
      <c r="B1014" s="3" t="b">
        <v>0</v>
      </c>
      <c r="C1014" s="3" t="s">
        <v>130</v>
      </c>
      <c r="G1014" s="3" t="s">
        <v>1935</v>
      </c>
      <c r="K1014" s="3" t="b">
        <v>0</v>
      </c>
      <c r="L1014" s="3" t="s">
        <v>2571</v>
      </c>
      <c r="N1014" s="3" t="s">
        <v>2572</v>
      </c>
      <c r="S1014" s="4" t="str">
        <f t="shared" si="1"/>
        <v>2017</v>
      </c>
    </row>
    <row r="1015">
      <c r="A1015" s="3">
        <v>13.0</v>
      </c>
      <c r="B1015" s="3" t="b">
        <v>0</v>
      </c>
      <c r="C1015" s="3" t="s">
        <v>130</v>
      </c>
      <c r="G1015" s="3" t="s">
        <v>2188</v>
      </c>
      <c r="K1015" s="3" t="b">
        <v>0</v>
      </c>
      <c r="L1015" s="3" t="s">
        <v>2573</v>
      </c>
      <c r="N1015" s="3" t="s">
        <v>2574</v>
      </c>
      <c r="S1015" s="4" t="str">
        <f t="shared" si="1"/>
        <v>2017</v>
      </c>
    </row>
    <row r="1016">
      <c r="A1016" s="3">
        <v>13.0</v>
      </c>
      <c r="B1016" s="3" t="b">
        <v>0</v>
      </c>
      <c r="C1016" s="3" t="s">
        <v>134</v>
      </c>
      <c r="G1016" s="3" t="s">
        <v>2419</v>
      </c>
      <c r="K1016" s="3" t="b">
        <v>0</v>
      </c>
      <c r="L1016" s="3" t="s">
        <v>44</v>
      </c>
      <c r="N1016" s="3" t="s">
        <v>2575</v>
      </c>
      <c r="S1016" s="4" t="str">
        <f t="shared" si="1"/>
        <v>2017</v>
      </c>
    </row>
    <row r="1017">
      <c r="A1017" s="3">
        <v>12.0</v>
      </c>
      <c r="B1017" s="3" t="b">
        <v>0</v>
      </c>
      <c r="C1017" s="3" t="s">
        <v>87</v>
      </c>
      <c r="G1017" s="3" t="s">
        <v>1809</v>
      </c>
      <c r="K1017" s="3" t="b">
        <v>0</v>
      </c>
      <c r="L1017" s="3" t="s">
        <v>2576</v>
      </c>
      <c r="N1017" s="3" t="s">
        <v>2577</v>
      </c>
      <c r="S1017" s="4" t="str">
        <f t="shared" si="1"/>
        <v>2017</v>
      </c>
    </row>
    <row r="1018">
      <c r="A1018" s="3">
        <v>12.0</v>
      </c>
      <c r="B1018" s="3" t="b">
        <v>0</v>
      </c>
      <c r="C1018" s="3" t="s">
        <v>62</v>
      </c>
      <c r="G1018" s="3" t="s">
        <v>2245</v>
      </c>
      <c r="K1018" s="3" t="b">
        <v>0</v>
      </c>
      <c r="L1018" s="3" t="s">
        <v>2578</v>
      </c>
      <c r="N1018" s="3" t="s">
        <v>2579</v>
      </c>
      <c r="S1018" s="4" t="str">
        <f t="shared" si="1"/>
        <v>2017</v>
      </c>
    </row>
    <row r="1019">
      <c r="A1019" s="3">
        <v>12.0</v>
      </c>
      <c r="B1019" s="3" t="b">
        <v>0</v>
      </c>
      <c r="C1019" s="3" t="s">
        <v>149</v>
      </c>
      <c r="G1019" s="3" t="s">
        <v>2033</v>
      </c>
      <c r="K1019" s="3" t="b">
        <v>0</v>
      </c>
      <c r="L1019" s="3" t="s">
        <v>2580</v>
      </c>
      <c r="N1019" s="3" t="s">
        <v>2581</v>
      </c>
      <c r="S1019" s="4" t="str">
        <f t="shared" si="1"/>
        <v>2017</v>
      </c>
    </row>
    <row r="1020">
      <c r="A1020" s="3">
        <v>12.0</v>
      </c>
      <c r="B1020" s="3" t="b">
        <v>0</v>
      </c>
      <c r="C1020" s="3" t="s">
        <v>27</v>
      </c>
      <c r="G1020" s="3" t="s">
        <v>2154</v>
      </c>
      <c r="K1020" s="3" t="b">
        <v>0</v>
      </c>
      <c r="L1020" s="3" t="s">
        <v>2582</v>
      </c>
      <c r="N1020" s="3" t="s">
        <v>2583</v>
      </c>
      <c r="S1020" s="4" t="str">
        <f t="shared" si="1"/>
        <v>2017</v>
      </c>
    </row>
    <row r="1021">
      <c r="A1021" s="3">
        <v>12.0</v>
      </c>
      <c r="B1021" s="3" t="b">
        <v>0</v>
      </c>
      <c r="C1021" s="3" t="s">
        <v>282</v>
      </c>
      <c r="G1021" s="3" t="s">
        <v>2268</v>
      </c>
      <c r="K1021" s="3" t="b">
        <v>0</v>
      </c>
      <c r="L1021" s="3" t="s">
        <v>1678</v>
      </c>
      <c r="N1021" s="3" t="s">
        <v>1148</v>
      </c>
      <c r="S1021" s="4" t="str">
        <f t="shared" si="1"/>
        <v>1969</v>
      </c>
    </row>
    <row r="1022">
      <c r="A1022" s="3">
        <v>11.0</v>
      </c>
      <c r="B1022" s="3" t="b">
        <v>0</v>
      </c>
      <c r="C1022" s="3" t="s">
        <v>73</v>
      </c>
      <c r="G1022" s="3" t="s">
        <v>1854</v>
      </c>
      <c r="K1022" s="3" t="b">
        <v>0</v>
      </c>
      <c r="L1022" s="3" t="s">
        <v>2584</v>
      </c>
      <c r="N1022" s="3" t="s">
        <v>2585</v>
      </c>
      <c r="S1022" s="4" t="str">
        <f t="shared" si="1"/>
        <v>2017</v>
      </c>
    </row>
    <row r="1023">
      <c r="A1023" s="3">
        <v>11.0</v>
      </c>
      <c r="B1023" s="3" t="b">
        <v>0</v>
      </c>
      <c r="C1023" s="3" t="s">
        <v>27</v>
      </c>
      <c r="G1023" s="3" t="s">
        <v>1938</v>
      </c>
      <c r="K1023" s="3" t="b">
        <v>0</v>
      </c>
      <c r="L1023" s="3" t="s">
        <v>2586</v>
      </c>
      <c r="N1023" s="3" t="s">
        <v>2587</v>
      </c>
      <c r="S1023" s="4" t="str">
        <f t="shared" si="1"/>
        <v>2017</v>
      </c>
    </row>
    <row r="1024">
      <c r="A1024" s="3">
        <v>10.0</v>
      </c>
      <c r="B1024" s="3" t="b">
        <v>0</v>
      </c>
      <c r="C1024" s="3" t="s">
        <v>54</v>
      </c>
      <c r="G1024" s="3" t="s">
        <v>2379</v>
      </c>
      <c r="K1024" s="3" t="b">
        <v>0</v>
      </c>
      <c r="L1024" s="3" t="s">
        <v>776</v>
      </c>
      <c r="N1024" s="3" t="s">
        <v>2588</v>
      </c>
      <c r="S1024" s="4" t="str">
        <f t="shared" si="1"/>
        <v>2017</v>
      </c>
    </row>
    <row r="1025">
      <c r="A1025" s="3">
        <v>10.0</v>
      </c>
      <c r="B1025" s="3" t="b">
        <v>0</v>
      </c>
      <c r="C1025" s="3" t="s">
        <v>101</v>
      </c>
      <c r="G1025" s="3" t="s">
        <v>2071</v>
      </c>
      <c r="K1025" s="3" t="b">
        <v>0</v>
      </c>
      <c r="L1025" s="3" t="s">
        <v>2589</v>
      </c>
      <c r="N1025" s="3" t="s">
        <v>2590</v>
      </c>
      <c r="S1025" s="4" t="str">
        <f t="shared" si="1"/>
        <v>2017</v>
      </c>
    </row>
    <row r="1026">
      <c r="A1026" s="3">
        <v>10.0</v>
      </c>
      <c r="B1026" s="3" t="b">
        <v>0</v>
      </c>
      <c r="C1026" s="3" t="s">
        <v>39</v>
      </c>
      <c r="G1026" s="3" t="s">
        <v>2360</v>
      </c>
      <c r="K1026" s="3" t="b">
        <v>0</v>
      </c>
      <c r="L1026" s="3" t="s">
        <v>2591</v>
      </c>
      <c r="N1026" s="3" t="s">
        <v>2592</v>
      </c>
      <c r="S1026" s="4" t="str">
        <f t="shared" si="1"/>
        <v>2017</v>
      </c>
    </row>
    <row r="1027">
      <c r="A1027" s="3">
        <v>10.0</v>
      </c>
      <c r="B1027" s="3" t="b">
        <v>0</v>
      </c>
      <c r="C1027" s="3" t="s">
        <v>324</v>
      </c>
      <c r="G1027" s="3" t="s">
        <v>1811</v>
      </c>
      <c r="K1027" s="3" t="b">
        <v>0</v>
      </c>
      <c r="L1027" s="3" t="s">
        <v>2593</v>
      </c>
      <c r="N1027" s="3" t="s">
        <v>2594</v>
      </c>
      <c r="S1027" s="4" t="str">
        <f t="shared" si="1"/>
        <v>2017</v>
      </c>
    </row>
    <row r="1028">
      <c r="A1028" s="3">
        <v>10.0</v>
      </c>
      <c r="B1028" s="3" t="b">
        <v>0</v>
      </c>
      <c r="C1028" s="3" t="s">
        <v>23</v>
      </c>
      <c r="G1028" s="3" t="s">
        <v>1829</v>
      </c>
      <c r="K1028" s="3" t="b">
        <v>0</v>
      </c>
      <c r="L1028" s="3" t="s">
        <v>2595</v>
      </c>
      <c r="N1028" s="3" t="s">
        <v>2596</v>
      </c>
      <c r="S1028" s="4" t="str">
        <f t="shared" si="1"/>
        <v>2017</v>
      </c>
    </row>
    <row r="1029">
      <c r="A1029" s="3">
        <v>10.0</v>
      </c>
      <c r="B1029" s="3" t="b">
        <v>0</v>
      </c>
      <c r="C1029" s="3" t="s">
        <v>388</v>
      </c>
      <c r="G1029" s="3" t="s">
        <v>2227</v>
      </c>
      <c r="K1029" s="3" t="b">
        <v>0</v>
      </c>
      <c r="L1029" s="3" t="s">
        <v>2597</v>
      </c>
      <c r="N1029" s="3" t="s">
        <v>2598</v>
      </c>
      <c r="S1029" s="4" t="str">
        <f t="shared" si="1"/>
        <v>2017</v>
      </c>
    </row>
    <row r="1030">
      <c r="A1030" s="3">
        <v>10.0</v>
      </c>
      <c r="B1030" s="3" t="b">
        <v>0</v>
      </c>
      <c r="C1030" s="3" t="s">
        <v>58</v>
      </c>
      <c r="G1030" s="3" t="s">
        <v>1962</v>
      </c>
      <c r="K1030" s="3" t="b">
        <v>1</v>
      </c>
      <c r="L1030" s="3" t="s">
        <v>888</v>
      </c>
      <c r="N1030" s="3" t="s">
        <v>2599</v>
      </c>
      <c r="S1030" s="4" t="str">
        <f t="shared" si="1"/>
        <v>2017</v>
      </c>
    </row>
    <row r="1031">
      <c r="A1031" s="3">
        <v>10.0</v>
      </c>
      <c r="B1031" s="3" t="b">
        <v>0</v>
      </c>
      <c r="C1031" s="3" t="s">
        <v>27</v>
      </c>
      <c r="G1031" s="3" t="s">
        <v>2028</v>
      </c>
      <c r="K1031" s="3" t="b">
        <v>0</v>
      </c>
      <c r="L1031" s="3" t="s">
        <v>2600</v>
      </c>
      <c r="N1031" s="3" t="s">
        <v>2601</v>
      </c>
      <c r="S1031" s="4" t="str">
        <f t="shared" si="1"/>
        <v>2017</v>
      </c>
    </row>
    <row r="1032">
      <c r="A1032" s="3">
        <v>10.0</v>
      </c>
      <c r="B1032" s="3" t="b">
        <v>0</v>
      </c>
      <c r="C1032" s="3" t="s">
        <v>87</v>
      </c>
      <c r="G1032" s="3" t="s">
        <v>2188</v>
      </c>
      <c r="K1032" s="3" t="b">
        <v>1</v>
      </c>
      <c r="L1032" s="3" t="s">
        <v>2602</v>
      </c>
      <c r="N1032" s="3" t="s">
        <v>2603</v>
      </c>
      <c r="S1032" s="4" t="str">
        <f t="shared" si="1"/>
        <v>2017</v>
      </c>
    </row>
    <row r="1033">
      <c r="A1033" s="3">
        <v>10.0</v>
      </c>
      <c r="B1033" s="3" t="b">
        <v>0</v>
      </c>
      <c r="C1033" s="3" t="s">
        <v>27</v>
      </c>
      <c r="G1033" s="3" t="s">
        <v>1916</v>
      </c>
      <c r="K1033" s="3" t="b">
        <v>0</v>
      </c>
      <c r="L1033" s="3" t="s">
        <v>1278</v>
      </c>
      <c r="N1033" s="3" t="s">
        <v>2604</v>
      </c>
      <c r="S1033" s="4" t="str">
        <f t="shared" si="1"/>
        <v>2017</v>
      </c>
    </row>
    <row r="1034">
      <c r="A1034" s="3">
        <v>10.0</v>
      </c>
      <c r="B1034" s="3" t="b">
        <v>0</v>
      </c>
      <c r="C1034" s="3" t="s">
        <v>388</v>
      </c>
      <c r="G1034" s="3" t="s">
        <v>1938</v>
      </c>
      <c r="K1034" s="3" t="b">
        <v>0</v>
      </c>
      <c r="L1034" s="3" t="s">
        <v>709</v>
      </c>
      <c r="N1034" s="3" t="s">
        <v>2605</v>
      </c>
      <c r="S1034" s="4" t="str">
        <f t="shared" si="1"/>
        <v>2017</v>
      </c>
    </row>
    <row r="1035">
      <c r="A1035" s="3">
        <v>10.0</v>
      </c>
      <c r="B1035" s="3" t="b">
        <v>0</v>
      </c>
      <c r="C1035" s="3" t="s">
        <v>27</v>
      </c>
      <c r="G1035" s="3" t="s">
        <v>2289</v>
      </c>
      <c r="K1035" s="3" t="b">
        <v>0</v>
      </c>
      <c r="L1035" s="3" t="s">
        <v>2606</v>
      </c>
      <c r="N1035" s="3" t="s">
        <v>2607</v>
      </c>
      <c r="S1035" s="4" t="str">
        <f t="shared" si="1"/>
        <v>2017</v>
      </c>
    </row>
    <row r="1036">
      <c r="A1036" s="3">
        <v>10.0</v>
      </c>
      <c r="B1036" s="3" t="b">
        <v>0</v>
      </c>
      <c r="C1036" s="3" t="s">
        <v>27</v>
      </c>
      <c r="G1036" s="3" t="s">
        <v>1974</v>
      </c>
      <c r="K1036" s="3" t="b">
        <v>0</v>
      </c>
      <c r="L1036" s="3" t="s">
        <v>37</v>
      </c>
      <c r="N1036" s="3" t="s">
        <v>2608</v>
      </c>
      <c r="S1036" s="4" t="str">
        <f t="shared" si="1"/>
        <v>2017</v>
      </c>
    </row>
    <row r="1037">
      <c r="A1037" s="3">
        <v>10.0</v>
      </c>
      <c r="B1037" s="3" t="b">
        <v>0</v>
      </c>
      <c r="C1037" s="3" t="s">
        <v>69</v>
      </c>
      <c r="G1037" s="3" t="s">
        <v>2214</v>
      </c>
      <c r="K1037" s="3" t="b">
        <v>0</v>
      </c>
      <c r="L1037" s="3" t="s">
        <v>1338</v>
      </c>
      <c r="N1037" s="3" t="s">
        <v>2609</v>
      </c>
      <c r="S1037" s="4" t="str">
        <f t="shared" si="1"/>
        <v>2017</v>
      </c>
    </row>
    <row r="1038">
      <c r="A1038" s="3">
        <v>10.0</v>
      </c>
      <c r="B1038" s="3" t="b">
        <v>0</v>
      </c>
      <c r="C1038" s="3" t="s">
        <v>27</v>
      </c>
      <c r="G1038" s="3" t="s">
        <v>2274</v>
      </c>
      <c r="K1038" s="3" t="b">
        <v>0</v>
      </c>
      <c r="L1038" s="3" t="s">
        <v>2610</v>
      </c>
      <c r="N1038" s="3" t="s">
        <v>2611</v>
      </c>
      <c r="S1038" s="4" t="str">
        <f t="shared" si="1"/>
        <v>2017</v>
      </c>
    </row>
    <row r="1039">
      <c r="A1039" s="3">
        <v>10.0</v>
      </c>
      <c r="B1039" s="3" t="b">
        <v>0</v>
      </c>
      <c r="C1039" s="3" t="s">
        <v>367</v>
      </c>
      <c r="G1039" s="3" t="s">
        <v>2272</v>
      </c>
      <c r="K1039" s="3" t="b">
        <v>0</v>
      </c>
      <c r="L1039" s="3" t="s">
        <v>2612</v>
      </c>
      <c r="N1039" s="3" t="s">
        <v>2613</v>
      </c>
      <c r="S1039" s="4" t="str">
        <f t="shared" si="1"/>
        <v>2017</v>
      </c>
    </row>
    <row r="1040">
      <c r="A1040" s="3">
        <v>10.0</v>
      </c>
      <c r="B1040" s="3" t="b">
        <v>0</v>
      </c>
      <c r="C1040" s="3" t="s">
        <v>69</v>
      </c>
      <c r="G1040" s="3" t="s">
        <v>1955</v>
      </c>
      <c r="K1040" s="3" t="b">
        <v>0</v>
      </c>
      <c r="L1040" s="3" t="s">
        <v>2614</v>
      </c>
      <c r="N1040" s="3" t="s">
        <v>2615</v>
      </c>
      <c r="S1040" s="4" t="str">
        <f t="shared" si="1"/>
        <v>2017</v>
      </c>
    </row>
    <row r="1041">
      <c r="A1041" s="3">
        <v>10.0</v>
      </c>
      <c r="B1041" s="3" t="b">
        <v>0</v>
      </c>
      <c r="C1041" s="3" t="s">
        <v>27</v>
      </c>
      <c r="G1041" s="3" t="s">
        <v>2616</v>
      </c>
      <c r="K1041" s="3" t="b">
        <v>0</v>
      </c>
      <c r="L1041" s="3" t="s">
        <v>2617</v>
      </c>
      <c r="N1041" s="3" t="s">
        <v>2618</v>
      </c>
      <c r="S1041" s="4" t="str">
        <f t="shared" si="1"/>
        <v>2017</v>
      </c>
    </row>
    <row r="1042">
      <c r="A1042" s="3">
        <v>10.0</v>
      </c>
      <c r="B1042" s="3" t="b">
        <v>0</v>
      </c>
      <c r="C1042" s="3" t="s">
        <v>114</v>
      </c>
      <c r="G1042" s="3" t="s">
        <v>1851</v>
      </c>
      <c r="K1042" s="3" t="b">
        <v>0</v>
      </c>
      <c r="L1042" s="3" t="s">
        <v>2619</v>
      </c>
      <c r="N1042" s="3" t="s">
        <v>2620</v>
      </c>
      <c r="S1042" s="4" t="str">
        <f t="shared" si="1"/>
        <v>2017</v>
      </c>
    </row>
    <row r="1043">
      <c r="A1043" s="3">
        <v>0.0</v>
      </c>
      <c r="B1043" s="3" t="b">
        <v>0</v>
      </c>
      <c r="C1043" s="3" t="s">
        <v>73</v>
      </c>
      <c r="G1043" s="3" t="s">
        <v>1907</v>
      </c>
      <c r="K1043" s="3" t="b">
        <v>1</v>
      </c>
      <c r="L1043" s="3" t="s">
        <v>2621</v>
      </c>
      <c r="N1043" s="3" t="s">
        <v>2622</v>
      </c>
      <c r="S1043" s="4" t="str">
        <f t="shared" si="1"/>
        <v>2017</v>
      </c>
    </row>
    <row r="1044">
      <c r="A1044" s="3">
        <v>0.0</v>
      </c>
      <c r="B1044" s="3" t="b">
        <v>0</v>
      </c>
      <c r="C1044" s="3" t="s">
        <v>166</v>
      </c>
      <c r="G1044" s="3" t="s">
        <v>1897</v>
      </c>
      <c r="K1044" s="3" t="b">
        <v>1</v>
      </c>
      <c r="L1044" s="3" t="s">
        <v>2623</v>
      </c>
      <c r="N1044" s="3" t="s">
        <v>2624</v>
      </c>
      <c r="S1044" s="4" t="str">
        <f t="shared" si="1"/>
        <v>2017</v>
      </c>
    </row>
    <row r="1045">
      <c r="A1045" s="3">
        <v>0.0</v>
      </c>
      <c r="B1045" s="3" t="b">
        <v>0</v>
      </c>
      <c r="C1045" s="3" t="s">
        <v>101</v>
      </c>
      <c r="G1045" s="3" t="s">
        <v>2360</v>
      </c>
      <c r="K1045" s="3" t="b">
        <v>0</v>
      </c>
      <c r="L1045" s="3" t="s">
        <v>2625</v>
      </c>
      <c r="N1045" s="3" t="s">
        <v>2626</v>
      </c>
      <c r="S1045" s="4" t="str">
        <f t="shared" si="1"/>
        <v>2017</v>
      </c>
    </row>
    <row r="1046">
      <c r="A1046" s="3">
        <v>0.0</v>
      </c>
      <c r="B1046" s="3" t="b">
        <v>0</v>
      </c>
      <c r="C1046" s="3" t="s">
        <v>46</v>
      </c>
      <c r="G1046" s="3" t="s">
        <v>1753</v>
      </c>
      <c r="K1046" s="3" t="b">
        <v>0</v>
      </c>
      <c r="L1046" s="3" t="s">
        <v>2627</v>
      </c>
      <c r="N1046" s="3" t="s">
        <v>2628</v>
      </c>
      <c r="S1046" s="4" t="str">
        <f t="shared" si="1"/>
        <v>2017</v>
      </c>
    </row>
    <row r="1047">
      <c r="A1047" s="3">
        <v>0.0</v>
      </c>
      <c r="B1047" s="3" t="b">
        <v>0</v>
      </c>
      <c r="C1047" s="3" t="s">
        <v>145</v>
      </c>
      <c r="G1047" s="3" t="s">
        <v>2112</v>
      </c>
      <c r="K1047" s="3" t="b">
        <v>0</v>
      </c>
      <c r="L1047" s="3" t="s">
        <v>2629</v>
      </c>
      <c r="N1047" s="3" t="s">
        <v>2630</v>
      </c>
      <c r="S1047" s="4" t="str">
        <f t="shared" si="1"/>
        <v>2017</v>
      </c>
    </row>
    <row r="1048">
      <c r="A1048" s="3">
        <v>0.0</v>
      </c>
      <c r="B1048" s="3" t="b">
        <v>0</v>
      </c>
      <c r="C1048" s="3" t="s">
        <v>212</v>
      </c>
      <c r="G1048" s="3" t="s">
        <v>2025</v>
      </c>
      <c r="K1048" s="3" t="b">
        <v>0</v>
      </c>
      <c r="L1048" s="3" t="s">
        <v>329</v>
      </c>
      <c r="N1048" s="3" t="s">
        <v>2631</v>
      </c>
      <c r="S1048" s="4" t="str">
        <f t="shared" si="1"/>
        <v>2017</v>
      </c>
    </row>
    <row r="1049">
      <c r="A1049" s="3">
        <v>0.0</v>
      </c>
      <c r="B1049" s="3" t="b">
        <v>0</v>
      </c>
      <c r="C1049" s="3" t="s">
        <v>320</v>
      </c>
      <c r="G1049" s="3" t="s">
        <v>1888</v>
      </c>
      <c r="K1049" s="3" t="b">
        <v>0</v>
      </c>
      <c r="L1049" s="3" t="s">
        <v>1157</v>
      </c>
      <c r="N1049" s="3" t="s">
        <v>2632</v>
      </c>
      <c r="S1049" s="4" t="str">
        <f t="shared" si="1"/>
        <v>2017</v>
      </c>
    </row>
    <row r="1050">
      <c r="A1050" s="3">
        <v>0.0</v>
      </c>
      <c r="B1050" s="3" t="b">
        <v>0</v>
      </c>
      <c r="C1050" s="3" t="s">
        <v>46</v>
      </c>
      <c r="G1050" s="3" t="s">
        <v>2302</v>
      </c>
      <c r="K1050" s="3" t="b">
        <v>0</v>
      </c>
      <c r="L1050" s="3" t="s">
        <v>2633</v>
      </c>
      <c r="N1050" s="3" t="s">
        <v>2634</v>
      </c>
      <c r="S1050" s="4" t="str">
        <f t="shared" si="1"/>
        <v>2017</v>
      </c>
    </row>
    <row r="1051">
      <c r="A1051" s="3">
        <v>0.0</v>
      </c>
      <c r="B1051" s="3" t="b">
        <v>0</v>
      </c>
      <c r="C1051" s="3" t="s">
        <v>62</v>
      </c>
      <c r="G1051" s="3" t="s">
        <v>1993</v>
      </c>
      <c r="K1051" s="3" t="b">
        <v>0</v>
      </c>
      <c r="L1051" s="3" t="s">
        <v>2635</v>
      </c>
      <c r="N1051" s="3" t="s">
        <v>2636</v>
      </c>
      <c r="S1051" s="4" t="str">
        <f t="shared" si="1"/>
        <v>2017</v>
      </c>
    </row>
    <row r="1052">
      <c r="A1052" s="3">
        <v>0.0</v>
      </c>
      <c r="B1052" s="3" t="b">
        <v>0</v>
      </c>
      <c r="C1052" s="3" t="s">
        <v>46</v>
      </c>
      <c r="G1052" s="3" t="s">
        <v>2364</v>
      </c>
      <c r="K1052" s="3" t="b">
        <v>0</v>
      </c>
      <c r="L1052" s="3" t="s">
        <v>2637</v>
      </c>
      <c r="N1052" s="3" t="s">
        <v>2638</v>
      </c>
      <c r="S1052" s="4" t="str">
        <f t="shared" si="1"/>
        <v>2017</v>
      </c>
    </row>
    <row r="1053">
      <c r="A1053" s="3">
        <v>0.0</v>
      </c>
      <c r="B1053" s="3" t="b">
        <v>0</v>
      </c>
      <c r="C1053" s="3" t="s">
        <v>94</v>
      </c>
      <c r="G1053" s="3" t="s">
        <v>1804</v>
      </c>
      <c r="K1053" s="3" t="b">
        <v>0</v>
      </c>
      <c r="L1053" s="3" t="s">
        <v>2639</v>
      </c>
      <c r="N1053" s="3" t="s">
        <v>2640</v>
      </c>
      <c r="S1053" s="4" t="str">
        <f t="shared" si="1"/>
        <v>2017</v>
      </c>
    </row>
    <row r="1054">
      <c r="A1054" s="3">
        <v>0.0</v>
      </c>
      <c r="B1054" s="3" t="b">
        <v>0</v>
      </c>
      <c r="C1054" s="3" t="s">
        <v>149</v>
      </c>
      <c r="G1054" s="3" t="s">
        <v>2268</v>
      </c>
      <c r="K1054" s="3" t="b">
        <v>0</v>
      </c>
      <c r="L1054" s="3" t="s">
        <v>1381</v>
      </c>
      <c r="N1054" s="3" t="s">
        <v>2641</v>
      </c>
      <c r="S1054" s="4" t="str">
        <f t="shared" si="1"/>
        <v>2017</v>
      </c>
    </row>
    <row r="1055">
      <c r="A1055" s="3">
        <v>0.0</v>
      </c>
      <c r="B1055" s="3" t="b">
        <v>0</v>
      </c>
      <c r="C1055" s="3" t="s">
        <v>87</v>
      </c>
      <c r="G1055" s="3" t="s">
        <v>2642</v>
      </c>
      <c r="K1055" s="3" t="b">
        <v>1</v>
      </c>
      <c r="L1055" s="3" t="s">
        <v>2643</v>
      </c>
      <c r="M1055" s="7">
        <v>596.0</v>
      </c>
      <c r="N1055" s="3" t="s">
        <v>2644</v>
      </c>
      <c r="S1055" s="4" t="str">
        <f t="shared" si="1"/>
        <v>2017</v>
      </c>
    </row>
    <row r="1056">
      <c r="A1056" s="3">
        <v>410203.0</v>
      </c>
      <c r="B1056" s="3" t="b">
        <v>0</v>
      </c>
      <c r="C1056" s="3" t="s">
        <v>489</v>
      </c>
      <c r="G1056" s="3" t="s">
        <v>2645</v>
      </c>
      <c r="H1056" s="3">
        <v>1.0</v>
      </c>
      <c r="J1056" s="3">
        <v>3.0</v>
      </c>
      <c r="K1056" s="3" t="b">
        <v>1</v>
      </c>
      <c r="L1056" s="3" t="s">
        <v>2646</v>
      </c>
      <c r="N1056" s="3" t="s">
        <v>2647</v>
      </c>
      <c r="P1056" s="3">
        <v>246.0</v>
      </c>
      <c r="R1056" s="3">
        <v>1050.0</v>
      </c>
      <c r="S1056" s="4" t="str">
        <f t="shared" si="1"/>
        <v>2018</v>
      </c>
    </row>
    <row r="1057">
      <c r="A1057" s="3">
        <v>410203.0</v>
      </c>
      <c r="B1057" s="3" t="b">
        <v>0</v>
      </c>
      <c r="C1057" s="3" t="s">
        <v>212</v>
      </c>
      <c r="G1057" s="3" t="s">
        <v>2645</v>
      </c>
      <c r="H1057" s="3">
        <v>1.0</v>
      </c>
      <c r="J1057" s="3">
        <v>3.0</v>
      </c>
      <c r="K1057" s="3" t="b">
        <v>1</v>
      </c>
      <c r="L1057" s="3" t="s">
        <v>2646</v>
      </c>
      <c r="N1057" s="3" t="s">
        <v>2647</v>
      </c>
      <c r="P1057" s="3">
        <v>246.0</v>
      </c>
      <c r="R1057" s="3">
        <v>1050.0</v>
      </c>
      <c r="S1057" s="4" t="str">
        <f t="shared" si="1"/>
        <v>2018</v>
      </c>
    </row>
    <row r="1058">
      <c r="A1058" s="3">
        <v>410203.0</v>
      </c>
      <c r="B1058" s="3" t="b">
        <v>0</v>
      </c>
      <c r="C1058" s="3" t="s">
        <v>186</v>
      </c>
      <c r="G1058" s="3" t="s">
        <v>2645</v>
      </c>
      <c r="H1058" s="3">
        <v>1.0</v>
      </c>
      <c r="J1058" s="3">
        <v>3.0</v>
      </c>
      <c r="K1058" s="3" t="b">
        <v>1</v>
      </c>
      <c r="L1058" s="3" t="s">
        <v>2646</v>
      </c>
      <c r="N1058" s="3" t="s">
        <v>2647</v>
      </c>
      <c r="P1058" s="3">
        <v>246.0</v>
      </c>
      <c r="R1058" s="3">
        <v>1050.0</v>
      </c>
      <c r="S1058" s="4" t="str">
        <f t="shared" si="1"/>
        <v>2018</v>
      </c>
    </row>
    <row r="1059">
      <c r="A1059" s="3">
        <v>410203.0</v>
      </c>
      <c r="B1059" s="3" t="b">
        <v>0</v>
      </c>
      <c r="C1059" s="3" t="s">
        <v>313</v>
      </c>
      <c r="G1059" s="3" t="s">
        <v>2645</v>
      </c>
      <c r="H1059" s="3">
        <v>1.0</v>
      </c>
      <c r="J1059" s="3">
        <v>3.0</v>
      </c>
      <c r="K1059" s="3" t="b">
        <v>1</v>
      </c>
      <c r="L1059" s="3" t="s">
        <v>2646</v>
      </c>
      <c r="N1059" s="3" t="s">
        <v>2647</v>
      </c>
      <c r="P1059" s="3">
        <v>246.0</v>
      </c>
      <c r="R1059" s="3">
        <v>1050.0</v>
      </c>
      <c r="S1059" s="4" t="str">
        <f t="shared" si="1"/>
        <v>2018</v>
      </c>
    </row>
    <row r="1060">
      <c r="A1060" s="3">
        <v>229651.0</v>
      </c>
      <c r="B1060" s="3" t="b">
        <v>0</v>
      </c>
      <c r="C1060" s="3" t="s">
        <v>58</v>
      </c>
      <c r="D1060" s="3">
        <v>5.0</v>
      </c>
      <c r="E1060" s="3">
        <v>48.0</v>
      </c>
      <c r="F1060" s="3">
        <v>11.0</v>
      </c>
      <c r="G1060" s="3" t="s">
        <v>2648</v>
      </c>
      <c r="H1060" s="3">
        <v>3.0</v>
      </c>
      <c r="J1060" s="3">
        <v>0.0</v>
      </c>
      <c r="K1060" s="3" t="b">
        <v>1</v>
      </c>
      <c r="L1060" s="3" t="s">
        <v>2649</v>
      </c>
      <c r="M1060" s="3">
        <v>456.0</v>
      </c>
      <c r="N1060" s="3" t="s">
        <v>2650</v>
      </c>
      <c r="O1060" s="3">
        <v>61.0</v>
      </c>
      <c r="P1060" s="3">
        <v>1614.0</v>
      </c>
      <c r="S1060" s="4" t="str">
        <f t="shared" si="1"/>
        <v>2018</v>
      </c>
    </row>
    <row r="1061">
      <c r="A1061" s="3">
        <v>229651.0</v>
      </c>
      <c r="B1061" s="3" t="b">
        <v>0</v>
      </c>
      <c r="C1061" s="3" t="s">
        <v>630</v>
      </c>
      <c r="D1061" s="3">
        <v>5.0</v>
      </c>
      <c r="E1061" s="3">
        <v>48.0</v>
      </c>
      <c r="F1061" s="3">
        <v>11.0</v>
      </c>
      <c r="G1061" s="3" t="s">
        <v>2648</v>
      </c>
      <c r="H1061" s="3">
        <v>3.0</v>
      </c>
      <c r="J1061" s="3">
        <v>0.0</v>
      </c>
      <c r="K1061" s="3" t="b">
        <v>1</v>
      </c>
      <c r="L1061" s="3" t="s">
        <v>2649</v>
      </c>
      <c r="M1061" s="3">
        <v>456.0</v>
      </c>
      <c r="N1061" s="3" t="s">
        <v>2650</v>
      </c>
      <c r="O1061" s="3">
        <v>61.0</v>
      </c>
      <c r="P1061" s="3">
        <v>1614.0</v>
      </c>
      <c r="S1061" s="4" t="str">
        <f t="shared" si="1"/>
        <v>2018</v>
      </c>
    </row>
    <row r="1062">
      <c r="A1062" s="3">
        <v>153336.0</v>
      </c>
      <c r="B1062" s="3" t="b">
        <v>0</v>
      </c>
      <c r="C1062" s="3" t="s">
        <v>87</v>
      </c>
      <c r="D1062" s="3">
        <v>11.0</v>
      </c>
      <c r="E1062" s="3">
        <v>3.0</v>
      </c>
      <c r="F1062" s="3">
        <v>73.0</v>
      </c>
      <c r="G1062" s="3" t="s">
        <v>2651</v>
      </c>
      <c r="H1062" s="3">
        <v>85.0</v>
      </c>
      <c r="I1062" s="7">
        <v>2.0</v>
      </c>
      <c r="J1062" s="3">
        <v>3.0</v>
      </c>
      <c r="K1062" s="3" t="b">
        <v>1</v>
      </c>
      <c r="L1062" s="3" t="s">
        <v>2082</v>
      </c>
      <c r="M1062" s="3">
        <v>1065.0</v>
      </c>
      <c r="N1062" s="3" t="s">
        <v>2652</v>
      </c>
      <c r="P1062" s="3">
        <v>18804.0</v>
      </c>
      <c r="S1062" s="4" t="str">
        <f t="shared" si="1"/>
        <v>2018</v>
      </c>
    </row>
    <row r="1063">
      <c r="A1063" s="3">
        <v>96949.0</v>
      </c>
      <c r="B1063" s="3" t="b">
        <v>0</v>
      </c>
      <c r="C1063" s="3" t="s">
        <v>23</v>
      </c>
      <c r="G1063" s="3" t="s">
        <v>2653</v>
      </c>
      <c r="H1063" s="3">
        <v>3.0</v>
      </c>
      <c r="J1063" s="3">
        <v>0.0</v>
      </c>
      <c r="K1063" s="3" t="b">
        <v>1</v>
      </c>
      <c r="L1063" s="3" t="s">
        <v>2654</v>
      </c>
      <c r="N1063" s="3" t="s">
        <v>2655</v>
      </c>
      <c r="O1063" s="3">
        <v>341.0</v>
      </c>
      <c r="P1063" s="3">
        <v>1643.0</v>
      </c>
      <c r="S1063" s="4" t="str">
        <f t="shared" si="1"/>
        <v>2018</v>
      </c>
    </row>
    <row r="1064">
      <c r="A1064" s="3">
        <v>96949.0</v>
      </c>
      <c r="B1064" s="3" t="b">
        <v>0</v>
      </c>
      <c r="C1064" s="3" t="s">
        <v>35</v>
      </c>
      <c r="G1064" s="3" t="s">
        <v>2653</v>
      </c>
      <c r="H1064" s="3">
        <v>3.0</v>
      </c>
      <c r="J1064" s="3">
        <v>0.0</v>
      </c>
      <c r="K1064" s="3" t="b">
        <v>1</v>
      </c>
      <c r="L1064" s="3" t="s">
        <v>2654</v>
      </c>
      <c r="N1064" s="3" t="s">
        <v>2655</v>
      </c>
      <c r="O1064" s="3">
        <v>341.0</v>
      </c>
      <c r="P1064" s="3">
        <v>1643.0</v>
      </c>
      <c r="S1064" s="4" t="str">
        <f t="shared" si="1"/>
        <v>2018</v>
      </c>
    </row>
    <row r="1065">
      <c r="A1065" s="3">
        <v>96901.0</v>
      </c>
      <c r="B1065" s="3" t="b">
        <v>0</v>
      </c>
      <c r="C1065" s="3" t="s">
        <v>101</v>
      </c>
      <c r="G1065" s="3" t="s">
        <v>2656</v>
      </c>
      <c r="K1065" s="3" t="b">
        <v>0</v>
      </c>
      <c r="L1065" s="3" t="s">
        <v>2657</v>
      </c>
      <c r="N1065" s="3" t="s">
        <v>2658</v>
      </c>
      <c r="S1065" s="4" t="str">
        <f t="shared" si="1"/>
        <v>2018</v>
      </c>
    </row>
    <row r="1066">
      <c r="A1066" s="3">
        <v>90288.0</v>
      </c>
      <c r="B1066" s="3" t="b">
        <v>0</v>
      </c>
      <c r="C1066" s="3" t="s">
        <v>166</v>
      </c>
      <c r="G1066" s="3" t="s">
        <v>2659</v>
      </c>
      <c r="J1066" s="3">
        <v>1.0</v>
      </c>
      <c r="K1066" s="3" t="b">
        <v>1</v>
      </c>
      <c r="L1066" s="3" t="s">
        <v>2660</v>
      </c>
      <c r="N1066" s="3" t="s">
        <v>2661</v>
      </c>
      <c r="P1066" s="3">
        <v>29.0</v>
      </c>
      <c r="S1066" s="4" t="str">
        <f t="shared" si="1"/>
        <v>2018</v>
      </c>
    </row>
    <row r="1067">
      <c r="A1067" s="3">
        <v>90288.0</v>
      </c>
      <c r="B1067" s="3" t="b">
        <v>0</v>
      </c>
      <c r="C1067" s="3" t="s">
        <v>240</v>
      </c>
      <c r="G1067" s="3" t="s">
        <v>2659</v>
      </c>
      <c r="J1067" s="3">
        <v>1.0</v>
      </c>
      <c r="K1067" s="3" t="b">
        <v>1</v>
      </c>
      <c r="L1067" s="3" t="s">
        <v>2660</v>
      </c>
      <c r="N1067" s="3" t="s">
        <v>2661</v>
      </c>
      <c r="P1067" s="3">
        <v>29.0</v>
      </c>
      <c r="S1067" s="4" t="str">
        <f t="shared" si="1"/>
        <v>2018</v>
      </c>
    </row>
    <row r="1068">
      <c r="A1068" s="3">
        <v>63311.0</v>
      </c>
      <c r="B1068" s="3" t="b">
        <v>0</v>
      </c>
      <c r="C1068" s="3" t="s">
        <v>58</v>
      </c>
      <c r="G1068" s="3" t="s">
        <v>2662</v>
      </c>
      <c r="K1068" s="3" t="b">
        <v>0</v>
      </c>
      <c r="L1068" s="3" t="s">
        <v>2663</v>
      </c>
      <c r="N1068" s="3" t="s">
        <v>2664</v>
      </c>
      <c r="P1068" s="3">
        <v>42.0</v>
      </c>
      <c r="S1068" s="4" t="str">
        <f t="shared" si="1"/>
        <v>2018</v>
      </c>
    </row>
    <row r="1069">
      <c r="A1069" s="3">
        <v>63311.0</v>
      </c>
      <c r="B1069" s="3" t="b">
        <v>0</v>
      </c>
      <c r="C1069" s="3" t="s">
        <v>630</v>
      </c>
      <c r="G1069" s="3" t="s">
        <v>2662</v>
      </c>
      <c r="K1069" s="3" t="b">
        <v>0</v>
      </c>
      <c r="L1069" s="3" t="s">
        <v>2663</v>
      </c>
      <c r="N1069" s="3" t="s">
        <v>2664</v>
      </c>
      <c r="P1069" s="3">
        <v>42.0</v>
      </c>
      <c r="S1069" s="4" t="str">
        <f t="shared" si="1"/>
        <v>2018</v>
      </c>
    </row>
    <row r="1070">
      <c r="A1070" s="3">
        <v>48920.0</v>
      </c>
      <c r="B1070" s="3" t="b">
        <v>0</v>
      </c>
      <c r="C1070" s="3" t="s">
        <v>489</v>
      </c>
      <c r="D1070" s="3">
        <v>58.0</v>
      </c>
      <c r="E1070" s="3">
        <v>76.0</v>
      </c>
      <c r="F1070" s="3">
        <v>256.0</v>
      </c>
      <c r="G1070" s="3" t="s">
        <v>2665</v>
      </c>
      <c r="I1070" s="3">
        <v>20.0</v>
      </c>
      <c r="K1070" s="3" t="b">
        <v>1</v>
      </c>
      <c r="L1070" s="3" t="s">
        <v>2666</v>
      </c>
      <c r="M1070" s="3">
        <v>3100.0</v>
      </c>
      <c r="N1070" s="3" t="s">
        <v>2667</v>
      </c>
      <c r="P1070" s="3">
        <v>35.0</v>
      </c>
      <c r="R1070" s="3">
        <v>1025.0</v>
      </c>
      <c r="S1070" s="4" t="str">
        <f t="shared" si="1"/>
        <v>2018</v>
      </c>
    </row>
    <row r="1071">
      <c r="A1071" s="3">
        <v>48920.0</v>
      </c>
      <c r="B1071" s="3" t="b">
        <v>0</v>
      </c>
      <c r="C1071" s="3" t="s">
        <v>186</v>
      </c>
      <c r="D1071" s="3">
        <v>58.0</v>
      </c>
      <c r="E1071" s="3">
        <v>76.0</v>
      </c>
      <c r="F1071" s="3">
        <v>256.0</v>
      </c>
      <c r="G1071" s="3" t="s">
        <v>2665</v>
      </c>
      <c r="I1071" s="3">
        <v>20.0</v>
      </c>
      <c r="K1071" s="3" t="b">
        <v>1</v>
      </c>
      <c r="L1071" s="3" t="s">
        <v>2666</v>
      </c>
      <c r="M1071" s="3">
        <v>3100.0</v>
      </c>
      <c r="N1071" s="3" t="s">
        <v>2667</v>
      </c>
      <c r="P1071" s="3">
        <v>35.0</v>
      </c>
      <c r="R1071" s="3">
        <v>1025.0</v>
      </c>
      <c r="S1071" s="4" t="str">
        <f t="shared" si="1"/>
        <v>2018</v>
      </c>
    </row>
    <row r="1072">
      <c r="A1072" s="3">
        <v>48920.0</v>
      </c>
      <c r="B1072" s="3" t="b">
        <v>0</v>
      </c>
      <c r="C1072" s="3" t="s">
        <v>313</v>
      </c>
      <c r="D1072" s="3">
        <v>58.0</v>
      </c>
      <c r="E1072" s="3">
        <v>76.0</v>
      </c>
      <c r="F1072" s="3">
        <v>256.0</v>
      </c>
      <c r="G1072" s="3" t="s">
        <v>2665</v>
      </c>
      <c r="I1072" s="3">
        <v>20.0</v>
      </c>
      <c r="K1072" s="3" t="b">
        <v>1</v>
      </c>
      <c r="L1072" s="3" t="s">
        <v>2666</v>
      </c>
      <c r="M1072" s="3">
        <v>3100.0</v>
      </c>
      <c r="N1072" s="3" t="s">
        <v>2667</v>
      </c>
      <c r="P1072" s="3">
        <v>35.0</v>
      </c>
      <c r="R1072" s="3">
        <v>1025.0</v>
      </c>
      <c r="S1072" s="4" t="str">
        <f t="shared" si="1"/>
        <v>2018</v>
      </c>
    </row>
    <row r="1073">
      <c r="A1073" s="3">
        <v>46150.0</v>
      </c>
      <c r="B1073" s="3" t="b">
        <v>0</v>
      </c>
      <c r="C1073" s="3" t="s">
        <v>58</v>
      </c>
      <c r="G1073" s="3" t="s">
        <v>2668</v>
      </c>
      <c r="K1073" s="3" t="b">
        <v>1</v>
      </c>
      <c r="L1073" s="3" t="s">
        <v>2669</v>
      </c>
      <c r="N1073" s="3" t="s">
        <v>2670</v>
      </c>
      <c r="S1073" s="4" t="str">
        <f t="shared" si="1"/>
        <v>2018</v>
      </c>
    </row>
    <row r="1074">
      <c r="A1074" s="3">
        <v>39387.0</v>
      </c>
      <c r="B1074" s="3" t="b">
        <v>0</v>
      </c>
      <c r="C1074" s="3" t="s">
        <v>145</v>
      </c>
      <c r="G1074" s="3" t="s">
        <v>2671</v>
      </c>
      <c r="K1074" s="3" t="b">
        <v>0</v>
      </c>
      <c r="L1074" s="3" t="s">
        <v>2049</v>
      </c>
      <c r="N1074" s="3" t="s">
        <v>2672</v>
      </c>
      <c r="S1074" s="4" t="str">
        <f t="shared" si="1"/>
        <v>2018</v>
      </c>
    </row>
    <row r="1075">
      <c r="A1075" s="3">
        <v>38008.0</v>
      </c>
      <c r="B1075" s="3" t="b">
        <v>0</v>
      </c>
      <c r="C1075" s="3" t="s">
        <v>46</v>
      </c>
      <c r="D1075" s="7">
        <v>6.0</v>
      </c>
      <c r="E1075" s="7">
        <v>4.0</v>
      </c>
      <c r="F1075" s="7">
        <v>12.0</v>
      </c>
      <c r="G1075" s="3" t="s">
        <v>2673</v>
      </c>
      <c r="H1075" s="7">
        <v>1.0</v>
      </c>
      <c r="I1075" s="7">
        <v>2.0</v>
      </c>
      <c r="J1075" s="7">
        <v>3.0</v>
      </c>
      <c r="K1075" s="3" t="b">
        <v>1</v>
      </c>
      <c r="L1075" s="3" t="s">
        <v>2674</v>
      </c>
      <c r="M1075" s="7">
        <v>350.0</v>
      </c>
      <c r="N1075" s="3" t="s">
        <v>2675</v>
      </c>
      <c r="O1075" s="7">
        <v>12.0</v>
      </c>
      <c r="P1075" s="7">
        <v>83.0</v>
      </c>
      <c r="S1075" s="4" t="str">
        <f t="shared" si="1"/>
        <v>2018</v>
      </c>
    </row>
    <row r="1076">
      <c r="A1076" s="3">
        <v>36450.0</v>
      </c>
      <c r="B1076" s="3" t="b">
        <v>0</v>
      </c>
      <c r="C1076" s="3" t="s">
        <v>19</v>
      </c>
      <c r="G1076" s="3" t="s">
        <v>2676</v>
      </c>
      <c r="K1076" s="3" t="b">
        <v>0</v>
      </c>
      <c r="L1076" s="3" t="s">
        <v>2677</v>
      </c>
      <c r="N1076" s="3" t="s">
        <v>2678</v>
      </c>
      <c r="S1076" s="4" t="str">
        <f t="shared" si="1"/>
        <v>2018</v>
      </c>
    </row>
    <row r="1077">
      <c r="A1077" s="3">
        <v>23136.0</v>
      </c>
      <c r="B1077" s="3" t="b">
        <v>0</v>
      </c>
      <c r="C1077" s="3" t="s">
        <v>435</v>
      </c>
      <c r="G1077" s="3" t="s">
        <v>2679</v>
      </c>
      <c r="K1077" s="3" t="b">
        <v>0</v>
      </c>
      <c r="L1077" s="3" t="s">
        <v>1462</v>
      </c>
      <c r="N1077" s="3" t="s">
        <v>2680</v>
      </c>
      <c r="P1077" s="7">
        <v>24.0</v>
      </c>
      <c r="S1077" s="4" t="str">
        <f t="shared" si="1"/>
        <v>2018</v>
      </c>
    </row>
    <row r="1078">
      <c r="A1078" s="3">
        <v>18703.0</v>
      </c>
      <c r="B1078" s="3" t="b">
        <v>0</v>
      </c>
      <c r="C1078" s="3" t="s">
        <v>320</v>
      </c>
      <c r="G1078" s="3" t="s">
        <v>2681</v>
      </c>
      <c r="K1078" s="3" t="b">
        <v>0</v>
      </c>
      <c r="L1078" s="3" t="s">
        <v>2682</v>
      </c>
      <c r="N1078" s="3" t="s">
        <v>2683</v>
      </c>
      <c r="S1078" s="4" t="str">
        <f t="shared" si="1"/>
        <v>2018</v>
      </c>
    </row>
    <row r="1079">
      <c r="A1079" s="3">
        <v>15185.0</v>
      </c>
      <c r="B1079" s="3" t="b">
        <v>0</v>
      </c>
      <c r="C1079" s="3" t="s">
        <v>186</v>
      </c>
      <c r="G1079" s="3" t="s">
        <v>2684</v>
      </c>
      <c r="J1079" s="7">
        <v>1.0</v>
      </c>
      <c r="K1079" s="3" t="b">
        <v>1</v>
      </c>
      <c r="L1079" s="3" t="s">
        <v>2685</v>
      </c>
      <c r="N1079" s="3" t="s">
        <v>2686</v>
      </c>
      <c r="P1079" s="3">
        <v>22.0</v>
      </c>
      <c r="S1079" s="4" t="str">
        <f t="shared" si="1"/>
        <v>2018</v>
      </c>
    </row>
    <row r="1080">
      <c r="A1080" s="3">
        <v>13139.0</v>
      </c>
      <c r="B1080" s="3" t="b">
        <v>0</v>
      </c>
      <c r="C1080" s="3" t="s">
        <v>27</v>
      </c>
      <c r="G1080" s="3" t="s">
        <v>2687</v>
      </c>
      <c r="K1080" s="3" t="b">
        <v>0</v>
      </c>
      <c r="L1080" s="3" t="s">
        <v>2688</v>
      </c>
      <c r="N1080" s="3" t="s">
        <v>2689</v>
      </c>
      <c r="P1080" s="3">
        <v>12.0</v>
      </c>
      <c r="S1080" s="4" t="str">
        <f t="shared" si="1"/>
        <v>2018</v>
      </c>
    </row>
    <row r="1081">
      <c r="A1081" s="3">
        <v>12300.0</v>
      </c>
      <c r="B1081" s="3" t="b">
        <v>0</v>
      </c>
      <c r="C1081" s="3" t="s">
        <v>179</v>
      </c>
      <c r="G1081" s="3" t="s">
        <v>2690</v>
      </c>
      <c r="K1081" s="3" t="b">
        <v>0</v>
      </c>
      <c r="L1081" s="3" t="s">
        <v>2691</v>
      </c>
      <c r="N1081" s="3" t="s">
        <v>2692</v>
      </c>
      <c r="P1081" s="3">
        <v>1.0</v>
      </c>
      <c r="S1081" s="4" t="str">
        <f t="shared" si="1"/>
        <v>2018</v>
      </c>
    </row>
    <row r="1082">
      <c r="A1082" s="3">
        <v>6974.0</v>
      </c>
      <c r="B1082" s="3" t="b">
        <v>0</v>
      </c>
      <c r="C1082" s="3" t="s">
        <v>874</v>
      </c>
      <c r="G1082" s="3" t="s">
        <v>2693</v>
      </c>
      <c r="K1082" s="3" t="b">
        <v>0</v>
      </c>
      <c r="L1082" s="3" t="s">
        <v>2694</v>
      </c>
      <c r="N1082" s="3" t="s">
        <v>2695</v>
      </c>
      <c r="S1082" s="4" t="str">
        <f t="shared" si="1"/>
        <v>2018</v>
      </c>
    </row>
    <row r="1083">
      <c r="A1083" s="3">
        <v>4564.0</v>
      </c>
      <c r="B1083" s="3" t="b">
        <v>0</v>
      </c>
      <c r="C1083" s="3" t="s">
        <v>282</v>
      </c>
      <c r="G1083" s="3" t="s">
        <v>2696</v>
      </c>
      <c r="K1083" s="3" t="b">
        <v>0</v>
      </c>
      <c r="L1083" s="3" t="s">
        <v>2697</v>
      </c>
      <c r="N1083" s="3" t="s">
        <v>2698</v>
      </c>
      <c r="S1083" s="4" t="str">
        <f t="shared" si="1"/>
        <v>2018</v>
      </c>
    </row>
    <row r="1084">
      <c r="A1084" s="3">
        <v>4531.0</v>
      </c>
      <c r="B1084" s="3" t="b">
        <v>0</v>
      </c>
      <c r="C1084" s="3" t="s">
        <v>35</v>
      </c>
      <c r="G1084" s="3" t="s">
        <v>2699</v>
      </c>
      <c r="K1084" s="3" t="b">
        <v>1</v>
      </c>
      <c r="L1084" s="3" t="s">
        <v>1914</v>
      </c>
      <c r="N1084" s="3" t="s">
        <v>2700</v>
      </c>
      <c r="O1084" s="7">
        <v>4.0</v>
      </c>
      <c r="P1084" s="7">
        <v>4.0</v>
      </c>
      <c r="S1084" s="4" t="str">
        <f t="shared" si="1"/>
        <v>2018</v>
      </c>
    </row>
    <row r="1085">
      <c r="A1085" s="3">
        <v>4500.0</v>
      </c>
      <c r="B1085" s="3" t="b">
        <v>0</v>
      </c>
      <c r="C1085" s="3" t="s">
        <v>278</v>
      </c>
      <c r="G1085" s="3" t="s">
        <v>2701</v>
      </c>
      <c r="K1085" s="3" t="b">
        <v>0</v>
      </c>
      <c r="L1085" s="3" t="s">
        <v>2702</v>
      </c>
      <c r="N1085" s="3" t="s">
        <v>2703</v>
      </c>
      <c r="S1085" s="4" t="str">
        <f t="shared" si="1"/>
        <v>2018</v>
      </c>
    </row>
    <row r="1086">
      <c r="A1086" s="3">
        <v>4064.0</v>
      </c>
      <c r="B1086" s="3" t="b">
        <v>0</v>
      </c>
      <c r="C1086" s="3" t="s">
        <v>156</v>
      </c>
      <c r="G1086" s="3" t="s">
        <v>2704</v>
      </c>
      <c r="K1086" s="3" t="b">
        <v>0</v>
      </c>
      <c r="L1086" s="3" t="s">
        <v>2705</v>
      </c>
      <c r="N1086" s="3" t="s">
        <v>2706</v>
      </c>
      <c r="S1086" s="4" t="str">
        <f t="shared" si="1"/>
        <v>2018</v>
      </c>
    </row>
    <row r="1087">
      <c r="A1087" s="3">
        <v>3889.0</v>
      </c>
      <c r="B1087" s="3" t="b">
        <v>0</v>
      </c>
      <c r="C1087" s="3" t="s">
        <v>54</v>
      </c>
      <c r="G1087" s="3" t="s">
        <v>2701</v>
      </c>
      <c r="K1087" s="3" t="b">
        <v>1</v>
      </c>
      <c r="L1087" s="3" t="s">
        <v>2707</v>
      </c>
      <c r="M1087" s="7">
        <v>196.0</v>
      </c>
      <c r="N1087" s="3" t="s">
        <v>2708</v>
      </c>
      <c r="S1087" s="4" t="str">
        <f t="shared" si="1"/>
        <v>2018</v>
      </c>
    </row>
    <row r="1088">
      <c r="A1088" s="3">
        <v>3716.0</v>
      </c>
      <c r="B1088" s="3" t="b">
        <v>0</v>
      </c>
      <c r="C1088" s="3" t="s">
        <v>54</v>
      </c>
      <c r="G1088" s="3" t="s">
        <v>2709</v>
      </c>
      <c r="J1088" s="7">
        <v>1.0</v>
      </c>
      <c r="K1088" s="3" t="b">
        <v>1</v>
      </c>
      <c r="L1088" s="3" t="s">
        <v>2710</v>
      </c>
      <c r="N1088" s="3" t="s">
        <v>2711</v>
      </c>
      <c r="S1088" s="4" t="str">
        <f t="shared" si="1"/>
        <v>2018</v>
      </c>
    </row>
    <row r="1089">
      <c r="A1089" s="3">
        <v>3674.0</v>
      </c>
      <c r="B1089" s="3" t="b">
        <v>0</v>
      </c>
      <c r="C1089" s="3" t="s">
        <v>50</v>
      </c>
      <c r="G1089" s="3" t="s">
        <v>2712</v>
      </c>
      <c r="K1089" s="3" t="b">
        <v>0</v>
      </c>
      <c r="L1089" s="3" t="s">
        <v>2713</v>
      </c>
      <c r="N1089" s="3" t="s">
        <v>2714</v>
      </c>
      <c r="S1089" s="4" t="str">
        <f t="shared" si="1"/>
        <v>2018</v>
      </c>
    </row>
    <row r="1090">
      <c r="A1090" s="3">
        <v>3380.0</v>
      </c>
      <c r="B1090" s="3" t="b">
        <v>0</v>
      </c>
      <c r="C1090" s="3" t="s">
        <v>23</v>
      </c>
      <c r="G1090" s="3" t="s">
        <v>2715</v>
      </c>
      <c r="K1090" s="3" t="b">
        <v>0</v>
      </c>
      <c r="L1090" s="3" t="s">
        <v>2716</v>
      </c>
      <c r="N1090" s="3" t="s">
        <v>2717</v>
      </c>
      <c r="S1090" s="4" t="str">
        <f t="shared" si="1"/>
        <v>2018</v>
      </c>
    </row>
    <row r="1091">
      <c r="A1091" s="3">
        <v>2995.0</v>
      </c>
      <c r="B1091" s="3" t="b">
        <v>0</v>
      </c>
      <c r="C1091" s="3" t="s">
        <v>1768</v>
      </c>
      <c r="G1091" s="3" t="s">
        <v>2679</v>
      </c>
      <c r="K1091" s="3" t="b">
        <v>0</v>
      </c>
      <c r="L1091" s="3" t="s">
        <v>2718</v>
      </c>
      <c r="N1091" s="3" t="s">
        <v>2719</v>
      </c>
      <c r="S1091" s="4" t="str">
        <f t="shared" si="1"/>
        <v>2018</v>
      </c>
    </row>
    <row r="1092">
      <c r="A1092" s="3">
        <v>2956.0</v>
      </c>
      <c r="B1092" s="3" t="b">
        <v>0</v>
      </c>
      <c r="C1092" s="3" t="s">
        <v>54</v>
      </c>
      <c r="G1092" s="3" t="s">
        <v>2720</v>
      </c>
      <c r="K1092" s="3" t="b">
        <v>1</v>
      </c>
      <c r="L1092" s="3" t="s">
        <v>1060</v>
      </c>
      <c r="N1092" s="3" t="s">
        <v>2721</v>
      </c>
      <c r="P1092" s="7">
        <v>5.0</v>
      </c>
      <c r="S1092" s="4" t="str">
        <f t="shared" si="1"/>
        <v>2018</v>
      </c>
    </row>
    <row r="1093">
      <c r="A1093" s="3">
        <v>2950.0</v>
      </c>
      <c r="B1093" s="3" t="b">
        <v>0</v>
      </c>
      <c r="C1093" s="3" t="s">
        <v>69</v>
      </c>
      <c r="G1093" s="3" t="s">
        <v>2676</v>
      </c>
      <c r="K1093" s="3" t="b">
        <v>0</v>
      </c>
      <c r="L1093" s="3" t="s">
        <v>1939</v>
      </c>
      <c r="N1093" s="3" t="s">
        <v>2722</v>
      </c>
      <c r="S1093" s="4" t="str">
        <f t="shared" si="1"/>
        <v>2018</v>
      </c>
    </row>
    <row r="1094">
      <c r="A1094" s="3">
        <v>2883.0</v>
      </c>
      <c r="B1094" s="3" t="b">
        <v>0</v>
      </c>
      <c r="C1094" s="3" t="s">
        <v>162</v>
      </c>
      <c r="D1094" s="7">
        <v>20.0</v>
      </c>
      <c r="E1094" s="7">
        <v>3.0</v>
      </c>
      <c r="F1094" s="7">
        <v>22.0</v>
      </c>
      <c r="G1094" s="3" t="s">
        <v>2723</v>
      </c>
      <c r="I1094" s="7">
        <v>7.0</v>
      </c>
      <c r="K1094" s="3" t="b">
        <v>1</v>
      </c>
      <c r="L1094" s="3" t="s">
        <v>2724</v>
      </c>
      <c r="M1094" s="7">
        <v>564.0</v>
      </c>
      <c r="N1094" s="3" t="s">
        <v>2725</v>
      </c>
      <c r="S1094" s="4" t="str">
        <f t="shared" si="1"/>
        <v>2018</v>
      </c>
    </row>
    <row r="1095">
      <c r="A1095" s="3">
        <v>2490.0</v>
      </c>
      <c r="B1095" s="3" t="b">
        <v>0</v>
      </c>
      <c r="C1095" s="3" t="s">
        <v>166</v>
      </c>
      <c r="G1095" s="3" t="s">
        <v>2726</v>
      </c>
      <c r="K1095" s="3" t="b">
        <v>1</v>
      </c>
      <c r="L1095" s="3" t="s">
        <v>2727</v>
      </c>
      <c r="N1095" s="3" t="s">
        <v>2728</v>
      </c>
      <c r="S1095" s="4" t="str">
        <f t="shared" si="1"/>
        <v>2018</v>
      </c>
    </row>
    <row r="1096">
      <c r="A1096" s="3">
        <v>2290.0</v>
      </c>
      <c r="B1096" s="3" t="b">
        <v>0</v>
      </c>
      <c r="C1096" s="3" t="s">
        <v>212</v>
      </c>
      <c r="G1096" s="3" t="s">
        <v>2729</v>
      </c>
      <c r="K1096" s="3" t="b">
        <v>1</v>
      </c>
      <c r="L1096" s="3" t="s">
        <v>2730</v>
      </c>
      <c r="N1096" s="3" t="s">
        <v>2731</v>
      </c>
      <c r="P1096" s="7">
        <v>1.0</v>
      </c>
      <c r="S1096" s="4" t="str">
        <f t="shared" si="1"/>
        <v>2018</v>
      </c>
    </row>
    <row r="1097">
      <c r="A1097" s="3">
        <v>2225.0</v>
      </c>
      <c r="B1097" s="3" t="b">
        <v>0</v>
      </c>
      <c r="C1097" s="3" t="s">
        <v>114</v>
      </c>
      <c r="G1097" s="3" t="s">
        <v>2679</v>
      </c>
      <c r="K1097" s="3" t="b">
        <v>0</v>
      </c>
      <c r="L1097" s="3" t="s">
        <v>2732</v>
      </c>
      <c r="N1097" s="3" t="s">
        <v>2733</v>
      </c>
      <c r="S1097" s="4" t="str">
        <f t="shared" si="1"/>
        <v>2018</v>
      </c>
    </row>
    <row r="1098">
      <c r="A1098" s="3">
        <v>2162.0</v>
      </c>
      <c r="B1098" s="3" t="b">
        <v>0</v>
      </c>
      <c r="C1098" s="3" t="s">
        <v>278</v>
      </c>
      <c r="D1098" s="7">
        <v>4.0</v>
      </c>
      <c r="E1098" s="7">
        <v>2.0</v>
      </c>
      <c r="F1098" s="7">
        <v>11.0</v>
      </c>
      <c r="G1098" s="3" t="s">
        <v>2671</v>
      </c>
      <c r="I1098" s="7">
        <v>1.0</v>
      </c>
      <c r="K1098" s="3" t="b">
        <v>1</v>
      </c>
      <c r="L1098" s="3" t="s">
        <v>767</v>
      </c>
      <c r="M1098" s="7">
        <v>180.0</v>
      </c>
      <c r="N1098" s="3" t="s">
        <v>2734</v>
      </c>
      <c r="P1098" s="7">
        <v>1.0</v>
      </c>
      <c r="R1098" s="7">
        <v>10.0</v>
      </c>
      <c r="S1098" s="4" t="str">
        <f t="shared" si="1"/>
        <v>2018</v>
      </c>
    </row>
    <row r="1099">
      <c r="A1099" s="3">
        <v>2100.0</v>
      </c>
      <c r="B1099" s="3" t="b">
        <v>0</v>
      </c>
      <c r="C1099" s="3" t="s">
        <v>145</v>
      </c>
      <c r="G1099" s="3" t="s">
        <v>2735</v>
      </c>
      <c r="K1099" s="3" t="b">
        <v>0</v>
      </c>
      <c r="L1099" s="3" t="s">
        <v>2090</v>
      </c>
      <c r="N1099" s="3" t="s">
        <v>2736</v>
      </c>
      <c r="S1099" s="4" t="str">
        <f t="shared" si="1"/>
        <v>2018</v>
      </c>
    </row>
    <row r="1100">
      <c r="A1100" s="3">
        <v>2070.0</v>
      </c>
      <c r="B1100" s="3" t="b">
        <v>0</v>
      </c>
      <c r="C1100" s="3" t="s">
        <v>162</v>
      </c>
      <c r="G1100" s="3" t="s">
        <v>2737</v>
      </c>
      <c r="K1100" s="3" t="b">
        <v>1</v>
      </c>
      <c r="L1100" s="3" t="s">
        <v>2036</v>
      </c>
      <c r="N1100" s="3" t="s">
        <v>2738</v>
      </c>
      <c r="S1100" s="4" t="str">
        <f t="shared" si="1"/>
        <v>2018</v>
      </c>
    </row>
    <row r="1101">
      <c r="A1101" s="3">
        <v>1900.0</v>
      </c>
      <c r="B1101" s="3" t="b">
        <v>0</v>
      </c>
      <c r="C1101" s="3" t="s">
        <v>58</v>
      </c>
      <c r="G1101" s="3" t="s">
        <v>2668</v>
      </c>
      <c r="K1101" s="3" t="b">
        <v>1</v>
      </c>
      <c r="L1101" s="3" t="s">
        <v>2739</v>
      </c>
      <c r="N1101" s="3" t="s">
        <v>2740</v>
      </c>
      <c r="S1101" s="4" t="str">
        <f t="shared" si="1"/>
        <v>2018</v>
      </c>
    </row>
    <row r="1102">
      <c r="A1102" s="3">
        <v>1756.0</v>
      </c>
      <c r="B1102" s="3" t="b">
        <v>0</v>
      </c>
      <c r="C1102" s="3" t="s">
        <v>282</v>
      </c>
      <c r="G1102" s="3" t="s">
        <v>2741</v>
      </c>
      <c r="K1102" s="3" t="b">
        <v>0</v>
      </c>
      <c r="L1102" s="3" t="s">
        <v>2742</v>
      </c>
      <c r="N1102" s="3" t="s">
        <v>2743</v>
      </c>
      <c r="S1102" s="4" t="str">
        <f t="shared" si="1"/>
        <v>2018</v>
      </c>
    </row>
    <row r="1103">
      <c r="A1103" s="3">
        <v>1751.0</v>
      </c>
      <c r="B1103" s="3" t="b">
        <v>0</v>
      </c>
      <c r="C1103" s="3" t="s">
        <v>630</v>
      </c>
      <c r="G1103" s="3" t="s">
        <v>2744</v>
      </c>
      <c r="K1103" s="3" t="b">
        <v>0</v>
      </c>
      <c r="L1103" s="3" t="s">
        <v>2745</v>
      </c>
      <c r="N1103" s="3" t="s">
        <v>2746</v>
      </c>
      <c r="S1103" s="4" t="str">
        <f t="shared" si="1"/>
        <v>2018</v>
      </c>
    </row>
    <row r="1104">
      <c r="A1104" s="3">
        <v>1678.0</v>
      </c>
      <c r="B1104" s="3" t="b">
        <v>0</v>
      </c>
      <c r="C1104" s="3" t="s">
        <v>58</v>
      </c>
      <c r="G1104" s="3" t="s">
        <v>2684</v>
      </c>
      <c r="J1104" s="7">
        <v>1.0</v>
      </c>
      <c r="K1104" s="3" t="b">
        <v>1</v>
      </c>
      <c r="L1104" s="3" t="s">
        <v>329</v>
      </c>
      <c r="N1104" s="3" t="s">
        <v>2747</v>
      </c>
      <c r="P1104" s="7">
        <v>11.0</v>
      </c>
      <c r="S1104" s="4" t="str">
        <f t="shared" si="1"/>
        <v>2018</v>
      </c>
    </row>
    <row r="1105">
      <c r="A1105" s="3">
        <v>1500.0</v>
      </c>
      <c r="B1105" s="3" t="b">
        <v>0</v>
      </c>
      <c r="C1105" s="3" t="s">
        <v>278</v>
      </c>
      <c r="G1105" s="3" t="s">
        <v>2748</v>
      </c>
      <c r="K1105" s="3" t="b">
        <v>0</v>
      </c>
      <c r="L1105" s="3" t="s">
        <v>2749</v>
      </c>
      <c r="N1105" s="3" t="s">
        <v>2750</v>
      </c>
      <c r="S1105" s="4" t="str">
        <f t="shared" si="1"/>
        <v>2018</v>
      </c>
    </row>
    <row r="1106">
      <c r="A1106" s="3">
        <v>1500.0</v>
      </c>
      <c r="B1106" s="3" t="b">
        <v>0</v>
      </c>
      <c r="C1106" s="3" t="s">
        <v>149</v>
      </c>
      <c r="G1106" s="3" t="s">
        <v>2704</v>
      </c>
      <c r="K1106" s="3" t="b">
        <v>0</v>
      </c>
      <c r="L1106" s="3" t="s">
        <v>1977</v>
      </c>
      <c r="N1106" s="3" t="s">
        <v>2751</v>
      </c>
      <c r="S1106" s="4" t="str">
        <f t="shared" si="1"/>
        <v>2018</v>
      </c>
    </row>
    <row r="1107">
      <c r="A1107" s="3">
        <v>1352.0</v>
      </c>
      <c r="B1107" s="3" t="b">
        <v>0</v>
      </c>
      <c r="C1107" s="3" t="s">
        <v>23</v>
      </c>
      <c r="G1107" s="3" t="s">
        <v>2752</v>
      </c>
      <c r="K1107" s="3" t="b">
        <v>0</v>
      </c>
      <c r="L1107" s="3" t="s">
        <v>2049</v>
      </c>
      <c r="N1107" s="3" t="s">
        <v>2753</v>
      </c>
      <c r="S1107" s="4" t="str">
        <f t="shared" si="1"/>
        <v>2018</v>
      </c>
    </row>
    <row r="1108">
      <c r="A1108" s="3">
        <v>1350.0</v>
      </c>
      <c r="B1108" s="3" t="b">
        <v>0</v>
      </c>
      <c r="C1108" s="3" t="s">
        <v>134</v>
      </c>
      <c r="G1108" s="3" t="s">
        <v>2673</v>
      </c>
      <c r="K1108" s="3" t="b">
        <v>1</v>
      </c>
      <c r="L1108" s="3" t="s">
        <v>440</v>
      </c>
      <c r="N1108" s="3" t="s">
        <v>2754</v>
      </c>
      <c r="S1108" s="4" t="str">
        <f t="shared" si="1"/>
        <v>2018</v>
      </c>
    </row>
    <row r="1109">
      <c r="A1109" s="3">
        <v>1314.0</v>
      </c>
      <c r="B1109" s="3" t="b">
        <v>0</v>
      </c>
      <c r="C1109" s="3" t="s">
        <v>170</v>
      </c>
      <c r="G1109" s="3" t="s">
        <v>2752</v>
      </c>
      <c r="K1109" s="3" t="b">
        <v>1</v>
      </c>
      <c r="L1109" s="3" t="s">
        <v>2755</v>
      </c>
      <c r="N1109" s="3" t="s">
        <v>2756</v>
      </c>
      <c r="S1109" s="4" t="str">
        <f t="shared" si="1"/>
        <v>2018</v>
      </c>
    </row>
    <row r="1110">
      <c r="A1110" s="3">
        <v>1265.0</v>
      </c>
      <c r="B1110" s="3" t="b">
        <v>0</v>
      </c>
      <c r="C1110" s="3" t="s">
        <v>162</v>
      </c>
      <c r="D1110" s="7">
        <v>12.0</v>
      </c>
      <c r="E1110" s="7">
        <v>1.0</v>
      </c>
      <c r="F1110" s="7">
        <v>17.0</v>
      </c>
      <c r="G1110" s="3" t="s">
        <v>2757</v>
      </c>
      <c r="I1110" s="7">
        <v>2.0</v>
      </c>
      <c r="K1110" s="3" t="b">
        <v>1</v>
      </c>
      <c r="L1110" s="3" t="s">
        <v>2758</v>
      </c>
      <c r="M1110" s="7">
        <v>325.0</v>
      </c>
      <c r="N1110" s="3" t="s">
        <v>2759</v>
      </c>
      <c r="S1110" s="4" t="str">
        <f t="shared" si="1"/>
        <v>2018</v>
      </c>
    </row>
    <row r="1111">
      <c r="A1111" s="3">
        <v>1261.0</v>
      </c>
      <c r="B1111" s="3" t="b">
        <v>0</v>
      </c>
      <c r="C1111" s="3" t="s">
        <v>27</v>
      </c>
      <c r="G1111" s="3" t="s">
        <v>2760</v>
      </c>
      <c r="K1111" s="3" t="b">
        <v>0</v>
      </c>
      <c r="L1111" s="3" t="s">
        <v>2761</v>
      </c>
      <c r="N1111" s="3" t="s">
        <v>2762</v>
      </c>
      <c r="S1111" s="4" t="str">
        <f t="shared" si="1"/>
        <v>2018</v>
      </c>
    </row>
    <row r="1112">
      <c r="A1112" s="3">
        <v>1200.0</v>
      </c>
      <c r="B1112" s="3" t="b">
        <v>0</v>
      </c>
      <c r="C1112" s="3" t="s">
        <v>1412</v>
      </c>
      <c r="G1112" s="3" t="s">
        <v>2763</v>
      </c>
      <c r="K1112" s="3" t="b">
        <v>0</v>
      </c>
      <c r="L1112" s="3" t="s">
        <v>348</v>
      </c>
      <c r="N1112" s="3" t="s">
        <v>2764</v>
      </c>
      <c r="S1112" s="4" t="str">
        <f t="shared" si="1"/>
        <v>2018</v>
      </c>
    </row>
    <row r="1113">
      <c r="A1113" s="3">
        <v>1120.0</v>
      </c>
      <c r="B1113" s="3" t="b">
        <v>0</v>
      </c>
      <c r="C1113" s="3" t="s">
        <v>31</v>
      </c>
      <c r="G1113" s="3" t="s">
        <v>2765</v>
      </c>
      <c r="K1113" s="3" t="b">
        <v>1</v>
      </c>
      <c r="L1113" s="3" t="s">
        <v>888</v>
      </c>
      <c r="N1113" s="3" t="s">
        <v>2766</v>
      </c>
      <c r="S1113" s="4" t="str">
        <f t="shared" si="1"/>
        <v>2018</v>
      </c>
    </row>
    <row r="1114">
      <c r="A1114" s="3">
        <v>1014.0</v>
      </c>
      <c r="B1114" s="3" t="b">
        <v>0</v>
      </c>
      <c r="C1114" s="3" t="s">
        <v>97</v>
      </c>
      <c r="G1114" s="3" t="s">
        <v>2767</v>
      </c>
      <c r="K1114" s="3" t="b">
        <v>0</v>
      </c>
      <c r="L1114" s="3" t="s">
        <v>2768</v>
      </c>
      <c r="N1114" s="3" t="s">
        <v>2769</v>
      </c>
      <c r="S1114" s="4" t="str">
        <f t="shared" si="1"/>
        <v>2018</v>
      </c>
    </row>
    <row r="1115">
      <c r="A1115" s="3">
        <v>993.0</v>
      </c>
      <c r="B1115" s="3" t="b">
        <v>0</v>
      </c>
      <c r="C1115" s="3" t="s">
        <v>69</v>
      </c>
      <c r="G1115" s="3" t="s">
        <v>2681</v>
      </c>
      <c r="K1115" s="3" t="b">
        <v>0</v>
      </c>
      <c r="L1115" s="3" t="s">
        <v>2410</v>
      </c>
      <c r="N1115" s="3" t="s">
        <v>2770</v>
      </c>
      <c r="S1115" s="4" t="str">
        <f t="shared" si="1"/>
        <v>2018</v>
      </c>
    </row>
    <row r="1116">
      <c r="A1116" s="3">
        <v>972.0</v>
      </c>
      <c r="B1116" s="3" t="b">
        <v>0</v>
      </c>
      <c r="C1116" s="3" t="s">
        <v>313</v>
      </c>
      <c r="G1116" s="3" t="s">
        <v>2771</v>
      </c>
      <c r="K1116" s="3" t="b">
        <v>0</v>
      </c>
      <c r="L1116" s="3" t="s">
        <v>2772</v>
      </c>
      <c r="N1116" s="3" t="s">
        <v>2773</v>
      </c>
      <c r="S1116" s="4" t="str">
        <f t="shared" si="1"/>
        <v>2018</v>
      </c>
    </row>
    <row r="1117">
      <c r="A1117" s="3">
        <v>962.0</v>
      </c>
      <c r="B1117" s="3" t="b">
        <v>0</v>
      </c>
      <c r="C1117" s="3" t="s">
        <v>87</v>
      </c>
      <c r="G1117" s="3" t="s">
        <v>2656</v>
      </c>
      <c r="K1117" s="3" t="b">
        <v>1</v>
      </c>
      <c r="L1117" s="3" t="s">
        <v>566</v>
      </c>
      <c r="N1117" s="3" t="s">
        <v>2774</v>
      </c>
      <c r="S1117" s="4" t="str">
        <f t="shared" si="1"/>
        <v>2018</v>
      </c>
    </row>
    <row r="1118">
      <c r="A1118" s="3">
        <v>856.0</v>
      </c>
      <c r="B1118" s="3" t="b">
        <v>0</v>
      </c>
      <c r="C1118" s="3" t="s">
        <v>54</v>
      </c>
      <c r="G1118" s="3" t="s">
        <v>2775</v>
      </c>
      <c r="K1118" s="3" t="b">
        <v>0</v>
      </c>
      <c r="L1118" s="3" t="s">
        <v>2776</v>
      </c>
      <c r="N1118" s="3" t="s">
        <v>2777</v>
      </c>
      <c r="S1118" s="4" t="str">
        <f t="shared" si="1"/>
        <v>2018</v>
      </c>
    </row>
    <row r="1119">
      <c r="A1119" s="3">
        <v>825.0</v>
      </c>
      <c r="B1119" s="3" t="b">
        <v>0</v>
      </c>
      <c r="C1119" s="3" t="s">
        <v>324</v>
      </c>
      <c r="D1119" s="7">
        <v>4.0</v>
      </c>
      <c r="E1119" s="7">
        <v>2.0</v>
      </c>
      <c r="F1119" s="7">
        <v>15.0</v>
      </c>
      <c r="G1119" s="3" t="s">
        <v>2723</v>
      </c>
      <c r="I1119" s="7">
        <v>1.0</v>
      </c>
      <c r="K1119" s="3" t="b">
        <v>1</v>
      </c>
      <c r="L1119" s="3" t="s">
        <v>2778</v>
      </c>
      <c r="N1119" s="3" t="s">
        <v>2779</v>
      </c>
      <c r="P1119" s="7">
        <v>1.0</v>
      </c>
      <c r="S1119" s="4" t="str">
        <f t="shared" si="1"/>
        <v>2018</v>
      </c>
    </row>
    <row r="1120">
      <c r="A1120" s="3">
        <v>822.0</v>
      </c>
      <c r="B1120" s="3" t="b">
        <v>0</v>
      </c>
      <c r="C1120" s="3" t="s">
        <v>240</v>
      </c>
      <c r="G1120" s="3" t="s">
        <v>2780</v>
      </c>
      <c r="K1120" s="3" t="b">
        <v>0</v>
      </c>
      <c r="L1120" s="3" t="s">
        <v>2781</v>
      </c>
      <c r="N1120" s="3" t="s">
        <v>2782</v>
      </c>
      <c r="S1120" s="4" t="str">
        <f t="shared" si="1"/>
        <v>2018</v>
      </c>
    </row>
    <row r="1121">
      <c r="A1121" s="3">
        <v>700.0</v>
      </c>
      <c r="B1121" s="3" t="b">
        <v>0</v>
      </c>
      <c r="C1121" s="3" t="s">
        <v>31</v>
      </c>
      <c r="G1121" s="3" t="s">
        <v>2763</v>
      </c>
      <c r="K1121" s="3" t="b">
        <v>0</v>
      </c>
      <c r="L1121" s="3" t="s">
        <v>2783</v>
      </c>
      <c r="N1121" s="3" t="s">
        <v>2784</v>
      </c>
      <c r="S1121" s="4" t="str">
        <f t="shared" si="1"/>
        <v>2018</v>
      </c>
    </row>
    <row r="1122">
      <c r="A1122" s="3">
        <v>668.0</v>
      </c>
      <c r="B1122" s="3" t="b">
        <v>0</v>
      </c>
      <c r="C1122" s="3" t="s">
        <v>94</v>
      </c>
      <c r="G1122" s="3" t="s">
        <v>2785</v>
      </c>
      <c r="K1122" s="3" t="b">
        <v>0</v>
      </c>
      <c r="L1122" s="3" t="s">
        <v>164</v>
      </c>
      <c r="N1122" s="3" t="s">
        <v>2786</v>
      </c>
      <c r="S1122" s="4" t="str">
        <f t="shared" si="1"/>
        <v>2018</v>
      </c>
    </row>
    <row r="1123">
      <c r="A1123" s="3">
        <v>650.0</v>
      </c>
      <c r="B1123" s="3" t="b">
        <v>0</v>
      </c>
      <c r="C1123" s="3" t="s">
        <v>114</v>
      </c>
      <c r="G1123" s="3" t="s">
        <v>2671</v>
      </c>
      <c r="K1123" s="3" t="b">
        <v>0</v>
      </c>
      <c r="L1123" s="3" t="s">
        <v>604</v>
      </c>
      <c r="N1123" s="3" t="s">
        <v>2787</v>
      </c>
      <c r="S1123" s="4" t="str">
        <f t="shared" si="1"/>
        <v>2018</v>
      </c>
    </row>
    <row r="1124">
      <c r="A1124" s="3">
        <v>646.0</v>
      </c>
      <c r="B1124" s="3" t="b">
        <v>0</v>
      </c>
      <c r="C1124" s="3" t="s">
        <v>320</v>
      </c>
      <c r="G1124" s="3" t="s">
        <v>2696</v>
      </c>
      <c r="K1124" s="3" t="b">
        <v>0</v>
      </c>
      <c r="L1124" s="3" t="s">
        <v>2788</v>
      </c>
      <c r="N1124" s="3" t="s">
        <v>2789</v>
      </c>
      <c r="S1124" s="4" t="str">
        <f t="shared" si="1"/>
        <v>2018</v>
      </c>
    </row>
    <row r="1125">
      <c r="A1125" s="3">
        <v>640.0</v>
      </c>
      <c r="B1125" s="3" t="b">
        <v>0</v>
      </c>
      <c r="C1125" s="3" t="s">
        <v>205</v>
      </c>
      <c r="G1125" s="3" t="s">
        <v>2790</v>
      </c>
      <c r="K1125" s="3" t="b">
        <v>1</v>
      </c>
      <c r="L1125" s="3" t="s">
        <v>406</v>
      </c>
      <c r="N1125" s="3" t="s">
        <v>2791</v>
      </c>
      <c r="S1125" s="4" t="str">
        <f t="shared" si="1"/>
        <v>2018</v>
      </c>
    </row>
    <row r="1126">
      <c r="A1126" s="3">
        <v>573.0</v>
      </c>
      <c r="B1126" s="3" t="b">
        <v>0</v>
      </c>
      <c r="C1126" s="3" t="s">
        <v>19</v>
      </c>
      <c r="G1126" s="3" t="s">
        <v>2726</v>
      </c>
      <c r="K1126" s="3" t="b">
        <v>0</v>
      </c>
      <c r="L1126" s="3" t="s">
        <v>1054</v>
      </c>
      <c r="N1126" s="3" t="s">
        <v>2792</v>
      </c>
      <c r="S1126" s="4" t="str">
        <f t="shared" si="1"/>
        <v>2018</v>
      </c>
    </row>
    <row r="1127">
      <c r="A1127" s="3">
        <v>550.0</v>
      </c>
      <c r="B1127" s="3" t="b">
        <v>0</v>
      </c>
      <c r="C1127" s="3" t="s">
        <v>87</v>
      </c>
      <c r="G1127" s="3" t="s">
        <v>2793</v>
      </c>
      <c r="K1127" s="3" t="b">
        <v>0</v>
      </c>
      <c r="L1127" s="3" t="s">
        <v>764</v>
      </c>
      <c r="N1127" s="3" t="s">
        <v>2794</v>
      </c>
      <c r="S1127" s="4" t="str">
        <f t="shared" si="1"/>
        <v>2018</v>
      </c>
    </row>
    <row r="1128">
      <c r="A1128" s="3">
        <v>513.0</v>
      </c>
      <c r="B1128" s="3" t="b">
        <v>0</v>
      </c>
      <c r="C1128" s="3" t="s">
        <v>170</v>
      </c>
      <c r="G1128" s="3" t="s">
        <v>2795</v>
      </c>
      <c r="K1128" s="3" t="b">
        <v>1</v>
      </c>
      <c r="L1128" s="3" t="s">
        <v>2796</v>
      </c>
      <c r="N1128" s="3" t="s">
        <v>2797</v>
      </c>
      <c r="S1128" s="4" t="str">
        <f t="shared" si="1"/>
        <v>2018</v>
      </c>
    </row>
    <row r="1129">
      <c r="A1129" s="3">
        <v>504.0</v>
      </c>
      <c r="B1129" s="3" t="b">
        <v>0</v>
      </c>
      <c r="C1129" s="3" t="s">
        <v>62</v>
      </c>
      <c r="G1129" s="3" t="s">
        <v>2673</v>
      </c>
      <c r="K1129" s="3" t="b">
        <v>1</v>
      </c>
      <c r="L1129" s="3" t="s">
        <v>826</v>
      </c>
      <c r="N1129" s="3" t="s">
        <v>2798</v>
      </c>
      <c r="P1129" s="3">
        <v>48.0</v>
      </c>
      <c r="S1129" s="4" t="str">
        <f t="shared" si="1"/>
        <v>2018</v>
      </c>
    </row>
    <row r="1130">
      <c r="A1130" s="3">
        <v>484.0</v>
      </c>
      <c r="B1130" s="3" t="b">
        <v>0</v>
      </c>
      <c r="C1130" s="3" t="s">
        <v>205</v>
      </c>
      <c r="G1130" s="3" t="s">
        <v>2799</v>
      </c>
      <c r="K1130" s="3" t="b">
        <v>0</v>
      </c>
      <c r="L1130" s="3" t="s">
        <v>406</v>
      </c>
      <c r="N1130" s="3" t="s">
        <v>2800</v>
      </c>
      <c r="P1130" s="3">
        <v>1.0</v>
      </c>
      <c r="S1130" s="4" t="str">
        <f t="shared" si="1"/>
        <v>2018</v>
      </c>
    </row>
    <row r="1131">
      <c r="A1131" s="3">
        <v>441.0</v>
      </c>
      <c r="B1131" s="3" t="b">
        <v>0</v>
      </c>
      <c r="C1131" s="3" t="s">
        <v>320</v>
      </c>
      <c r="G1131" s="3" t="s">
        <v>2801</v>
      </c>
      <c r="K1131" s="3" t="b">
        <v>0</v>
      </c>
      <c r="L1131" s="3" t="s">
        <v>2802</v>
      </c>
      <c r="N1131" s="3" t="s">
        <v>2803</v>
      </c>
      <c r="P1131" s="3">
        <v>4.0</v>
      </c>
      <c r="S1131" s="4" t="str">
        <f t="shared" si="1"/>
        <v>2018</v>
      </c>
    </row>
    <row r="1132">
      <c r="A1132" s="3">
        <v>400.0</v>
      </c>
      <c r="B1132" s="3" t="b">
        <v>0</v>
      </c>
      <c r="C1132" s="3" t="s">
        <v>114</v>
      </c>
      <c r="G1132" s="3" t="s">
        <v>2804</v>
      </c>
      <c r="K1132" s="3" t="b">
        <v>0</v>
      </c>
      <c r="L1132" s="3" t="s">
        <v>1315</v>
      </c>
      <c r="N1132" s="3" t="s">
        <v>2805</v>
      </c>
      <c r="S1132" s="4" t="str">
        <f t="shared" si="1"/>
        <v>2018</v>
      </c>
    </row>
    <row r="1133">
      <c r="A1133" s="3">
        <v>375.0</v>
      </c>
      <c r="B1133" s="3" t="b">
        <v>0</v>
      </c>
      <c r="C1133" s="3" t="s">
        <v>114</v>
      </c>
      <c r="G1133" s="3" t="s">
        <v>2806</v>
      </c>
      <c r="K1133" s="3" t="b">
        <v>0</v>
      </c>
      <c r="L1133" s="3" t="s">
        <v>2807</v>
      </c>
      <c r="N1133" s="3" t="s">
        <v>2808</v>
      </c>
      <c r="S1133" s="4" t="str">
        <f t="shared" si="1"/>
        <v>2018</v>
      </c>
    </row>
    <row r="1134">
      <c r="A1134" s="3">
        <v>367.0</v>
      </c>
      <c r="B1134" s="3" t="b">
        <v>0</v>
      </c>
      <c r="C1134" s="3" t="s">
        <v>69</v>
      </c>
      <c r="G1134" s="3" t="s">
        <v>2767</v>
      </c>
      <c r="K1134" s="3" t="b">
        <v>0</v>
      </c>
      <c r="L1134" s="3" t="s">
        <v>2809</v>
      </c>
      <c r="N1134" s="3" t="s">
        <v>2810</v>
      </c>
      <c r="S1134" s="4" t="str">
        <f t="shared" si="1"/>
        <v>2018</v>
      </c>
    </row>
    <row r="1135">
      <c r="A1135" s="3">
        <v>365.0</v>
      </c>
      <c r="B1135" s="3" t="b">
        <v>0</v>
      </c>
      <c r="C1135" s="3" t="s">
        <v>62</v>
      </c>
      <c r="G1135" s="3" t="s">
        <v>2681</v>
      </c>
      <c r="K1135" s="3" t="b">
        <v>1</v>
      </c>
      <c r="L1135" s="3" t="s">
        <v>2811</v>
      </c>
      <c r="N1135" s="3" t="s">
        <v>2812</v>
      </c>
      <c r="S1135" s="4" t="str">
        <f t="shared" si="1"/>
        <v>2018</v>
      </c>
    </row>
    <row r="1136">
      <c r="A1136" s="3">
        <v>360.0</v>
      </c>
      <c r="B1136" s="3" t="b">
        <v>0</v>
      </c>
      <c r="C1136" s="3" t="s">
        <v>156</v>
      </c>
      <c r="G1136" s="3" t="s">
        <v>2715</v>
      </c>
      <c r="K1136" s="3" t="b">
        <v>1</v>
      </c>
      <c r="L1136" s="3" t="s">
        <v>730</v>
      </c>
      <c r="N1136" s="3" t="s">
        <v>2813</v>
      </c>
      <c r="S1136" s="4" t="str">
        <f t="shared" si="1"/>
        <v>2018</v>
      </c>
    </row>
    <row r="1137">
      <c r="A1137" s="3">
        <v>347.0</v>
      </c>
      <c r="B1137" s="3" t="b">
        <v>0</v>
      </c>
      <c r="C1137" s="3" t="s">
        <v>87</v>
      </c>
      <c r="G1137" s="3" t="s">
        <v>2801</v>
      </c>
      <c r="K1137" s="3" t="b">
        <v>0</v>
      </c>
      <c r="L1137" s="3" t="s">
        <v>2814</v>
      </c>
      <c r="N1137" s="3" t="s">
        <v>2815</v>
      </c>
      <c r="S1137" s="4" t="str">
        <f t="shared" si="1"/>
        <v>2018</v>
      </c>
    </row>
    <row r="1138">
      <c r="A1138" s="3">
        <v>338.0</v>
      </c>
      <c r="B1138" s="3" t="b">
        <v>0</v>
      </c>
      <c r="C1138" s="3" t="s">
        <v>162</v>
      </c>
      <c r="G1138" s="3" t="s">
        <v>2771</v>
      </c>
      <c r="K1138" s="3" t="b">
        <v>0</v>
      </c>
      <c r="L1138" s="3" t="s">
        <v>2309</v>
      </c>
      <c r="N1138" s="3" t="s">
        <v>2816</v>
      </c>
      <c r="S1138" s="4" t="str">
        <f t="shared" si="1"/>
        <v>2018</v>
      </c>
    </row>
    <row r="1139">
      <c r="A1139" s="3">
        <v>328.0</v>
      </c>
      <c r="B1139" s="3" t="b">
        <v>0</v>
      </c>
      <c r="C1139" s="3" t="s">
        <v>58</v>
      </c>
      <c r="G1139" s="3" t="s">
        <v>2709</v>
      </c>
      <c r="K1139" s="3" t="b">
        <v>0</v>
      </c>
      <c r="L1139" s="3" t="s">
        <v>2817</v>
      </c>
      <c r="N1139" s="3" t="s">
        <v>2818</v>
      </c>
      <c r="S1139" s="4" t="str">
        <f t="shared" si="1"/>
        <v>2018</v>
      </c>
    </row>
    <row r="1140">
      <c r="A1140" s="3">
        <v>320.0</v>
      </c>
      <c r="B1140" s="3" t="b">
        <v>0</v>
      </c>
      <c r="C1140" s="3" t="s">
        <v>401</v>
      </c>
      <c r="D1140" s="7">
        <v>1.0</v>
      </c>
      <c r="F1140" s="7">
        <v>5.0</v>
      </c>
      <c r="G1140" s="3" t="s">
        <v>2648</v>
      </c>
      <c r="K1140" s="3" t="b">
        <v>1</v>
      </c>
      <c r="L1140" s="3" t="s">
        <v>2232</v>
      </c>
      <c r="M1140" s="7">
        <v>150.0</v>
      </c>
      <c r="N1140" s="3" t="s">
        <v>2819</v>
      </c>
      <c r="P1140" s="7">
        <v>1.0</v>
      </c>
      <c r="S1140" s="4" t="str">
        <f t="shared" si="1"/>
        <v>2018</v>
      </c>
    </row>
    <row r="1141">
      <c r="A1141" s="3">
        <v>316.0</v>
      </c>
      <c r="B1141" s="3" t="b">
        <v>0</v>
      </c>
      <c r="C1141" s="3" t="s">
        <v>130</v>
      </c>
      <c r="G1141" s="3" t="s">
        <v>2820</v>
      </c>
      <c r="K1141" s="3" t="b">
        <v>0</v>
      </c>
      <c r="L1141" s="3" t="s">
        <v>2821</v>
      </c>
      <c r="N1141" s="3" t="s">
        <v>2822</v>
      </c>
      <c r="S1141" s="4" t="str">
        <f t="shared" si="1"/>
        <v>2018</v>
      </c>
    </row>
    <row r="1142">
      <c r="A1142" s="3">
        <v>300.0</v>
      </c>
      <c r="B1142" s="3" t="b">
        <v>0</v>
      </c>
      <c r="C1142" s="3" t="s">
        <v>630</v>
      </c>
      <c r="G1142" s="3" t="s">
        <v>2801</v>
      </c>
      <c r="K1142" s="3" t="b">
        <v>1</v>
      </c>
      <c r="L1142" s="3" t="s">
        <v>1015</v>
      </c>
      <c r="N1142" s="3" t="s">
        <v>2823</v>
      </c>
      <c r="S1142" s="4" t="str">
        <f t="shared" si="1"/>
        <v>2018</v>
      </c>
    </row>
    <row r="1143">
      <c r="A1143" s="3">
        <v>300.0</v>
      </c>
      <c r="B1143" s="3" t="b">
        <v>0</v>
      </c>
      <c r="C1143" s="3" t="s">
        <v>156</v>
      </c>
      <c r="G1143" s="3" t="s">
        <v>2795</v>
      </c>
      <c r="K1143" s="3" t="b">
        <v>0</v>
      </c>
      <c r="L1143" s="3" t="s">
        <v>2824</v>
      </c>
      <c r="N1143" s="3" t="s">
        <v>2825</v>
      </c>
      <c r="S1143" s="4" t="str">
        <f t="shared" si="1"/>
        <v>2018</v>
      </c>
    </row>
    <row r="1144">
      <c r="A1144" s="3">
        <v>300.0</v>
      </c>
      <c r="B1144" s="3" t="b">
        <v>0</v>
      </c>
      <c r="C1144" s="3" t="s">
        <v>62</v>
      </c>
      <c r="G1144" s="3" t="s">
        <v>2741</v>
      </c>
      <c r="K1144" s="3" t="b">
        <v>0</v>
      </c>
      <c r="L1144" s="3" t="s">
        <v>2826</v>
      </c>
      <c r="N1144" s="3" t="s">
        <v>2827</v>
      </c>
      <c r="S1144" s="4" t="str">
        <f t="shared" si="1"/>
        <v>2018</v>
      </c>
    </row>
    <row r="1145">
      <c r="A1145" s="3">
        <v>293.0</v>
      </c>
      <c r="B1145" s="3" t="b">
        <v>0</v>
      </c>
      <c r="C1145" s="3" t="s">
        <v>69</v>
      </c>
      <c r="G1145" s="3" t="s">
        <v>2828</v>
      </c>
      <c r="K1145" s="3" t="b">
        <v>0</v>
      </c>
      <c r="L1145" s="3" t="s">
        <v>2829</v>
      </c>
      <c r="N1145" s="3" t="s">
        <v>2830</v>
      </c>
      <c r="S1145" s="4" t="str">
        <f t="shared" si="1"/>
        <v>2018</v>
      </c>
    </row>
    <row r="1146">
      <c r="A1146" s="3">
        <v>290.0</v>
      </c>
      <c r="B1146" s="3" t="b">
        <v>0</v>
      </c>
      <c r="C1146" s="3" t="s">
        <v>411</v>
      </c>
      <c r="G1146" s="3" t="s">
        <v>2679</v>
      </c>
      <c r="K1146" s="3" t="b">
        <v>0</v>
      </c>
      <c r="L1146" s="3" t="s">
        <v>2831</v>
      </c>
      <c r="N1146" s="3" t="s">
        <v>2832</v>
      </c>
      <c r="S1146" s="4" t="str">
        <f t="shared" si="1"/>
        <v>2018</v>
      </c>
    </row>
    <row r="1147">
      <c r="A1147" s="3">
        <v>289.0</v>
      </c>
      <c r="B1147" s="3" t="b">
        <v>0</v>
      </c>
      <c r="C1147" s="3" t="s">
        <v>156</v>
      </c>
      <c r="G1147" s="3" t="s">
        <v>2833</v>
      </c>
      <c r="K1147" s="3" t="b">
        <v>0</v>
      </c>
      <c r="L1147" s="3" t="s">
        <v>2018</v>
      </c>
      <c r="N1147" s="3" t="s">
        <v>2834</v>
      </c>
      <c r="S1147" s="4" t="str">
        <f t="shared" si="1"/>
        <v>2018</v>
      </c>
    </row>
    <row r="1148">
      <c r="A1148" s="3">
        <v>282.0</v>
      </c>
      <c r="B1148" s="3" t="b">
        <v>0</v>
      </c>
      <c r="C1148" s="3" t="s">
        <v>27</v>
      </c>
      <c r="G1148" s="3" t="s">
        <v>2835</v>
      </c>
      <c r="K1148" s="3" t="b">
        <v>0</v>
      </c>
      <c r="L1148" s="3" t="s">
        <v>2836</v>
      </c>
      <c r="N1148" s="3" t="s">
        <v>2837</v>
      </c>
      <c r="S1148" s="4" t="str">
        <f t="shared" si="1"/>
        <v>2018</v>
      </c>
    </row>
    <row r="1149">
      <c r="A1149" s="3">
        <v>278.0</v>
      </c>
      <c r="B1149" s="3" t="b">
        <v>0</v>
      </c>
      <c r="C1149" s="3" t="s">
        <v>170</v>
      </c>
      <c r="G1149" s="3" t="s">
        <v>2838</v>
      </c>
      <c r="K1149" s="3" t="b">
        <v>0</v>
      </c>
      <c r="L1149" s="3" t="s">
        <v>2531</v>
      </c>
      <c r="N1149" s="3" t="s">
        <v>2839</v>
      </c>
      <c r="S1149" s="4" t="str">
        <f t="shared" si="1"/>
        <v>2018</v>
      </c>
    </row>
    <row r="1150">
      <c r="A1150" s="3">
        <v>268.0</v>
      </c>
      <c r="B1150" s="3" t="b">
        <v>0</v>
      </c>
      <c r="C1150" s="3" t="s">
        <v>80</v>
      </c>
      <c r="G1150" s="3" t="s">
        <v>2690</v>
      </c>
      <c r="K1150" s="3" t="b">
        <v>0</v>
      </c>
      <c r="L1150" s="3" t="s">
        <v>440</v>
      </c>
      <c r="N1150" s="3" t="s">
        <v>2840</v>
      </c>
      <c r="S1150" s="4" t="str">
        <f t="shared" si="1"/>
        <v>2018</v>
      </c>
    </row>
    <row r="1151">
      <c r="A1151" s="3">
        <v>268.0</v>
      </c>
      <c r="B1151" s="3" t="b">
        <v>0</v>
      </c>
      <c r="C1151" s="3" t="s">
        <v>54</v>
      </c>
      <c r="G1151" s="3" t="s">
        <v>2709</v>
      </c>
      <c r="K1151" s="3" t="b">
        <v>1</v>
      </c>
      <c r="L1151" s="3" t="s">
        <v>2841</v>
      </c>
      <c r="N1151" s="3" t="s">
        <v>2842</v>
      </c>
      <c r="P1151" s="7">
        <v>24.0</v>
      </c>
      <c r="S1151" s="4" t="str">
        <f t="shared" si="1"/>
        <v>2018</v>
      </c>
    </row>
    <row r="1152">
      <c r="A1152" s="3">
        <v>265.0</v>
      </c>
      <c r="B1152" s="3" t="b">
        <v>0</v>
      </c>
      <c r="C1152" s="3" t="s">
        <v>62</v>
      </c>
      <c r="G1152" s="3" t="s">
        <v>2843</v>
      </c>
      <c r="J1152" s="7">
        <v>1.0</v>
      </c>
      <c r="K1152" s="3" t="b">
        <v>1</v>
      </c>
      <c r="L1152" s="3" t="s">
        <v>2844</v>
      </c>
      <c r="N1152" s="3" t="s">
        <v>2845</v>
      </c>
      <c r="S1152" s="4" t="str">
        <f t="shared" si="1"/>
        <v>2018</v>
      </c>
    </row>
    <row r="1153">
      <c r="A1153" s="3">
        <v>261.0</v>
      </c>
      <c r="B1153" s="3" t="b">
        <v>0</v>
      </c>
      <c r="C1153" s="3" t="s">
        <v>54</v>
      </c>
      <c r="G1153" s="3" t="s">
        <v>2846</v>
      </c>
      <c r="K1153" s="3" t="b">
        <v>0</v>
      </c>
      <c r="L1153" s="3" t="s">
        <v>2325</v>
      </c>
      <c r="N1153" s="3" t="s">
        <v>2847</v>
      </c>
      <c r="S1153" s="4" t="str">
        <f t="shared" si="1"/>
        <v>2018</v>
      </c>
    </row>
    <row r="1154">
      <c r="A1154" s="3">
        <v>260.0</v>
      </c>
      <c r="B1154" s="3" t="b">
        <v>0</v>
      </c>
      <c r="C1154" s="3" t="s">
        <v>149</v>
      </c>
      <c r="G1154" s="3" t="s">
        <v>2848</v>
      </c>
      <c r="K1154" s="3" t="b">
        <v>0</v>
      </c>
      <c r="L1154" s="3" t="s">
        <v>1219</v>
      </c>
      <c r="N1154" s="3" t="s">
        <v>2849</v>
      </c>
      <c r="S1154" s="4" t="str">
        <f t="shared" si="1"/>
        <v>2018</v>
      </c>
    </row>
    <row r="1155">
      <c r="A1155" s="3">
        <v>258.0</v>
      </c>
      <c r="B1155" s="3" t="b">
        <v>0</v>
      </c>
      <c r="C1155" s="3" t="s">
        <v>97</v>
      </c>
      <c r="G1155" s="3" t="s">
        <v>2850</v>
      </c>
      <c r="K1155" s="3" t="b">
        <v>0</v>
      </c>
      <c r="L1155" s="3" t="s">
        <v>2851</v>
      </c>
      <c r="N1155" s="3" t="s">
        <v>2852</v>
      </c>
      <c r="S1155" s="4" t="str">
        <f t="shared" si="1"/>
        <v>2018</v>
      </c>
    </row>
    <row r="1156">
      <c r="A1156" s="3">
        <v>250.0</v>
      </c>
      <c r="B1156" s="3" t="b">
        <v>0</v>
      </c>
      <c r="C1156" s="3" t="s">
        <v>62</v>
      </c>
      <c r="G1156" s="3" t="s">
        <v>2668</v>
      </c>
      <c r="K1156" s="3" t="b">
        <v>0</v>
      </c>
      <c r="L1156" s="3" t="s">
        <v>2853</v>
      </c>
      <c r="N1156" s="3" t="s">
        <v>2854</v>
      </c>
      <c r="S1156" s="4" t="str">
        <f t="shared" si="1"/>
        <v>2018</v>
      </c>
    </row>
    <row r="1157">
      <c r="A1157" s="3">
        <v>247.0</v>
      </c>
      <c r="B1157" s="3" t="b">
        <v>0</v>
      </c>
      <c r="C1157" s="3" t="s">
        <v>80</v>
      </c>
      <c r="G1157" s="3" t="s">
        <v>2855</v>
      </c>
      <c r="J1157" s="7">
        <v>1.0</v>
      </c>
      <c r="K1157" s="3" t="b">
        <v>1</v>
      </c>
      <c r="L1157" s="3" t="s">
        <v>737</v>
      </c>
      <c r="N1157" s="3" t="s">
        <v>2856</v>
      </c>
      <c r="P1157" s="7">
        <v>1.0</v>
      </c>
      <c r="S1157" s="4" t="str">
        <f t="shared" si="1"/>
        <v>2018</v>
      </c>
    </row>
    <row r="1158">
      <c r="A1158" s="3">
        <v>224.0</v>
      </c>
      <c r="B1158" s="3" t="b">
        <v>0</v>
      </c>
      <c r="C1158" s="3" t="s">
        <v>46</v>
      </c>
      <c r="G1158" s="3" t="s">
        <v>2857</v>
      </c>
      <c r="K1158" s="3" t="b">
        <v>1</v>
      </c>
      <c r="L1158" s="3" t="s">
        <v>2858</v>
      </c>
      <c r="N1158" s="3" t="s">
        <v>2859</v>
      </c>
      <c r="S1158" s="4" t="str">
        <f t="shared" si="1"/>
        <v>2018</v>
      </c>
    </row>
    <row r="1159">
      <c r="A1159" s="3">
        <v>215.0</v>
      </c>
      <c r="B1159" s="3" t="b">
        <v>0</v>
      </c>
      <c r="C1159" s="3" t="s">
        <v>46</v>
      </c>
      <c r="G1159" s="3" t="s">
        <v>2820</v>
      </c>
      <c r="K1159" s="3" t="b">
        <v>0</v>
      </c>
      <c r="L1159" s="3" t="s">
        <v>2860</v>
      </c>
      <c r="N1159" s="3" t="s">
        <v>2861</v>
      </c>
      <c r="S1159" s="4" t="str">
        <f t="shared" si="1"/>
        <v>2018</v>
      </c>
    </row>
    <row r="1160">
      <c r="A1160" s="3">
        <v>215.0</v>
      </c>
      <c r="B1160" s="3" t="b">
        <v>0</v>
      </c>
      <c r="C1160" s="3" t="s">
        <v>170</v>
      </c>
      <c r="G1160" s="3" t="s">
        <v>2862</v>
      </c>
      <c r="K1160" s="3" t="b">
        <v>0</v>
      </c>
      <c r="L1160" s="3" t="s">
        <v>533</v>
      </c>
      <c r="N1160" s="3" t="s">
        <v>2863</v>
      </c>
      <c r="S1160" s="4" t="str">
        <f t="shared" si="1"/>
        <v>2018</v>
      </c>
    </row>
    <row r="1161">
      <c r="A1161" s="3">
        <v>207.0</v>
      </c>
      <c r="B1161" s="3" t="b">
        <v>0</v>
      </c>
      <c r="C1161" s="3" t="s">
        <v>62</v>
      </c>
      <c r="G1161" s="3" t="s">
        <v>2864</v>
      </c>
      <c r="K1161" s="3" t="b">
        <v>1</v>
      </c>
      <c r="L1161" s="3" t="s">
        <v>1683</v>
      </c>
      <c r="N1161" s="3" t="s">
        <v>2865</v>
      </c>
      <c r="S1161" s="4" t="str">
        <f t="shared" si="1"/>
        <v>2018</v>
      </c>
    </row>
    <row r="1162">
      <c r="A1162" s="3">
        <v>205.0</v>
      </c>
      <c r="B1162" s="3" t="b">
        <v>0</v>
      </c>
      <c r="C1162" s="3" t="s">
        <v>27</v>
      </c>
      <c r="G1162" s="3" t="s">
        <v>2645</v>
      </c>
      <c r="K1162" s="3" t="b">
        <v>0</v>
      </c>
      <c r="L1162" s="3" t="s">
        <v>2866</v>
      </c>
      <c r="N1162" s="3" t="s">
        <v>2867</v>
      </c>
      <c r="S1162" s="4" t="str">
        <f t="shared" si="1"/>
        <v>2018</v>
      </c>
    </row>
    <row r="1163">
      <c r="A1163" s="3">
        <v>200.0</v>
      </c>
      <c r="B1163" s="3" t="b">
        <v>0</v>
      </c>
      <c r="C1163" s="3" t="s">
        <v>69</v>
      </c>
      <c r="G1163" s="3" t="s">
        <v>2726</v>
      </c>
      <c r="K1163" s="3" t="b">
        <v>0</v>
      </c>
      <c r="L1163" s="3" t="s">
        <v>128</v>
      </c>
      <c r="N1163" s="3" t="s">
        <v>2868</v>
      </c>
      <c r="S1163" s="4" t="str">
        <f t="shared" si="1"/>
        <v>2018</v>
      </c>
    </row>
    <row r="1164">
      <c r="A1164" s="3">
        <v>200.0</v>
      </c>
      <c r="B1164" s="3" t="b">
        <v>0</v>
      </c>
      <c r="C1164" s="3" t="s">
        <v>282</v>
      </c>
      <c r="G1164" s="3" t="s">
        <v>2720</v>
      </c>
      <c r="K1164" s="3" t="b">
        <v>0</v>
      </c>
      <c r="L1164" s="3" t="s">
        <v>2039</v>
      </c>
      <c r="N1164" s="3" t="s">
        <v>2869</v>
      </c>
      <c r="S1164" s="4" t="str">
        <f t="shared" si="1"/>
        <v>2018</v>
      </c>
    </row>
    <row r="1165">
      <c r="A1165" s="3">
        <v>191.0</v>
      </c>
      <c r="B1165" s="3" t="b">
        <v>0</v>
      </c>
      <c r="C1165" s="3" t="s">
        <v>87</v>
      </c>
      <c r="G1165" s="3" t="s">
        <v>2820</v>
      </c>
      <c r="K1165" s="3" t="b">
        <v>0</v>
      </c>
      <c r="L1165" s="3" t="s">
        <v>2870</v>
      </c>
      <c r="N1165" s="3" t="s">
        <v>2871</v>
      </c>
      <c r="S1165" s="4" t="str">
        <f t="shared" si="1"/>
        <v>2018</v>
      </c>
    </row>
    <row r="1166">
      <c r="A1166" s="3">
        <v>186.0</v>
      </c>
      <c r="B1166" s="3" t="b">
        <v>0</v>
      </c>
      <c r="C1166" s="3" t="s">
        <v>35</v>
      </c>
      <c r="G1166" s="3" t="s">
        <v>2872</v>
      </c>
      <c r="K1166" s="3" t="b">
        <v>0</v>
      </c>
      <c r="L1166" s="3" t="s">
        <v>1988</v>
      </c>
      <c r="N1166" s="3" t="s">
        <v>2873</v>
      </c>
      <c r="S1166" s="4" t="str">
        <f t="shared" si="1"/>
        <v>2018</v>
      </c>
    </row>
    <row r="1167">
      <c r="A1167" s="3">
        <v>185.0</v>
      </c>
      <c r="B1167" s="3" t="b">
        <v>0</v>
      </c>
      <c r="C1167" s="3" t="s">
        <v>282</v>
      </c>
      <c r="G1167" s="3" t="s">
        <v>2874</v>
      </c>
      <c r="K1167" s="3" t="b">
        <v>0</v>
      </c>
      <c r="L1167" s="3" t="s">
        <v>1353</v>
      </c>
      <c r="N1167" s="3" t="s">
        <v>2875</v>
      </c>
      <c r="S1167" s="4" t="str">
        <f t="shared" si="1"/>
        <v>2018</v>
      </c>
    </row>
    <row r="1168">
      <c r="A1168" s="3">
        <v>175.0</v>
      </c>
      <c r="B1168" s="3" t="b">
        <v>0</v>
      </c>
      <c r="C1168" s="3" t="s">
        <v>23</v>
      </c>
      <c r="G1168" s="3" t="s">
        <v>2876</v>
      </c>
      <c r="K1168" s="3" t="b">
        <v>0</v>
      </c>
      <c r="L1168" s="3" t="s">
        <v>2831</v>
      </c>
      <c r="N1168" s="3" t="s">
        <v>2877</v>
      </c>
      <c r="S1168" s="4" t="str">
        <f t="shared" si="1"/>
        <v>2018</v>
      </c>
    </row>
    <row r="1169">
      <c r="A1169" s="3">
        <v>175.0</v>
      </c>
      <c r="B1169" s="3" t="b">
        <v>0</v>
      </c>
      <c r="C1169" s="3" t="s">
        <v>435</v>
      </c>
      <c r="G1169" s="3" t="s">
        <v>2878</v>
      </c>
      <c r="K1169" s="3" t="b">
        <v>0</v>
      </c>
      <c r="L1169" s="3" t="s">
        <v>2879</v>
      </c>
      <c r="N1169" s="3" t="s">
        <v>2880</v>
      </c>
      <c r="S1169" s="4" t="str">
        <f t="shared" si="1"/>
        <v>2018</v>
      </c>
    </row>
    <row r="1170">
      <c r="A1170" s="3">
        <v>172.0</v>
      </c>
      <c r="B1170" s="3" t="b">
        <v>0</v>
      </c>
      <c r="C1170" s="3" t="s">
        <v>97</v>
      </c>
      <c r="G1170" s="3" t="s">
        <v>2881</v>
      </c>
      <c r="K1170" s="3" t="b">
        <v>0</v>
      </c>
      <c r="L1170" s="3" t="s">
        <v>2882</v>
      </c>
      <c r="N1170" s="3" t="s">
        <v>2883</v>
      </c>
      <c r="S1170" s="4" t="str">
        <f t="shared" si="1"/>
        <v>2018</v>
      </c>
    </row>
    <row r="1171">
      <c r="A1171" s="3">
        <v>170.0</v>
      </c>
      <c r="B1171" s="3" t="b">
        <v>0</v>
      </c>
      <c r="C1171" s="3" t="s">
        <v>54</v>
      </c>
      <c r="G1171" s="3" t="s">
        <v>2709</v>
      </c>
      <c r="K1171" s="3" t="b">
        <v>0</v>
      </c>
      <c r="L1171" s="3" t="s">
        <v>223</v>
      </c>
      <c r="N1171" s="3" t="s">
        <v>2884</v>
      </c>
      <c r="S1171" s="4" t="str">
        <f t="shared" si="1"/>
        <v>2018</v>
      </c>
    </row>
    <row r="1172">
      <c r="A1172" s="3">
        <v>167.0</v>
      </c>
      <c r="B1172" s="3" t="b">
        <v>0</v>
      </c>
      <c r="C1172" s="3" t="s">
        <v>114</v>
      </c>
      <c r="G1172" s="3" t="s">
        <v>2885</v>
      </c>
      <c r="K1172" s="3" t="b">
        <v>0</v>
      </c>
      <c r="L1172" s="3" t="s">
        <v>2886</v>
      </c>
      <c r="N1172" s="3" t="s">
        <v>2887</v>
      </c>
      <c r="S1172" s="4" t="str">
        <f t="shared" si="1"/>
        <v>2018</v>
      </c>
    </row>
    <row r="1173">
      <c r="A1173" s="3">
        <v>167.0</v>
      </c>
      <c r="B1173" s="3" t="b">
        <v>0</v>
      </c>
      <c r="C1173" s="3" t="s">
        <v>320</v>
      </c>
      <c r="G1173" s="3" t="s">
        <v>2888</v>
      </c>
      <c r="J1173" s="7">
        <v>1.0</v>
      </c>
      <c r="K1173" s="3" t="b">
        <v>1</v>
      </c>
      <c r="L1173" s="3" t="s">
        <v>2889</v>
      </c>
      <c r="N1173" s="3" t="s">
        <v>2890</v>
      </c>
      <c r="S1173" s="4" t="str">
        <f t="shared" si="1"/>
        <v>2018</v>
      </c>
    </row>
    <row r="1174">
      <c r="A1174" s="3">
        <v>166.0</v>
      </c>
      <c r="B1174" s="3" t="b">
        <v>0</v>
      </c>
      <c r="C1174" s="3" t="s">
        <v>23</v>
      </c>
      <c r="G1174" s="3" t="s">
        <v>2891</v>
      </c>
      <c r="K1174" s="3" t="b">
        <v>0</v>
      </c>
      <c r="L1174" s="3" t="s">
        <v>1142</v>
      </c>
      <c r="N1174" s="3" t="s">
        <v>2892</v>
      </c>
      <c r="S1174" s="4" t="str">
        <f t="shared" si="1"/>
        <v>2018</v>
      </c>
    </row>
    <row r="1175">
      <c r="A1175" s="3">
        <v>163.0</v>
      </c>
      <c r="B1175" s="3" t="b">
        <v>0</v>
      </c>
      <c r="C1175" s="3" t="s">
        <v>19</v>
      </c>
      <c r="G1175" s="3" t="s">
        <v>2684</v>
      </c>
      <c r="K1175" s="3" t="b">
        <v>1</v>
      </c>
      <c r="L1175" s="3" t="s">
        <v>1015</v>
      </c>
      <c r="N1175" s="3" t="s">
        <v>2893</v>
      </c>
      <c r="S1175" s="4" t="str">
        <f t="shared" si="1"/>
        <v>2018</v>
      </c>
    </row>
    <row r="1176">
      <c r="A1176" s="3">
        <v>160.0</v>
      </c>
      <c r="B1176" s="3" t="b">
        <v>0</v>
      </c>
      <c r="C1176" s="3" t="s">
        <v>278</v>
      </c>
      <c r="G1176" s="3" t="s">
        <v>2894</v>
      </c>
      <c r="K1176" s="3" t="b">
        <v>0</v>
      </c>
      <c r="L1176" s="3" t="s">
        <v>1889</v>
      </c>
      <c r="N1176" s="3" t="s">
        <v>2895</v>
      </c>
      <c r="S1176" s="4" t="str">
        <f t="shared" si="1"/>
        <v>2018</v>
      </c>
    </row>
    <row r="1177">
      <c r="A1177" s="3">
        <v>155.0</v>
      </c>
      <c r="B1177" s="3" t="b">
        <v>0</v>
      </c>
      <c r="C1177" s="3" t="s">
        <v>58</v>
      </c>
      <c r="G1177" s="3" t="s">
        <v>2767</v>
      </c>
      <c r="K1177" s="3" t="b">
        <v>0</v>
      </c>
      <c r="L1177" s="3" t="s">
        <v>2896</v>
      </c>
      <c r="N1177" s="3" t="s">
        <v>2897</v>
      </c>
      <c r="S1177" s="4" t="str">
        <f t="shared" si="1"/>
        <v>2018</v>
      </c>
    </row>
    <row r="1178">
      <c r="A1178" s="3">
        <v>155.0</v>
      </c>
      <c r="B1178" s="3" t="b">
        <v>0</v>
      </c>
      <c r="C1178" s="3" t="s">
        <v>435</v>
      </c>
      <c r="G1178" s="3" t="s">
        <v>2876</v>
      </c>
      <c r="K1178" s="3" t="b">
        <v>0</v>
      </c>
      <c r="L1178" s="3" t="s">
        <v>2898</v>
      </c>
      <c r="N1178" s="3" t="s">
        <v>2899</v>
      </c>
      <c r="S1178" s="4" t="str">
        <f t="shared" si="1"/>
        <v>2018</v>
      </c>
    </row>
    <row r="1179">
      <c r="A1179" s="3">
        <v>154.0</v>
      </c>
      <c r="B1179" s="3" t="b">
        <v>0</v>
      </c>
      <c r="C1179" s="3" t="s">
        <v>27</v>
      </c>
      <c r="G1179" s="3" t="s">
        <v>2862</v>
      </c>
      <c r="K1179" s="3" t="b">
        <v>0</v>
      </c>
      <c r="L1179" s="3" t="s">
        <v>2900</v>
      </c>
      <c r="N1179" s="3" t="s">
        <v>2901</v>
      </c>
      <c r="S1179" s="4" t="str">
        <f t="shared" si="1"/>
        <v>2018</v>
      </c>
    </row>
    <row r="1180">
      <c r="A1180" s="3">
        <v>152.0</v>
      </c>
      <c r="B1180" s="3" t="b">
        <v>0</v>
      </c>
      <c r="C1180" s="3" t="s">
        <v>2397</v>
      </c>
      <c r="G1180" s="3" t="s">
        <v>2891</v>
      </c>
      <c r="K1180" s="3" t="b">
        <v>1</v>
      </c>
      <c r="L1180" s="3" t="s">
        <v>2902</v>
      </c>
      <c r="N1180" s="3" t="s">
        <v>2903</v>
      </c>
      <c r="S1180" s="4" t="str">
        <f t="shared" si="1"/>
        <v>2018</v>
      </c>
    </row>
    <row r="1181">
      <c r="A1181" s="3">
        <v>150.0</v>
      </c>
      <c r="B1181" s="3" t="b">
        <v>0</v>
      </c>
      <c r="C1181" s="3" t="s">
        <v>35</v>
      </c>
      <c r="G1181" s="3" t="s">
        <v>2904</v>
      </c>
      <c r="K1181" s="3" t="b">
        <v>0</v>
      </c>
      <c r="L1181" s="3" t="s">
        <v>1444</v>
      </c>
      <c r="N1181" s="3" t="s">
        <v>2905</v>
      </c>
      <c r="S1181" s="4" t="str">
        <f t="shared" si="1"/>
        <v>2018</v>
      </c>
    </row>
    <row r="1182">
      <c r="A1182" s="3">
        <v>150.0</v>
      </c>
      <c r="B1182" s="3" t="b">
        <v>0</v>
      </c>
      <c r="C1182" s="3" t="s">
        <v>114</v>
      </c>
      <c r="G1182" s="3" t="s">
        <v>2701</v>
      </c>
      <c r="K1182" s="3" t="b">
        <v>0</v>
      </c>
      <c r="L1182" s="3" t="s">
        <v>2515</v>
      </c>
      <c r="N1182" s="3" t="s">
        <v>2906</v>
      </c>
      <c r="S1182" s="4" t="str">
        <f t="shared" si="1"/>
        <v>2018</v>
      </c>
    </row>
    <row r="1183">
      <c r="A1183" s="3">
        <v>150.0</v>
      </c>
      <c r="B1183" s="3" t="b">
        <v>0</v>
      </c>
      <c r="C1183" s="3" t="s">
        <v>130</v>
      </c>
      <c r="D1183" s="7">
        <v>12.0</v>
      </c>
      <c r="E1183" s="7">
        <v>1.0</v>
      </c>
      <c r="F1183" s="7">
        <v>30.0</v>
      </c>
      <c r="G1183" s="3" t="s">
        <v>2693</v>
      </c>
      <c r="I1183" s="7">
        <v>2.0</v>
      </c>
      <c r="K1183" s="3" t="b">
        <v>1</v>
      </c>
      <c r="L1183" s="3" t="s">
        <v>2907</v>
      </c>
      <c r="N1183" s="3" t="s">
        <v>2908</v>
      </c>
      <c r="S1183" s="4" t="str">
        <f t="shared" si="1"/>
        <v>2018</v>
      </c>
    </row>
    <row r="1184">
      <c r="A1184" s="3">
        <v>147.0</v>
      </c>
      <c r="B1184" s="3" t="b">
        <v>0</v>
      </c>
      <c r="C1184" s="3" t="s">
        <v>134</v>
      </c>
      <c r="G1184" s="3" t="s">
        <v>2909</v>
      </c>
      <c r="K1184" s="3" t="b">
        <v>0</v>
      </c>
      <c r="L1184" s="3" t="s">
        <v>223</v>
      </c>
      <c r="N1184" s="3" t="s">
        <v>2910</v>
      </c>
      <c r="S1184" s="4" t="str">
        <f t="shared" si="1"/>
        <v>2018</v>
      </c>
    </row>
    <row r="1185">
      <c r="A1185" s="3">
        <v>136.0</v>
      </c>
      <c r="B1185" s="3" t="b">
        <v>0</v>
      </c>
      <c r="C1185" s="3" t="s">
        <v>411</v>
      </c>
      <c r="G1185" s="3" t="s">
        <v>2911</v>
      </c>
      <c r="K1185" s="3" t="b">
        <v>0</v>
      </c>
      <c r="L1185" s="3" t="s">
        <v>2912</v>
      </c>
      <c r="N1185" s="3" t="s">
        <v>2913</v>
      </c>
      <c r="S1185" s="4" t="str">
        <f t="shared" si="1"/>
        <v>2018</v>
      </c>
    </row>
    <row r="1186">
      <c r="A1186" s="3">
        <v>135.0</v>
      </c>
      <c r="B1186" s="3" t="b">
        <v>0</v>
      </c>
      <c r="C1186" s="3" t="s">
        <v>166</v>
      </c>
      <c r="G1186" s="3" t="s">
        <v>2914</v>
      </c>
      <c r="K1186" s="3" t="b">
        <v>1</v>
      </c>
      <c r="L1186" s="3" t="s">
        <v>2915</v>
      </c>
      <c r="N1186" s="3" t="s">
        <v>2916</v>
      </c>
      <c r="O1186" s="7">
        <v>4.0</v>
      </c>
      <c r="P1186" s="7">
        <v>8.0</v>
      </c>
      <c r="S1186" s="4" t="str">
        <f t="shared" si="1"/>
        <v>2018</v>
      </c>
    </row>
    <row r="1187">
      <c r="A1187" s="3">
        <v>128.0</v>
      </c>
      <c r="B1187" s="3" t="b">
        <v>0</v>
      </c>
      <c r="C1187" s="3" t="s">
        <v>23</v>
      </c>
      <c r="G1187" s="3" t="s">
        <v>2648</v>
      </c>
      <c r="K1187" s="3" t="b">
        <v>0</v>
      </c>
      <c r="L1187" s="3" t="s">
        <v>2917</v>
      </c>
      <c r="N1187" s="3" t="s">
        <v>2918</v>
      </c>
      <c r="S1187" s="4" t="str">
        <f t="shared" si="1"/>
        <v>2018</v>
      </c>
    </row>
    <row r="1188">
      <c r="A1188" s="3">
        <v>127.0</v>
      </c>
      <c r="B1188" s="3" t="b">
        <v>0</v>
      </c>
      <c r="C1188" s="3" t="s">
        <v>212</v>
      </c>
      <c r="G1188" s="3" t="s">
        <v>2878</v>
      </c>
      <c r="K1188" s="3" t="b">
        <v>0</v>
      </c>
      <c r="L1188" s="3" t="s">
        <v>2919</v>
      </c>
      <c r="N1188" s="3" t="s">
        <v>2920</v>
      </c>
      <c r="S1188" s="4" t="str">
        <f t="shared" si="1"/>
        <v>2018</v>
      </c>
    </row>
    <row r="1189">
      <c r="A1189" s="3">
        <v>127.0</v>
      </c>
      <c r="B1189" s="3" t="b">
        <v>0</v>
      </c>
      <c r="C1189" s="3" t="s">
        <v>46</v>
      </c>
      <c r="G1189" s="3" t="s">
        <v>2828</v>
      </c>
      <c r="K1189" s="3" t="b">
        <v>0</v>
      </c>
      <c r="L1189" s="3" t="s">
        <v>2921</v>
      </c>
      <c r="N1189" s="3" t="s">
        <v>2922</v>
      </c>
      <c r="S1189" s="4" t="str">
        <f t="shared" si="1"/>
        <v>2018</v>
      </c>
    </row>
    <row r="1190">
      <c r="A1190" s="3">
        <v>125.0</v>
      </c>
      <c r="B1190" s="3" t="b">
        <v>0</v>
      </c>
      <c r="C1190" s="3" t="s">
        <v>134</v>
      </c>
      <c r="G1190" s="3" t="s">
        <v>2881</v>
      </c>
      <c r="K1190" s="3" t="b">
        <v>0</v>
      </c>
      <c r="L1190" s="3" t="s">
        <v>2923</v>
      </c>
      <c r="N1190" s="3" t="s">
        <v>2924</v>
      </c>
      <c r="S1190" s="4" t="str">
        <f t="shared" si="1"/>
        <v>2018</v>
      </c>
    </row>
    <row r="1191">
      <c r="A1191" s="3">
        <v>120.0</v>
      </c>
      <c r="B1191" s="3" t="b">
        <v>0</v>
      </c>
      <c r="C1191" s="3" t="s">
        <v>94</v>
      </c>
      <c r="G1191" s="3" t="s">
        <v>2925</v>
      </c>
      <c r="K1191" s="3" t="b">
        <v>0</v>
      </c>
      <c r="L1191" s="3" t="s">
        <v>2926</v>
      </c>
      <c r="N1191" s="3" t="s">
        <v>2927</v>
      </c>
      <c r="S1191" s="4" t="str">
        <f t="shared" si="1"/>
        <v>2018</v>
      </c>
    </row>
    <row r="1192">
      <c r="A1192" s="3">
        <v>117.0</v>
      </c>
      <c r="B1192" s="3" t="b">
        <v>0</v>
      </c>
      <c r="C1192" s="3" t="s">
        <v>138</v>
      </c>
      <c r="G1192" s="3" t="s">
        <v>2928</v>
      </c>
      <c r="K1192" s="3" t="b">
        <v>0</v>
      </c>
      <c r="L1192" s="3" t="s">
        <v>308</v>
      </c>
      <c r="N1192" s="3" t="s">
        <v>2929</v>
      </c>
      <c r="S1192" s="4" t="str">
        <f t="shared" si="1"/>
        <v>2018</v>
      </c>
    </row>
    <row r="1193">
      <c r="A1193" s="3">
        <v>116.0</v>
      </c>
      <c r="B1193" s="3" t="b">
        <v>0</v>
      </c>
      <c r="C1193" s="3" t="s">
        <v>170</v>
      </c>
      <c r="G1193" s="3" t="s">
        <v>2838</v>
      </c>
      <c r="K1193" s="3" t="b">
        <v>0</v>
      </c>
      <c r="L1193" s="3" t="s">
        <v>2930</v>
      </c>
      <c r="N1193" s="3" t="s">
        <v>2931</v>
      </c>
      <c r="S1193" s="4" t="str">
        <f t="shared" si="1"/>
        <v>2018</v>
      </c>
    </row>
    <row r="1194">
      <c r="A1194" s="3">
        <v>116.0</v>
      </c>
      <c r="B1194" s="3" t="b">
        <v>0</v>
      </c>
      <c r="C1194" s="3" t="s">
        <v>401</v>
      </c>
      <c r="G1194" s="3" t="s">
        <v>2723</v>
      </c>
      <c r="K1194" s="3" t="b">
        <v>0</v>
      </c>
      <c r="L1194" s="3" t="s">
        <v>2932</v>
      </c>
      <c r="N1194" s="3" t="s">
        <v>2933</v>
      </c>
      <c r="S1194" s="4" t="str">
        <f t="shared" si="1"/>
        <v>2018</v>
      </c>
    </row>
    <row r="1195">
      <c r="A1195" s="3">
        <v>115.0</v>
      </c>
      <c r="B1195" s="3" t="b">
        <v>0</v>
      </c>
      <c r="C1195" s="3" t="s">
        <v>101</v>
      </c>
      <c r="G1195" s="3" t="s">
        <v>2874</v>
      </c>
      <c r="K1195" s="3" t="b">
        <v>1</v>
      </c>
      <c r="L1195" s="3" t="s">
        <v>380</v>
      </c>
      <c r="N1195" s="3" t="s">
        <v>2934</v>
      </c>
      <c r="S1195" s="4" t="str">
        <f t="shared" si="1"/>
        <v>2018</v>
      </c>
    </row>
    <row r="1196">
      <c r="A1196" s="3">
        <v>114.0</v>
      </c>
      <c r="B1196" s="3" t="b">
        <v>0</v>
      </c>
      <c r="C1196" s="3" t="s">
        <v>69</v>
      </c>
      <c r="G1196" s="3" t="s">
        <v>2712</v>
      </c>
      <c r="K1196" s="3" t="b">
        <v>0</v>
      </c>
      <c r="L1196" s="3" t="s">
        <v>1338</v>
      </c>
      <c r="N1196" s="3" t="s">
        <v>2935</v>
      </c>
      <c r="S1196" s="4" t="str">
        <f t="shared" si="1"/>
        <v>2018</v>
      </c>
    </row>
    <row r="1197">
      <c r="A1197" s="3">
        <v>113.0</v>
      </c>
      <c r="B1197" s="3" t="b">
        <v>0</v>
      </c>
      <c r="C1197" s="3" t="s">
        <v>97</v>
      </c>
      <c r="G1197" s="3" t="s">
        <v>2723</v>
      </c>
      <c r="K1197" s="3" t="b">
        <v>1</v>
      </c>
      <c r="L1197" s="3" t="s">
        <v>2236</v>
      </c>
      <c r="N1197" s="3" t="s">
        <v>2936</v>
      </c>
      <c r="P1197" s="7">
        <v>24.0</v>
      </c>
      <c r="S1197" s="4" t="str">
        <f t="shared" si="1"/>
        <v>2018</v>
      </c>
    </row>
    <row r="1198">
      <c r="A1198" s="3">
        <v>110.0</v>
      </c>
      <c r="B1198" s="3" t="b">
        <v>0</v>
      </c>
      <c r="C1198" s="3" t="s">
        <v>97</v>
      </c>
      <c r="G1198" s="3" t="s">
        <v>2937</v>
      </c>
      <c r="K1198" s="3" t="b">
        <v>0</v>
      </c>
      <c r="L1198" s="3" t="s">
        <v>2938</v>
      </c>
      <c r="N1198" s="3" t="s">
        <v>2939</v>
      </c>
      <c r="S1198" s="4" t="str">
        <f t="shared" si="1"/>
        <v>2018</v>
      </c>
    </row>
    <row r="1199">
      <c r="A1199" s="3">
        <v>108.0</v>
      </c>
      <c r="B1199" s="3" t="b">
        <v>0</v>
      </c>
      <c r="C1199" s="3" t="s">
        <v>39</v>
      </c>
      <c r="G1199" s="3" t="s">
        <v>2940</v>
      </c>
      <c r="K1199" s="3" t="b">
        <v>0</v>
      </c>
      <c r="L1199" s="3" t="s">
        <v>2941</v>
      </c>
      <c r="N1199" s="3" t="s">
        <v>2942</v>
      </c>
      <c r="S1199" s="4" t="str">
        <f t="shared" si="1"/>
        <v>2018</v>
      </c>
    </row>
    <row r="1200">
      <c r="A1200" s="3">
        <v>106.0</v>
      </c>
      <c r="B1200" s="3" t="b">
        <v>0</v>
      </c>
      <c r="C1200" s="3" t="s">
        <v>313</v>
      </c>
      <c r="G1200" s="3" t="s">
        <v>2676</v>
      </c>
      <c r="K1200" s="3" t="b">
        <v>0</v>
      </c>
      <c r="L1200" s="3" t="s">
        <v>2943</v>
      </c>
      <c r="N1200" s="3" t="s">
        <v>2944</v>
      </c>
      <c r="S1200" s="4" t="str">
        <f t="shared" si="1"/>
        <v>2018</v>
      </c>
    </row>
    <row r="1201">
      <c r="A1201" s="3">
        <v>103.0</v>
      </c>
      <c r="B1201" s="3" t="b">
        <v>0</v>
      </c>
      <c r="C1201" s="3" t="s">
        <v>186</v>
      </c>
      <c r="G1201" s="3" t="s">
        <v>2945</v>
      </c>
      <c r="K1201" s="3" t="b">
        <v>0</v>
      </c>
      <c r="L1201" s="3" t="s">
        <v>2946</v>
      </c>
      <c r="N1201" s="3" t="s">
        <v>2947</v>
      </c>
      <c r="S1201" s="4" t="str">
        <f t="shared" si="1"/>
        <v>2018</v>
      </c>
    </row>
    <row r="1202">
      <c r="A1202" s="3">
        <v>103.0</v>
      </c>
      <c r="B1202" s="3" t="b">
        <v>0</v>
      </c>
      <c r="C1202" s="3" t="s">
        <v>54</v>
      </c>
      <c r="G1202" s="3" t="s">
        <v>2760</v>
      </c>
      <c r="K1202" s="3" t="b">
        <v>0</v>
      </c>
      <c r="L1202" s="3" t="s">
        <v>2948</v>
      </c>
      <c r="N1202" s="3" t="s">
        <v>2949</v>
      </c>
      <c r="S1202" s="4" t="str">
        <f t="shared" si="1"/>
        <v>2018</v>
      </c>
    </row>
    <row r="1203">
      <c r="A1203" s="3">
        <v>100.0</v>
      </c>
      <c r="B1203" s="3" t="b">
        <v>0</v>
      </c>
      <c r="C1203" s="3" t="s">
        <v>62</v>
      </c>
      <c r="G1203" s="3" t="s">
        <v>2785</v>
      </c>
      <c r="K1203" s="3" t="b">
        <v>0</v>
      </c>
      <c r="L1203" s="3" t="s">
        <v>491</v>
      </c>
      <c r="N1203" s="3" t="s">
        <v>2950</v>
      </c>
      <c r="S1203" s="4" t="str">
        <f t="shared" si="1"/>
        <v>2018</v>
      </c>
    </row>
    <row r="1204">
      <c r="A1204" s="3">
        <v>100.0</v>
      </c>
      <c r="B1204" s="3" t="b">
        <v>0</v>
      </c>
      <c r="C1204" s="3" t="s">
        <v>94</v>
      </c>
      <c r="G1204" s="3" t="s">
        <v>2645</v>
      </c>
      <c r="K1204" s="3" t="b">
        <v>0</v>
      </c>
      <c r="L1204" s="3" t="s">
        <v>2951</v>
      </c>
      <c r="N1204" s="3" t="s">
        <v>2952</v>
      </c>
      <c r="S1204" s="4" t="str">
        <f t="shared" si="1"/>
        <v>2018</v>
      </c>
    </row>
    <row r="1205">
      <c r="A1205" s="3">
        <v>100.0</v>
      </c>
      <c r="B1205" s="3" t="b">
        <v>0</v>
      </c>
      <c r="C1205" s="3" t="s">
        <v>134</v>
      </c>
      <c r="G1205" s="3" t="s">
        <v>2673</v>
      </c>
      <c r="K1205" s="3" t="b">
        <v>0</v>
      </c>
      <c r="L1205" s="3" t="s">
        <v>2953</v>
      </c>
      <c r="N1205" s="3" t="s">
        <v>2954</v>
      </c>
      <c r="S1205" s="4" t="str">
        <f t="shared" si="1"/>
        <v>2018</v>
      </c>
    </row>
    <row r="1206">
      <c r="A1206" s="3">
        <v>100.0</v>
      </c>
      <c r="B1206" s="3" t="b">
        <v>0</v>
      </c>
      <c r="C1206" s="3" t="s">
        <v>149</v>
      </c>
      <c r="G1206" s="3" t="s">
        <v>2940</v>
      </c>
      <c r="K1206" s="3" t="b">
        <v>0</v>
      </c>
      <c r="L1206" s="3" t="s">
        <v>128</v>
      </c>
      <c r="N1206" s="3" t="s">
        <v>2955</v>
      </c>
      <c r="S1206" s="4" t="str">
        <f t="shared" si="1"/>
        <v>2018</v>
      </c>
    </row>
    <row r="1207">
      <c r="A1207" s="3">
        <v>96.0</v>
      </c>
      <c r="B1207" s="3" t="b">
        <v>0</v>
      </c>
      <c r="C1207" s="3" t="s">
        <v>114</v>
      </c>
      <c r="G1207" s="3" t="s">
        <v>2876</v>
      </c>
      <c r="K1207" s="3" t="b">
        <v>0</v>
      </c>
      <c r="L1207" s="3" t="s">
        <v>2956</v>
      </c>
      <c r="N1207" s="3" t="s">
        <v>2957</v>
      </c>
      <c r="S1207" s="4" t="str">
        <f t="shared" si="1"/>
        <v>2018</v>
      </c>
    </row>
    <row r="1208">
      <c r="A1208" s="3">
        <v>95.0</v>
      </c>
      <c r="B1208" s="3" t="b">
        <v>0</v>
      </c>
      <c r="C1208" s="3" t="s">
        <v>69</v>
      </c>
      <c r="G1208" s="3" t="s">
        <v>2659</v>
      </c>
      <c r="K1208" s="3" t="b">
        <v>0</v>
      </c>
      <c r="L1208" s="3" t="s">
        <v>2958</v>
      </c>
      <c r="N1208" s="3" t="s">
        <v>2959</v>
      </c>
      <c r="S1208" s="4" t="str">
        <f t="shared" si="1"/>
        <v>2018</v>
      </c>
    </row>
    <row r="1209">
      <c r="A1209" s="3">
        <v>90.0</v>
      </c>
      <c r="B1209" s="3" t="b">
        <v>0</v>
      </c>
      <c r="C1209" s="3" t="s">
        <v>313</v>
      </c>
      <c r="G1209" s="3" t="s">
        <v>2673</v>
      </c>
      <c r="K1209" s="3" t="b">
        <v>0</v>
      </c>
      <c r="L1209" s="3" t="s">
        <v>2960</v>
      </c>
      <c r="N1209" s="3" t="s">
        <v>2961</v>
      </c>
      <c r="S1209" s="4" t="str">
        <f t="shared" si="1"/>
        <v>2018</v>
      </c>
    </row>
    <row r="1210">
      <c r="A1210" s="3">
        <v>89.0</v>
      </c>
      <c r="B1210" s="3" t="b">
        <v>0</v>
      </c>
      <c r="C1210" s="3" t="s">
        <v>320</v>
      </c>
      <c r="G1210" s="3" t="s">
        <v>2962</v>
      </c>
      <c r="K1210" s="3" t="b">
        <v>0</v>
      </c>
      <c r="L1210" s="3" t="s">
        <v>2963</v>
      </c>
      <c r="N1210" s="3" t="s">
        <v>2964</v>
      </c>
      <c r="S1210" s="4" t="str">
        <f t="shared" si="1"/>
        <v>2018</v>
      </c>
    </row>
    <row r="1211">
      <c r="A1211" s="3">
        <v>88.0</v>
      </c>
      <c r="B1211" s="3" t="b">
        <v>0</v>
      </c>
      <c r="C1211" s="3" t="s">
        <v>320</v>
      </c>
      <c r="G1211" s="3" t="s">
        <v>2748</v>
      </c>
      <c r="K1211" s="3" t="b">
        <v>0</v>
      </c>
      <c r="L1211" s="3" t="s">
        <v>2965</v>
      </c>
      <c r="N1211" s="3" t="s">
        <v>2966</v>
      </c>
      <c r="S1211" s="4" t="str">
        <f t="shared" si="1"/>
        <v>2018</v>
      </c>
    </row>
    <row r="1212">
      <c r="A1212" s="3">
        <v>88.0</v>
      </c>
      <c r="B1212" s="3" t="b">
        <v>0</v>
      </c>
      <c r="C1212" s="3" t="s">
        <v>156</v>
      </c>
      <c r="G1212" s="3" t="s">
        <v>2967</v>
      </c>
      <c r="K1212" s="3" t="b">
        <v>0</v>
      </c>
      <c r="L1212" s="3" t="s">
        <v>2968</v>
      </c>
      <c r="N1212" s="3" t="s">
        <v>2969</v>
      </c>
      <c r="S1212" s="4" t="str">
        <f t="shared" si="1"/>
        <v>2018</v>
      </c>
    </row>
    <row r="1213">
      <c r="A1213" s="3">
        <v>88.0</v>
      </c>
      <c r="B1213" s="3" t="b">
        <v>0</v>
      </c>
      <c r="C1213" s="3" t="s">
        <v>282</v>
      </c>
      <c r="G1213" s="3" t="s">
        <v>2760</v>
      </c>
      <c r="K1213" s="3" t="b">
        <v>0</v>
      </c>
      <c r="L1213" s="3" t="s">
        <v>2970</v>
      </c>
      <c r="N1213" s="3" t="s">
        <v>2971</v>
      </c>
      <c r="S1213" s="4" t="str">
        <f t="shared" si="1"/>
        <v>2018</v>
      </c>
    </row>
    <row r="1214">
      <c r="A1214" s="3">
        <v>80.0</v>
      </c>
      <c r="B1214" s="3" t="b">
        <v>0</v>
      </c>
      <c r="C1214" s="3" t="s">
        <v>149</v>
      </c>
      <c r="G1214" s="3" t="s">
        <v>2972</v>
      </c>
      <c r="K1214" s="3" t="b">
        <v>0</v>
      </c>
      <c r="L1214" s="3" t="s">
        <v>2580</v>
      </c>
      <c r="N1214" s="3" t="s">
        <v>2973</v>
      </c>
      <c r="S1214" s="4" t="str">
        <f t="shared" si="1"/>
        <v>2018</v>
      </c>
    </row>
    <row r="1215">
      <c r="A1215" s="3">
        <v>80.0</v>
      </c>
      <c r="B1215" s="3" t="b">
        <v>0</v>
      </c>
      <c r="C1215" s="3" t="s">
        <v>186</v>
      </c>
      <c r="G1215" s="3" t="s">
        <v>2974</v>
      </c>
      <c r="K1215" s="3" t="b">
        <v>0</v>
      </c>
      <c r="L1215" s="3" t="s">
        <v>2975</v>
      </c>
      <c r="N1215" s="3" t="s">
        <v>2976</v>
      </c>
      <c r="P1215" s="3">
        <v>1.0</v>
      </c>
      <c r="S1215" s="4" t="str">
        <f t="shared" si="1"/>
        <v>2018</v>
      </c>
    </row>
    <row r="1216">
      <c r="A1216" s="3">
        <v>80.0</v>
      </c>
      <c r="B1216" s="3" t="b">
        <v>0</v>
      </c>
      <c r="C1216" s="3" t="s">
        <v>411</v>
      </c>
      <c r="G1216" s="3" t="s">
        <v>2684</v>
      </c>
      <c r="K1216" s="3" t="b">
        <v>1</v>
      </c>
      <c r="L1216" s="3" t="s">
        <v>1034</v>
      </c>
      <c r="N1216" s="3" t="s">
        <v>2977</v>
      </c>
      <c r="P1216" s="3">
        <v>2.0</v>
      </c>
      <c r="S1216" s="4" t="str">
        <f t="shared" si="1"/>
        <v>2018</v>
      </c>
    </row>
    <row r="1217">
      <c r="A1217" s="3">
        <v>77.0</v>
      </c>
      <c r="B1217" s="3" t="b">
        <v>0</v>
      </c>
      <c r="C1217" s="3" t="s">
        <v>97</v>
      </c>
      <c r="G1217" s="3" t="s">
        <v>2780</v>
      </c>
      <c r="K1217" s="3" t="b">
        <v>0</v>
      </c>
      <c r="L1217" s="3" t="s">
        <v>2978</v>
      </c>
      <c r="N1217" s="3" t="s">
        <v>2979</v>
      </c>
      <c r="S1217" s="4" t="str">
        <f t="shared" si="1"/>
        <v>2018</v>
      </c>
    </row>
    <row r="1218">
      <c r="A1218" s="3">
        <v>76.0</v>
      </c>
      <c r="B1218" s="3" t="b">
        <v>0</v>
      </c>
      <c r="C1218" s="3" t="s">
        <v>58</v>
      </c>
      <c r="G1218" s="3" t="s">
        <v>2972</v>
      </c>
      <c r="K1218" s="3" t="b">
        <v>1</v>
      </c>
      <c r="L1218" s="3" t="s">
        <v>44</v>
      </c>
      <c r="N1218" s="3" t="s">
        <v>2980</v>
      </c>
      <c r="P1218" s="7">
        <v>1.0</v>
      </c>
      <c r="S1218" s="4" t="str">
        <f t="shared" si="1"/>
        <v>2018</v>
      </c>
    </row>
    <row r="1219">
      <c r="A1219" s="3">
        <v>76.0</v>
      </c>
      <c r="B1219" s="3" t="b">
        <v>0</v>
      </c>
      <c r="C1219" s="3" t="s">
        <v>39</v>
      </c>
      <c r="G1219" s="3" t="s">
        <v>2801</v>
      </c>
      <c r="K1219" s="3" t="b">
        <v>0</v>
      </c>
      <c r="L1219" s="3" t="s">
        <v>2981</v>
      </c>
      <c r="N1219" s="3" t="s">
        <v>2982</v>
      </c>
      <c r="S1219" s="4" t="str">
        <f t="shared" si="1"/>
        <v>2018</v>
      </c>
    </row>
    <row r="1220">
      <c r="A1220" s="3">
        <v>75.0</v>
      </c>
      <c r="B1220" s="3" t="b">
        <v>0</v>
      </c>
      <c r="C1220" s="3" t="s">
        <v>489</v>
      </c>
      <c r="G1220" s="3" t="s">
        <v>2820</v>
      </c>
      <c r="K1220" s="3" t="b">
        <v>1</v>
      </c>
      <c r="L1220" s="3" t="s">
        <v>2983</v>
      </c>
      <c r="N1220" s="3" t="s">
        <v>2984</v>
      </c>
      <c r="S1220" s="4" t="str">
        <f t="shared" si="1"/>
        <v>2018</v>
      </c>
    </row>
    <row r="1221">
      <c r="A1221" s="3">
        <v>75.0</v>
      </c>
      <c r="B1221" s="3" t="b">
        <v>0</v>
      </c>
      <c r="C1221" s="3" t="s">
        <v>212</v>
      </c>
      <c r="G1221" s="3" t="s">
        <v>2985</v>
      </c>
      <c r="K1221" s="3" t="b">
        <v>0</v>
      </c>
      <c r="L1221" s="3" t="s">
        <v>2730</v>
      </c>
      <c r="N1221" s="3" t="s">
        <v>2986</v>
      </c>
      <c r="S1221" s="4" t="str">
        <f t="shared" si="1"/>
        <v>2018</v>
      </c>
    </row>
    <row r="1222">
      <c r="A1222" s="3">
        <v>73.0</v>
      </c>
      <c r="B1222" s="3" t="b">
        <v>0</v>
      </c>
      <c r="C1222" s="3" t="s">
        <v>27</v>
      </c>
      <c r="G1222" s="3" t="s">
        <v>2741</v>
      </c>
      <c r="K1222" s="3" t="b">
        <v>0</v>
      </c>
      <c r="L1222" s="3" t="s">
        <v>2987</v>
      </c>
      <c r="N1222" s="3" t="s">
        <v>2988</v>
      </c>
      <c r="S1222" s="4" t="str">
        <f t="shared" si="1"/>
        <v>2018</v>
      </c>
    </row>
    <row r="1223">
      <c r="A1223" s="3">
        <v>70.0</v>
      </c>
      <c r="B1223" s="3" t="b">
        <v>0</v>
      </c>
      <c r="C1223" s="3" t="s">
        <v>401</v>
      </c>
      <c r="G1223" s="3" t="s">
        <v>2989</v>
      </c>
      <c r="K1223" s="3" t="b">
        <v>0</v>
      </c>
      <c r="L1223" s="3" t="s">
        <v>701</v>
      </c>
      <c r="N1223" s="3" t="s">
        <v>2990</v>
      </c>
      <c r="S1223" s="4" t="str">
        <f t="shared" si="1"/>
        <v>2018</v>
      </c>
    </row>
    <row r="1224">
      <c r="A1224" s="3">
        <v>70.0</v>
      </c>
      <c r="B1224" s="3" t="b">
        <v>0</v>
      </c>
      <c r="C1224" s="3" t="s">
        <v>401</v>
      </c>
      <c r="G1224" s="3" t="s">
        <v>2659</v>
      </c>
      <c r="K1224" s="3" t="b">
        <v>0</v>
      </c>
      <c r="L1224" s="3" t="s">
        <v>894</v>
      </c>
      <c r="N1224" s="3" t="s">
        <v>2991</v>
      </c>
      <c r="S1224" s="4" t="str">
        <f t="shared" si="1"/>
        <v>2018</v>
      </c>
    </row>
    <row r="1225">
      <c r="A1225" s="3">
        <v>70.0</v>
      </c>
      <c r="B1225" s="3" t="b">
        <v>0</v>
      </c>
      <c r="C1225" s="3" t="s">
        <v>54</v>
      </c>
      <c r="G1225" s="3" t="s">
        <v>2862</v>
      </c>
      <c r="K1225" s="3" t="b">
        <v>0</v>
      </c>
      <c r="L1225" s="3" t="s">
        <v>1598</v>
      </c>
      <c r="N1225" s="3" t="s">
        <v>2992</v>
      </c>
      <c r="S1225" s="4" t="str">
        <f t="shared" si="1"/>
        <v>2018</v>
      </c>
    </row>
    <row r="1226">
      <c r="A1226" s="3">
        <v>70.0</v>
      </c>
      <c r="B1226" s="3" t="b">
        <v>0</v>
      </c>
      <c r="C1226" s="3" t="s">
        <v>27</v>
      </c>
      <c r="G1226" s="3" t="s">
        <v>2741</v>
      </c>
      <c r="K1226" s="3" t="b">
        <v>0</v>
      </c>
      <c r="L1226" s="3" t="s">
        <v>2993</v>
      </c>
      <c r="N1226" s="3" t="s">
        <v>2994</v>
      </c>
      <c r="S1226" s="4" t="str">
        <f t="shared" si="1"/>
        <v>2018</v>
      </c>
    </row>
    <row r="1227">
      <c r="A1227" s="3">
        <v>68.0</v>
      </c>
      <c r="B1227" s="3" t="b">
        <v>0</v>
      </c>
      <c r="C1227" s="3" t="s">
        <v>282</v>
      </c>
      <c r="G1227" s="3" t="s">
        <v>2848</v>
      </c>
      <c r="K1227" s="3" t="b">
        <v>0</v>
      </c>
      <c r="L1227" s="3" t="s">
        <v>2995</v>
      </c>
      <c r="N1227" s="3" t="s">
        <v>2996</v>
      </c>
      <c r="S1227" s="4" t="str">
        <f t="shared" si="1"/>
        <v>2018</v>
      </c>
    </row>
    <row r="1228">
      <c r="A1228" s="3">
        <v>67.0</v>
      </c>
      <c r="B1228" s="3" t="b">
        <v>0</v>
      </c>
      <c r="C1228" s="3" t="s">
        <v>130</v>
      </c>
      <c r="F1228" s="7">
        <v>1.0</v>
      </c>
      <c r="G1228" s="3" t="s">
        <v>2763</v>
      </c>
      <c r="K1228" s="3" t="b">
        <v>1</v>
      </c>
      <c r="L1228" s="3" t="s">
        <v>2997</v>
      </c>
      <c r="N1228" s="3" t="s">
        <v>2998</v>
      </c>
      <c r="S1228" s="4" t="str">
        <f t="shared" si="1"/>
        <v>2018</v>
      </c>
    </row>
    <row r="1229">
      <c r="A1229" s="3">
        <v>67.0</v>
      </c>
      <c r="B1229" s="3" t="b">
        <v>0</v>
      </c>
      <c r="C1229" s="3" t="s">
        <v>313</v>
      </c>
      <c r="G1229" s="3" t="s">
        <v>2648</v>
      </c>
      <c r="K1229" s="3" t="b">
        <v>0</v>
      </c>
      <c r="L1229" s="3" t="s">
        <v>2999</v>
      </c>
      <c r="N1229" s="3" t="s">
        <v>3000</v>
      </c>
      <c r="S1229" s="4" t="str">
        <f t="shared" si="1"/>
        <v>2018</v>
      </c>
    </row>
    <row r="1230">
      <c r="A1230" s="3">
        <v>66.0</v>
      </c>
      <c r="B1230" s="3" t="b">
        <v>0</v>
      </c>
      <c r="C1230" s="3" t="s">
        <v>130</v>
      </c>
      <c r="F1230" s="7">
        <v>1.0</v>
      </c>
      <c r="G1230" s="3" t="s">
        <v>3001</v>
      </c>
      <c r="K1230" s="3" t="b">
        <v>1</v>
      </c>
      <c r="L1230" s="3" t="s">
        <v>3002</v>
      </c>
      <c r="N1230" s="3" t="s">
        <v>3003</v>
      </c>
      <c r="O1230" s="7">
        <v>3.0</v>
      </c>
      <c r="P1230" s="7">
        <v>1.0</v>
      </c>
      <c r="S1230" s="4" t="str">
        <f t="shared" si="1"/>
        <v>2018</v>
      </c>
    </row>
    <row r="1231">
      <c r="A1231" s="3">
        <v>64.0</v>
      </c>
      <c r="B1231" s="3" t="b">
        <v>0</v>
      </c>
      <c r="C1231" s="3" t="s">
        <v>170</v>
      </c>
      <c r="G1231" s="3" t="s">
        <v>3004</v>
      </c>
      <c r="K1231" s="3" t="b">
        <v>0</v>
      </c>
      <c r="L1231" s="3" t="s">
        <v>2531</v>
      </c>
      <c r="N1231" s="3" t="s">
        <v>3005</v>
      </c>
      <c r="S1231" s="4" t="str">
        <f t="shared" si="1"/>
        <v>2018</v>
      </c>
    </row>
    <row r="1232">
      <c r="A1232" s="3">
        <v>63.0</v>
      </c>
      <c r="B1232" s="3" t="b">
        <v>0</v>
      </c>
      <c r="C1232" s="3" t="s">
        <v>401</v>
      </c>
      <c r="G1232" s="3" t="s">
        <v>2701</v>
      </c>
      <c r="K1232" s="3" t="b">
        <v>0</v>
      </c>
      <c r="L1232" s="3" t="s">
        <v>1209</v>
      </c>
      <c r="N1232" s="3" t="s">
        <v>3006</v>
      </c>
      <c r="S1232" s="4" t="str">
        <f t="shared" si="1"/>
        <v>2018</v>
      </c>
    </row>
    <row r="1233">
      <c r="A1233" s="3">
        <v>63.0</v>
      </c>
      <c r="B1233" s="3" t="b">
        <v>0</v>
      </c>
      <c r="C1233" s="3" t="s">
        <v>58</v>
      </c>
      <c r="D1233" s="7">
        <v>4.0</v>
      </c>
      <c r="F1233" s="7">
        <v>7.0</v>
      </c>
      <c r="G1233" s="3" t="s">
        <v>2937</v>
      </c>
      <c r="K1233" s="3" t="b">
        <v>1</v>
      </c>
      <c r="L1233" s="3" t="s">
        <v>255</v>
      </c>
      <c r="M1233" s="7">
        <v>98.0</v>
      </c>
      <c r="N1233" s="3" t="s">
        <v>3007</v>
      </c>
      <c r="S1233" s="4" t="str">
        <f t="shared" si="1"/>
        <v>2018</v>
      </c>
    </row>
    <row r="1234">
      <c r="A1234" s="3">
        <v>63.0</v>
      </c>
      <c r="B1234" s="3" t="b">
        <v>0</v>
      </c>
      <c r="C1234" s="3" t="s">
        <v>27</v>
      </c>
      <c r="G1234" s="3" t="s">
        <v>2820</v>
      </c>
      <c r="K1234" s="3" t="b">
        <v>0</v>
      </c>
      <c r="L1234" s="3" t="s">
        <v>3008</v>
      </c>
      <c r="N1234" s="3" t="s">
        <v>3009</v>
      </c>
      <c r="S1234" s="4" t="str">
        <f t="shared" si="1"/>
        <v>2018</v>
      </c>
    </row>
    <row r="1235">
      <c r="A1235" s="3">
        <v>63.0</v>
      </c>
      <c r="B1235" s="3" t="b">
        <v>0</v>
      </c>
      <c r="C1235" s="3" t="s">
        <v>46</v>
      </c>
      <c r="G1235" s="3" t="s">
        <v>2801</v>
      </c>
      <c r="K1235" s="3" t="b">
        <v>0</v>
      </c>
      <c r="L1235" s="3" t="s">
        <v>500</v>
      </c>
      <c r="N1235" s="3" t="s">
        <v>3010</v>
      </c>
      <c r="S1235" s="4" t="str">
        <f t="shared" si="1"/>
        <v>2018</v>
      </c>
    </row>
    <row r="1236">
      <c r="A1236" s="3">
        <v>63.0</v>
      </c>
      <c r="B1236" s="3" t="b">
        <v>0</v>
      </c>
      <c r="C1236" s="3" t="s">
        <v>260</v>
      </c>
      <c r="G1236" s="3" t="s">
        <v>2985</v>
      </c>
      <c r="K1236" s="3" t="b">
        <v>0</v>
      </c>
      <c r="L1236" s="3" t="s">
        <v>3011</v>
      </c>
      <c r="N1236" s="3" t="s">
        <v>3012</v>
      </c>
      <c r="S1236" s="4" t="str">
        <f t="shared" si="1"/>
        <v>2018</v>
      </c>
    </row>
    <row r="1237">
      <c r="A1237" s="3">
        <v>62.0</v>
      </c>
      <c r="B1237" s="3" t="b">
        <v>0</v>
      </c>
      <c r="C1237" s="3" t="s">
        <v>69</v>
      </c>
      <c r="G1237" s="3" t="s">
        <v>2723</v>
      </c>
      <c r="K1237" s="3" t="b">
        <v>0</v>
      </c>
      <c r="L1237" s="3" t="s">
        <v>3013</v>
      </c>
      <c r="N1237" s="3" t="s">
        <v>3014</v>
      </c>
      <c r="S1237" s="4" t="str">
        <f t="shared" si="1"/>
        <v>2018</v>
      </c>
    </row>
    <row r="1238">
      <c r="A1238" s="3">
        <v>62.0</v>
      </c>
      <c r="B1238" s="3" t="b">
        <v>0</v>
      </c>
      <c r="C1238" s="3" t="s">
        <v>23</v>
      </c>
      <c r="G1238" s="3" t="s">
        <v>2684</v>
      </c>
      <c r="K1238" s="3" t="b">
        <v>0</v>
      </c>
      <c r="L1238" s="3" t="s">
        <v>1278</v>
      </c>
      <c r="N1238" s="3" t="s">
        <v>3015</v>
      </c>
      <c r="S1238" s="4" t="str">
        <f t="shared" si="1"/>
        <v>2018</v>
      </c>
    </row>
    <row r="1239">
      <c r="A1239" s="3">
        <v>62.0</v>
      </c>
      <c r="B1239" s="3" t="b">
        <v>0</v>
      </c>
      <c r="C1239" s="3" t="s">
        <v>179</v>
      </c>
      <c r="G1239" s="3" t="s">
        <v>2876</v>
      </c>
      <c r="K1239" s="3" t="b">
        <v>0</v>
      </c>
      <c r="L1239" s="3" t="s">
        <v>2062</v>
      </c>
      <c r="N1239" s="3" t="s">
        <v>3016</v>
      </c>
      <c r="S1239" s="4" t="str">
        <f t="shared" si="1"/>
        <v>2018</v>
      </c>
    </row>
    <row r="1240">
      <c r="A1240" s="3">
        <v>60.0</v>
      </c>
      <c r="B1240" s="3" t="b">
        <v>0</v>
      </c>
      <c r="C1240" s="3" t="s">
        <v>54</v>
      </c>
      <c r="G1240" s="3" t="s">
        <v>2793</v>
      </c>
      <c r="K1240" s="3" t="b">
        <v>0</v>
      </c>
      <c r="L1240" s="3" t="s">
        <v>3017</v>
      </c>
      <c r="N1240" s="3" t="s">
        <v>3018</v>
      </c>
      <c r="S1240" s="4" t="str">
        <f t="shared" si="1"/>
        <v>2018</v>
      </c>
    </row>
    <row r="1241">
      <c r="A1241" s="3">
        <v>60.0</v>
      </c>
      <c r="B1241" s="3" t="b">
        <v>0</v>
      </c>
      <c r="C1241" s="3" t="s">
        <v>186</v>
      </c>
      <c r="G1241" s="3" t="s">
        <v>2881</v>
      </c>
      <c r="K1241" s="3" t="b">
        <v>0</v>
      </c>
      <c r="L1241" s="3" t="s">
        <v>1234</v>
      </c>
      <c r="N1241" s="3" t="s">
        <v>3019</v>
      </c>
      <c r="S1241" s="4" t="str">
        <f t="shared" si="1"/>
        <v>2018</v>
      </c>
    </row>
    <row r="1242">
      <c r="A1242" s="3">
        <v>60.0</v>
      </c>
      <c r="B1242" s="3" t="b">
        <v>0</v>
      </c>
      <c r="C1242" s="3" t="s">
        <v>156</v>
      </c>
      <c r="G1242" s="3" t="s">
        <v>2696</v>
      </c>
      <c r="K1242" s="3" t="b">
        <v>0</v>
      </c>
      <c r="L1242" s="3" t="s">
        <v>3020</v>
      </c>
      <c r="N1242" s="3" t="s">
        <v>3021</v>
      </c>
      <c r="S1242" s="4" t="str">
        <f t="shared" si="1"/>
        <v>2018</v>
      </c>
    </row>
    <row r="1243">
      <c r="A1243" s="3">
        <v>60.0</v>
      </c>
      <c r="B1243" s="3" t="b">
        <v>0</v>
      </c>
      <c r="C1243" s="3" t="s">
        <v>149</v>
      </c>
      <c r="G1243" s="3" t="s">
        <v>2696</v>
      </c>
      <c r="K1243" s="3" t="b">
        <v>0</v>
      </c>
      <c r="L1243" s="3" t="s">
        <v>3022</v>
      </c>
      <c r="N1243" s="3" t="s">
        <v>3023</v>
      </c>
      <c r="S1243" s="4" t="str">
        <f t="shared" si="1"/>
        <v>2018</v>
      </c>
    </row>
    <row r="1244">
      <c r="A1244" s="3">
        <v>60.0</v>
      </c>
      <c r="B1244" s="3" t="b">
        <v>0</v>
      </c>
      <c r="C1244" s="3" t="s">
        <v>149</v>
      </c>
      <c r="G1244" s="3" t="s">
        <v>2862</v>
      </c>
      <c r="K1244" s="3" t="b">
        <v>0</v>
      </c>
      <c r="L1244" s="3" t="s">
        <v>2221</v>
      </c>
      <c r="N1244" s="3" t="s">
        <v>3024</v>
      </c>
      <c r="S1244" s="4" t="str">
        <f t="shared" si="1"/>
        <v>2018</v>
      </c>
    </row>
    <row r="1245">
      <c r="A1245" s="3">
        <v>60.0</v>
      </c>
      <c r="B1245" s="3" t="b">
        <v>0</v>
      </c>
      <c r="C1245" s="3" t="s">
        <v>97</v>
      </c>
      <c r="G1245" s="3" t="s">
        <v>2828</v>
      </c>
      <c r="K1245" s="3" t="b">
        <v>0</v>
      </c>
      <c r="L1245" s="3" t="s">
        <v>3025</v>
      </c>
      <c r="N1245" s="3" t="s">
        <v>3026</v>
      </c>
      <c r="S1245" s="4" t="str">
        <f t="shared" si="1"/>
        <v>2018</v>
      </c>
    </row>
    <row r="1246">
      <c r="A1246" s="3">
        <v>59.0</v>
      </c>
      <c r="B1246" s="3" t="b">
        <v>0</v>
      </c>
      <c r="C1246" s="3" t="s">
        <v>62</v>
      </c>
      <c r="G1246" s="3" t="s">
        <v>3027</v>
      </c>
      <c r="K1246" s="3" t="b">
        <v>0</v>
      </c>
      <c r="L1246" s="3" t="s">
        <v>3028</v>
      </c>
      <c r="N1246" s="3" t="s">
        <v>3029</v>
      </c>
      <c r="S1246" s="4" t="str">
        <f t="shared" si="1"/>
        <v>2018</v>
      </c>
    </row>
    <row r="1247">
      <c r="A1247" s="3">
        <v>58.0</v>
      </c>
      <c r="B1247" s="3" t="b">
        <v>0</v>
      </c>
      <c r="C1247" s="3" t="s">
        <v>149</v>
      </c>
      <c r="G1247" s="3" t="s">
        <v>3030</v>
      </c>
      <c r="K1247" s="3" t="b">
        <v>0</v>
      </c>
      <c r="L1247" s="3" t="s">
        <v>3031</v>
      </c>
      <c r="N1247" s="3" t="s">
        <v>3032</v>
      </c>
      <c r="S1247" s="4" t="str">
        <f t="shared" si="1"/>
        <v>2018</v>
      </c>
    </row>
    <row r="1248">
      <c r="A1248" s="3">
        <v>56.0</v>
      </c>
      <c r="B1248" s="3" t="b">
        <v>0</v>
      </c>
      <c r="C1248" s="3" t="s">
        <v>320</v>
      </c>
      <c r="G1248" s="3" t="s">
        <v>2857</v>
      </c>
      <c r="K1248" s="3" t="b">
        <v>0</v>
      </c>
      <c r="L1248" s="3" t="s">
        <v>3033</v>
      </c>
      <c r="N1248" s="3" t="s">
        <v>3034</v>
      </c>
      <c r="S1248" s="4" t="str">
        <f t="shared" si="1"/>
        <v>2018</v>
      </c>
    </row>
    <row r="1249">
      <c r="A1249" s="3">
        <v>56.0</v>
      </c>
      <c r="B1249" s="3" t="b">
        <v>0</v>
      </c>
      <c r="C1249" s="3" t="s">
        <v>80</v>
      </c>
      <c r="G1249" s="3" t="s">
        <v>2790</v>
      </c>
      <c r="K1249" s="3" t="b">
        <v>0</v>
      </c>
      <c r="L1249" s="3" t="s">
        <v>3035</v>
      </c>
      <c r="N1249" s="3" t="s">
        <v>3036</v>
      </c>
      <c r="S1249" s="4" t="str">
        <f t="shared" si="1"/>
        <v>2018</v>
      </c>
    </row>
    <row r="1250">
      <c r="A1250" s="3">
        <v>56.0</v>
      </c>
      <c r="B1250" s="3" t="b">
        <v>0</v>
      </c>
      <c r="C1250" s="3" t="s">
        <v>156</v>
      </c>
      <c r="G1250" s="3" t="s">
        <v>3027</v>
      </c>
      <c r="K1250" s="3" t="b">
        <v>1</v>
      </c>
      <c r="L1250" s="3" t="s">
        <v>3037</v>
      </c>
      <c r="N1250" s="3" t="s">
        <v>3038</v>
      </c>
      <c r="S1250" s="4" t="str">
        <f t="shared" si="1"/>
        <v>2018</v>
      </c>
    </row>
    <row r="1251">
      <c r="A1251" s="3">
        <v>53.0</v>
      </c>
      <c r="B1251" s="3" t="b">
        <v>0</v>
      </c>
      <c r="C1251" s="3" t="s">
        <v>134</v>
      </c>
      <c r="G1251" s="3" t="s">
        <v>3039</v>
      </c>
      <c r="K1251" s="3" t="b">
        <v>1</v>
      </c>
      <c r="L1251" s="3" t="s">
        <v>3040</v>
      </c>
      <c r="N1251" s="3" t="s">
        <v>3041</v>
      </c>
      <c r="S1251" s="4" t="str">
        <f t="shared" si="1"/>
        <v>2018</v>
      </c>
    </row>
    <row r="1252">
      <c r="A1252" s="3">
        <v>53.0</v>
      </c>
      <c r="B1252" s="3" t="b">
        <v>0</v>
      </c>
      <c r="C1252" s="3" t="s">
        <v>320</v>
      </c>
      <c r="G1252" s="3" t="s">
        <v>2715</v>
      </c>
      <c r="K1252" s="3" t="b">
        <v>0</v>
      </c>
      <c r="L1252" s="3" t="s">
        <v>3042</v>
      </c>
      <c r="N1252" s="3" t="s">
        <v>3043</v>
      </c>
      <c r="S1252" s="4" t="str">
        <f t="shared" si="1"/>
        <v>2018</v>
      </c>
    </row>
    <row r="1253">
      <c r="A1253" s="3">
        <v>53.0</v>
      </c>
      <c r="B1253" s="3" t="b">
        <v>0</v>
      </c>
      <c r="C1253" s="3" t="s">
        <v>101</v>
      </c>
      <c r="G1253" s="3" t="s">
        <v>3044</v>
      </c>
      <c r="K1253" s="3" t="b">
        <v>1</v>
      </c>
      <c r="L1253" s="3" t="s">
        <v>3045</v>
      </c>
      <c r="N1253" s="3" t="s">
        <v>3046</v>
      </c>
      <c r="P1253" s="7">
        <v>1.0</v>
      </c>
      <c r="S1253" s="4" t="str">
        <f t="shared" si="1"/>
        <v>2018</v>
      </c>
    </row>
    <row r="1254">
      <c r="A1254" s="3">
        <v>52.0</v>
      </c>
      <c r="B1254" s="3" t="b">
        <v>0</v>
      </c>
      <c r="C1254" s="3" t="s">
        <v>145</v>
      </c>
      <c r="G1254" s="3" t="s">
        <v>2735</v>
      </c>
      <c r="K1254" s="3" t="b">
        <v>0</v>
      </c>
      <c r="L1254" s="3" t="s">
        <v>3047</v>
      </c>
      <c r="N1254" s="3" t="s">
        <v>3048</v>
      </c>
      <c r="S1254" s="4" t="str">
        <f t="shared" si="1"/>
        <v>2018</v>
      </c>
    </row>
    <row r="1255">
      <c r="A1255" s="3">
        <v>51.0</v>
      </c>
      <c r="B1255" s="3" t="b">
        <v>0</v>
      </c>
      <c r="C1255" s="3" t="s">
        <v>149</v>
      </c>
      <c r="G1255" s="3" t="s">
        <v>2804</v>
      </c>
      <c r="K1255" s="3" t="b">
        <v>0</v>
      </c>
      <c r="L1255" s="3" t="s">
        <v>1430</v>
      </c>
      <c r="N1255" s="3" t="s">
        <v>3049</v>
      </c>
      <c r="S1255" s="4" t="str">
        <f t="shared" si="1"/>
        <v>2018</v>
      </c>
    </row>
    <row r="1256">
      <c r="A1256" s="3">
        <v>51.0</v>
      </c>
      <c r="B1256" s="3" t="b">
        <v>0</v>
      </c>
      <c r="C1256" s="3" t="s">
        <v>58</v>
      </c>
      <c r="D1256" s="7">
        <v>7.0</v>
      </c>
      <c r="F1256" s="7">
        <v>24.0</v>
      </c>
      <c r="G1256" s="3" t="s">
        <v>2687</v>
      </c>
      <c r="K1256" s="3" t="b">
        <v>1</v>
      </c>
      <c r="L1256" s="3" t="s">
        <v>3050</v>
      </c>
      <c r="M1256" s="7">
        <v>192.0</v>
      </c>
      <c r="N1256" s="3" t="s">
        <v>3051</v>
      </c>
      <c r="S1256" s="4" t="str">
        <f t="shared" si="1"/>
        <v>2018</v>
      </c>
    </row>
    <row r="1257">
      <c r="A1257" s="3">
        <v>51.0</v>
      </c>
      <c r="B1257" s="3" t="b">
        <v>0</v>
      </c>
      <c r="C1257" s="3" t="s">
        <v>401</v>
      </c>
      <c r="G1257" s="3" t="s">
        <v>2974</v>
      </c>
      <c r="K1257" s="3" t="b">
        <v>0</v>
      </c>
      <c r="L1257" s="3" t="s">
        <v>3052</v>
      </c>
      <c r="N1257" s="3" t="s">
        <v>3053</v>
      </c>
      <c r="S1257" s="4" t="str">
        <f t="shared" si="1"/>
        <v>2018</v>
      </c>
    </row>
    <row r="1258">
      <c r="A1258" s="3">
        <v>50.0</v>
      </c>
      <c r="B1258" s="3" t="b">
        <v>0</v>
      </c>
      <c r="C1258" s="3" t="s">
        <v>186</v>
      </c>
      <c r="G1258" s="3" t="s">
        <v>2937</v>
      </c>
      <c r="K1258" s="3" t="b">
        <v>1</v>
      </c>
      <c r="L1258" s="3" t="s">
        <v>3054</v>
      </c>
      <c r="N1258" s="3" t="s">
        <v>3055</v>
      </c>
      <c r="P1258" s="7">
        <v>1.0</v>
      </c>
      <c r="S1258" s="4" t="str">
        <f t="shared" si="1"/>
        <v>2018</v>
      </c>
    </row>
    <row r="1259">
      <c r="A1259" s="3">
        <v>50.0</v>
      </c>
      <c r="B1259" s="3" t="b">
        <v>0</v>
      </c>
      <c r="C1259" s="3" t="s">
        <v>54</v>
      </c>
      <c r="G1259" s="3" t="s">
        <v>3056</v>
      </c>
      <c r="K1259" s="3" t="b">
        <v>0</v>
      </c>
      <c r="L1259" s="3" t="s">
        <v>3057</v>
      </c>
      <c r="N1259" s="3" t="s">
        <v>3058</v>
      </c>
      <c r="S1259" s="4" t="str">
        <f t="shared" si="1"/>
        <v>2018</v>
      </c>
    </row>
    <row r="1260">
      <c r="A1260" s="3">
        <v>50.0</v>
      </c>
      <c r="B1260" s="3" t="b">
        <v>0</v>
      </c>
      <c r="C1260" s="3" t="s">
        <v>114</v>
      </c>
      <c r="G1260" s="3" t="s">
        <v>2737</v>
      </c>
      <c r="K1260" s="3" t="b">
        <v>0</v>
      </c>
      <c r="L1260" s="3" t="s">
        <v>3059</v>
      </c>
      <c r="N1260" s="3" t="s">
        <v>3060</v>
      </c>
      <c r="S1260" s="4" t="str">
        <f t="shared" si="1"/>
        <v>2018</v>
      </c>
    </row>
    <row r="1261">
      <c r="A1261" s="3">
        <v>48.0</v>
      </c>
      <c r="B1261" s="3" t="b">
        <v>0</v>
      </c>
      <c r="C1261" s="3" t="s">
        <v>205</v>
      </c>
      <c r="G1261" s="3" t="s">
        <v>2945</v>
      </c>
      <c r="K1261" s="3" t="b">
        <v>0</v>
      </c>
      <c r="L1261" s="3" t="s">
        <v>2243</v>
      </c>
      <c r="N1261" s="3" t="s">
        <v>3061</v>
      </c>
      <c r="S1261" s="4" t="str">
        <f t="shared" si="1"/>
        <v>2018</v>
      </c>
    </row>
    <row r="1262">
      <c r="A1262" s="3">
        <v>45.0</v>
      </c>
      <c r="B1262" s="3" t="b">
        <v>0</v>
      </c>
      <c r="C1262" s="3" t="s">
        <v>80</v>
      </c>
      <c r="G1262" s="3" t="s">
        <v>2659</v>
      </c>
      <c r="K1262" s="3" t="b">
        <v>0</v>
      </c>
      <c r="L1262" s="3" t="s">
        <v>3062</v>
      </c>
      <c r="N1262" s="3" t="s">
        <v>3063</v>
      </c>
      <c r="S1262" s="4" t="str">
        <f t="shared" si="1"/>
        <v>2018</v>
      </c>
    </row>
    <row r="1263">
      <c r="A1263" s="3">
        <v>45.0</v>
      </c>
      <c r="B1263" s="3" t="b">
        <v>0</v>
      </c>
      <c r="C1263" s="3" t="s">
        <v>2397</v>
      </c>
      <c r="G1263" s="3" t="s">
        <v>2928</v>
      </c>
      <c r="K1263" s="3" t="b">
        <v>0</v>
      </c>
      <c r="L1263" s="3" t="s">
        <v>667</v>
      </c>
      <c r="N1263" s="3" t="s">
        <v>1148</v>
      </c>
      <c r="S1263" s="4" t="str">
        <f t="shared" si="1"/>
        <v>1969</v>
      </c>
    </row>
    <row r="1264">
      <c r="A1264" s="3">
        <v>43.0</v>
      </c>
      <c r="B1264" s="3" t="b">
        <v>0</v>
      </c>
      <c r="C1264" s="3" t="s">
        <v>87</v>
      </c>
      <c r="D1264" s="7">
        <v>9.0</v>
      </c>
      <c r="E1264" s="7">
        <v>2.0</v>
      </c>
      <c r="F1264" s="7">
        <v>12.0</v>
      </c>
      <c r="G1264" s="3" t="s">
        <v>2780</v>
      </c>
      <c r="J1264" s="7">
        <v>2.0</v>
      </c>
      <c r="K1264" s="3" t="b">
        <v>1</v>
      </c>
      <c r="L1264" s="3" t="s">
        <v>3064</v>
      </c>
      <c r="M1264" s="7">
        <v>168.0</v>
      </c>
      <c r="N1264" s="3" t="s">
        <v>3065</v>
      </c>
      <c r="S1264" s="4" t="str">
        <f t="shared" si="1"/>
        <v>2018</v>
      </c>
    </row>
    <row r="1265">
      <c r="A1265" s="3">
        <v>40.0</v>
      </c>
      <c r="B1265" s="3" t="b">
        <v>0</v>
      </c>
      <c r="C1265" s="3" t="s">
        <v>27</v>
      </c>
      <c r="G1265" s="3" t="s">
        <v>2687</v>
      </c>
      <c r="K1265" s="3" t="b">
        <v>0</v>
      </c>
      <c r="L1265" s="3" t="s">
        <v>3066</v>
      </c>
      <c r="N1265" s="3" t="s">
        <v>3067</v>
      </c>
      <c r="S1265" s="4" t="str">
        <f t="shared" si="1"/>
        <v>2018</v>
      </c>
    </row>
    <row r="1266">
      <c r="A1266" s="3">
        <v>40.0</v>
      </c>
      <c r="B1266" s="3" t="b">
        <v>0</v>
      </c>
      <c r="C1266" s="3" t="s">
        <v>101</v>
      </c>
      <c r="G1266" s="3" t="s">
        <v>2835</v>
      </c>
      <c r="K1266" s="3" t="b">
        <v>0</v>
      </c>
      <c r="L1266" s="3" t="s">
        <v>1994</v>
      </c>
      <c r="N1266" s="3" t="s">
        <v>3068</v>
      </c>
      <c r="S1266" s="4" t="str">
        <f t="shared" si="1"/>
        <v>2018</v>
      </c>
    </row>
    <row r="1267">
      <c r="A1267" s="3">
        <v>40.0</v>
      </c>
      <c r="B1267" s="3" t="b">
        <v>0</v>
      </c>
      <c r="C1267" s="3" t="s">
        <v>80</v>
      </c>
      <c r="G1267" s="3" t="s">
        <v>2874</v>
      </c>
      <c r="K1267" s="3" t="b">
        <v>0</v>
      </c>
      <c r="L1267" s="3" t="s">
        <v>3069</v>
      </c>
      <c r="N1267" s="3" t="s">
        <v>3070</v>
      </c>
      <c r="S1267" s="4" t="str">
        <f t="shared" si="1"/>
        <v>2018</v>
      </c>
    </row>
    <row r="1268">
      <c r="A1268" s="3">
        <v>40.0</v>
      </c>
      <c r="B1268" s="3" t="b">
        <v>0</v>
      </c>
      <c r="C1268" s="3" t="s">
        <v>87</v>
      </c>
      <c r="G1268" s="3" t="s">
        <v>3044</v>
      </c>
      <c r="K1268" s="3" t="b">
        <v>0</v>
      </c>
      <c r="L1268" s="3" t="s">
        <v>632</v>
      </c>
      <c r="N1268" s="3" t="s">
        <v>3071</v>
      </c>
      <c r="S1268" s="4" t="str">
        <f t="shared" si="1"/>
        <v>2018</v>
      </c>
    </row>
    <row r="1269">
      <c r="A1269" s="3">
        <v>39.0</v>
      </c>
      <c r="B1269" s="3" t="b">
        <v>0</v>
      </c>
      <c r="C1269" s="3" t="s">
        <v>170</v>
      </c>
      <c r="G1269" s="3" t="s">
        <v>2888</v>
      </c>
      <c r="K1269" s="3" t="b">
        <v>0</v>
      </c>
      <c r="L1269" s="3" t="s">
        <v>1673</v>
      </c>
      <c r="N1269" s="3" t="s">
        <v>3072</v>
      </c>
      <c r="S1269" s="4" t="str">
        <f t="shared" si="1"/>
        <v>2018</v>
      </c>
    </row>
    <row r="1270">
      <c r="A1270" s="3">
        <v>38.0</v>
      </c>
      <c r="B1270" s="3" t="b">
        <v>0</v>
      </c>
      <c r="C1270" s="3" t="s">
        <v>58</v>
      </c>
      <c r="G1270" s="3" t="s">
        <v>3073</v>
      </c>
      <c r="K1270" s="3" t="b">
        <v>0</v>
      </c>
      <c r="L1270" s="3" t="s">
        <v>3074</v>
      </c>
      <c r="N1270" s="3" t="s">
        <v>3075</v>
      </c>
      <c r="S1270" s="4" t="str">
        <f t="shared" si="1"/>
        <v>2018</v>
      </c>
    </row>
    <row r="1271">
      <c r="A1271" s="3">
        <v>38.0</v>
      </c>
      <c r="B1271" s="3" t="b">
        <v>0</v>
      </c>
      <c r="C1271" s="3" t="s">
        <v>62</v>
      </c>
      <c r="G1271" s="3" t="s">
        <v>3076</v>
      </c>
      <c r="K1271" s="3" t="b">
        <v>0</v>
      </c>
      <c r="L1271" s="3" t="s">
        <v>3077</v>
      </c>
      <c r="N1271" s="3" t="s">
        <v>3078</v>
      </c>
      <c r="S1271" s="4" t="str">
        <f t="shared" si="1"/>
        <v>2018</v>
      </c>
    </row>
    <row r="1272">
      <c r="A1272" s="3">
        <v>37.0</v>
      </c>
      <c r="B1272" s="3" t="b">
        <v>0</v>
      </c>
      <c r="C1272" s="3" t="s">
        <v>149</v>
      </c>
      <c r="G1272" s="3" t="s">
        <v>2937</v>
      </c>
      <c r="K1272" s="3" t="b">
        <v>0</v>
      </c>
      <c r="L1272" s="3" t="s">
        <v>3079</v>
      </c>
      <c r="N1272" s="3" t="s">
        <v>3080</v>
      </c>
      <c r="S1272" s="4" t="str">
        <f t="shared" si="1"/>
        <v>2018</v>
      </c>
    </row>
    <row r="1273">
      <c r="A1273" s="3">
        <v>37.0</v>
      </c>
      <c r="B1273" s="3" t="b">
        <v>0</v>
      </c>
      <c r="C1273" s="3" t="s">
        <v>46</v>
      </c>
      <c r="G1273" s="3" t="s">
        <v>3081</v>
      </c>
      <c r="K1273" s="3" t="b">
        <v>0</v>
      </c>
      <c r="L1273" s="3" t="s">
        <v>3082</v>
      </c>
      <c r="N1273" s="3" t="s">
        <v>3083</v>
      </c>
      <c r="S1273" s="4" t="str">
        <f t="shared" si="1"/>
        <v>2018</v>
      </c>
    </row>
    <row r="1274">
      <c r="A1274" s="3">
        <v>36.0</v>
      </c>
      <c r="B1274" s="3" t="b">
        <v>0</v>
      </c>
      <c r="C1274" s="3" t="s">
        <v>186</v>
      </c>
      <c r="G1274" s="3" t="s">
        <v>3084</v>
      </c>
      <c r="K1274" s="3" t="b">
        <v>0</v>
      </c>
      <c r="L1274" s="3" t="s">
        <v>2219</v>
      </c>
      <c r="N1274" s="3" t="s">
        <v>3085</v>
      </c>
      <c r="S1274" s="4" t="str">
        <f t="shared" si="1"/>
        <v>2018</v>
      </c>
    </row>
    <row r="1275">
      <c r="A1275" s="3">
        <v>36.0</v>
      </c>
      <c r="B1275" s="3" t="b">
        <v>0</v>
      </c>
      <c r="C1275" s="3" t="s">
        <v>27</v>
      </c>
      <c r="G1275" s="3" t="s">
        <v>2967</v>
      </c>
      <c r="K1275" s="3" t="b">
        <v>0</v>
      </c>
      <c r="L1275" s="3" t="s">
        <v>3086</v>
      </c>
      <c r="N1275" s="3" t="s">
        <v>3087</v>
      </c>
      <c r="S1275" s="4" t="str">
        <f t="shared" si="1"/>
        <v>2018</v>
      </c>
    </row>
    <row r="1276">
      <c r="A1276" s="3">
        <v>35.0</v>
      </c>
      <c r="B1276" s="3" t="b">
        <v>0</v>
      </c>
      <c r="C1276" s="3" t="s">
        <v>313</v>
      </c>
      <c r="G1276" s="3" t="s">
        <v>3088</v>
      </c>
      <c r="K1276" s="3" t="b">
        <v>0</v>
      </c>
      <c r="L1276" s="3" t="s">
        <v>3089</v>
      </c>
      <c r="N1276" s="3" t="s">
        <v>3090</v>
      </c>
      <c r="S1276" s="4" t="str">
        <f t="shared" si="1"/>
        <v>2018</v>
      </c>
    </row>
    <row r="1277">
      <c r="A1277" s="3">
        <v>35.0</v>
      </c>
      <c r="B1277" s="3" t="b">
        <v>0</v>
      </c>
      <c r="C1277" s="3" t="s">
        <v>27</v>
      </c>
      <c r="G1277" s="3" t="s">
        <v>2679</v>
      </c>
      <c r="K1277" s="3" t="b">
        <v>0</v>
      </c>
      <c r="L1277" s="3" t="s">
        <v>3091</v>
      </c>
      <c r="N1277" s="3" t="s">
        <v>3092</v>
      </c>
      <c r="S1277" s="4" t="str">
        <f t="shared" si="1"/>
        <v>2018</v>
      </c>
    </row>
    <row r="1278">
      <c r="A1278" s="3">
        <v>35.0</v>
      </c>
      <c r="B1278" s="3" t="b">
        <v>0</v>
      </c>
      <c r="C1278" s="3" t="s">
        <v>58</v>
      </c>
      <c r="G1278" s="3" t="s">
        <v>2771</v>
      </c>
      <c r="K1278" s="3" t="b">
        <v>0</v>
      </c>
      <c r="L1278" s="3" t="s">
        <v>2536</v>
      </c>
      <c r="N1278" s="3" t="s">
        <v>3093</v>
      </c>
      <c r="S1278" s="4" t="str">
        <f t="shared" si="1"/>
        <v>2018</v>
      </c>
    </row>
    <row r="1279">
      <c r="A1279" s="3">
        <v>35.0</v>
      </c>
      <c r="B1279" s="3" t="b">
        <v>0</v>
      </c>
      <c r="C1279" s="3" t="s">
        <v>170</v>
      </c>
      <c r="G1279" s="3" t="s">
        <v>3081</v>
      </c>
      <c r="K1279" s="3" t="b">
        <v>0</v>
      </c>
      <c r="L1279" s="3" t="s">
        <v>2467</v>
      </c>
      <c r="N1279" s="3" t="s">
        <v>3094</v>
      </c>
      <c r="S1279" s="4" t="str">
        <f t="shared" si="1"/>
        <v>2018</v>
      </c>
    </row>
    <row r="1280">
      <c r="A1280" s="3">
        <v>34.0</v>
      </c>
      <c r="B1280" s="3" t="b">
        <v>0</v>
      </c>
      <c r="C1280" s="3" t="s">
        <v>69</v>
      </c>
      <c r="G1280" s="3" t="s">
        <v>2767</v>
      </c>
      <c r="K1280" s="3" t="b">
        <v>0</v>
      </c>
      <c r="L1280" s="3" t="s">
        <v>3095</v>
      </c>
      <c r="N1280" s="3" t="s">
        <v>3096</v>
      </c>
      <c r="S1280" s="4" t="str">
        <f t="shared" si="1"/>
        <v>2018</v>
      </c>
    </row>
    <row r="1281">
      <c r="A1281" s="3">
        <v>34.0</v>
      </c>
      <c r="B1281" s="3" t="b">
        <v>0</v>
      </c>
      <c r="C1281" s="3" t="s">
        <v>205</v>
      </c>
      <c r="G1281" s="3" t="s">
        <v>2855</v>
      </c>
      <c r="K1281" s="3" t="b">
        <v>0</v>
      </c>
      <c r="L1281" s="3" t="s">
        <v>2761</v>
      </c>
      <c r="N1281" s="3" t="s">
        <v>3097</v>
      </c>
      <c r="S1281" s="4" t="str">
        <f t="shared" si="1"/>
        <v>2018</v>
      </c>
    </row>
    <row r="1282">
      <c r="A1282" s="3">
        <v>34.0</v>
      </c>
      <c r="B1282" s="3" t="b">
        <v>0</v>
      </c>
      <c r="C1282" s="3" t="s">
        <v>94</v>
      </c>
      <c r="G1282" s="3" t="s">
        <v>2835</v>
      </c>
      <c r="K1282" s="3" t="b">
        <v>0</v>
      </c>
      <c r="L1282" s="3" t="s">
        <v>3098</v>
      </c>
      <c r="N1282" s="3" t="s">
        <v>3099</v>
      </c>
      <c r="S1282" s="4" t="str">
        <f t="shared" si="1"/>
        <v>2018</v>
      </c>
    </row>
    <row r="1283">
      <c r="A1283" s="3">
        <v>33.0</v>
      </c>
      <c r="B1283" s="3" t="b">
        <v>0</v>
      </c>
      <c r="C1283" s="3" t="s">
        <v>87</v>
      </c>
      <c r="D1283" s="7">
        <v>4.0</v>
      </c>
      <c r="E1283" s="7">
        <v>2.0</v>
      </c>
      <c r="F1283" s="7">
        <v>5.0</v>
      </c>
      <c r="G1283" s="3" t="s">
        <v>3100</v>
      </c>
      <c r="K1283" s="3" t="b">
        <v>1</v>
      </c>
      <c r="L1283" s="3" t="s">
        <v>3101</v>
      </c>
      <c r="M1283" s="7">
        <v>83.0</v>
      </c>
      <c r="N1283" s="3" t="s">
        <v>3102</v>
      </c>
      <c r="S1283" s="4" t="str">
        <f t="shared" si="1"/>
        <v>2018</v>
      </c>
    </row>
    <row r="1284">
      <c r="A1284" s="3">
        <v>33.0</v>
      </c>
      <c r="B1284" s="3" t="b">
        <v>0</v>
      </c>
      <c r="C1284" s="3" t="s">
        <v>54</v>
      </c>
      <c r="G1284" s="3" t="s">
        <v>2735</v>
      </c>
      <c r="K1284" s="3" t="b">
        <v>0</v>
      </c>
      <c r="L1284" s="3" t="s">
        <v>2189</v>
      </c>
      <c r="N1284" s="3" t="s">
        <v>3103</v>
      </c>
      <c r="S1284" s="4" t="str">
        <f t="shared" si="1"/>
        <v>2018</v>
      </c>
    </row>
    <row r="1285">
      <c r="A1285" s="3">
        <v>33.0</v>
      </c>
      <c r="B1285" s="3" t="b">
        <v>0</v>
      </c>
      <c r="C1285" s="3" t="s">
        <v>134</v>
      </c>
      <c r="G1285" s="3" t="s">
        <v>2659</v>
      </c>
      <c r="K1285" s="3" t="b">
        <v>0</v>
      </c>
      <c r="L1285" s="3" t="s">
        <v>329</v>
      </c>
      <c r="N1285" s="3" t="s">
        <v>3104</v>
      </c>
      <c r="S1285" s="4" t="str">
        <f t="shared" si="1"/>
        <v>2018</v>
      </c>
    </row>
    <row r="1286">
      <c r="A1286" s="3">
        <v>33.0</v>
      </c>
      <c r="B1286" s="3" t="b">
        <v>0</v>
      </c>
      <c r="C1286" s="3" t="s">
        <v>94</v>
      </c>
      <c r="G1286" s="3" t="s">
        <v>2850</v>
      </c>
      <c r="K1286" s="3" t="b">
        <v>0</v>
      </c>
      <c r="L1286" s="3" t="s">
        <v>3105</v>
      </c>
      <c r="N1286" s="3" t="s">
        <v>3106</v>
      </c>
      <c r="S1286" s="4" t="str">
        <f t="shared" si="1"/>
        <v>2018</v>
      </c>
    </row>
    <row r="1287">
      <c r="A1287" s="3">
        <v>32.0</v>
      </c>
      <c r="B1287" s="3" t="b">
        <v>0</v>
      </c>
      <c r="C1287" s="3" t="s">
        <v>39</v>
      </c>
      <c r="G1287" s="3" t="s">
        <v>3107</v>
      </c>
      <c r="K1287" s="3" t="b">
        <v>0</v>
      </c>
      <c r="L1287" s="3" t="s">
        <v>2090</v>
      </c>
      <c r="N1287" s="3" t="s">
        <v>3108</v>
      </c>
      <c r="S1287" s="4" t="str">
        <f t="shared" si="1"/>
        <v>2018</v>
      </c>
    </row>
    <row r="1288">
      <c r="A1288" s="3">
        <v>32.0</v>
      </c>
      <c r="B1288" s="3" t="b">
        <v>0</v>
      </c>
      <c r="C1288" s="3" t="s">
        <v>27</v>
      </c>
      <c r="G1288" s="3" t="s">
        <v>2833</v>
      </c>
      <c r="K1288" s="3" t="b">
        <v>0</v>
      </c>
      <c r="L1288" s="3" t="s">
        <v>2232</v>
      </c>
      <c r="N1288" s="3" t="s">
        <v>3109</v>
      </c>
      <c r="S1288" s="4" t="str">
        <f t="shared" si="1"/>
        <v>2018</v>
      </c>
    </row>
    <row r="1289">
      <c r="A1289" s="3">
        <v>32.0</v>
      </c>
      <c r="B1289" s="3" t="b">
        <v>0</v>
      </c>
      <c r="C1289" s="3" t="s">
        <v>320</v>
      </c>
      <c r="G1289" s="3" t="s">
        <v>2962</v>
      </c>
      <c r="K1289" s="3" t="b">
        <v>0</v>
      </c>
      <c r="L1289" s="3" t="s">
        <v>3110</v>
      </c>
      <c r="N1289" s="3" t="s">
        <v>3111</v>
      </c>
      <c r="S1289" s="4" t="str">
        <f t="shared" si="1"/>
        <v>2018</v>
      </c>
    </row>
    <row r="1290">
      <c r="A1290" s="3">
        <v>32.0</v>
      </c>
      <c r="B1290" s="3" t="b">
        <v>0</v>
      </c>
      <c r="C1290" s="3" t="s">
        <v>186</v>
      </c>
      <c r="G1290" s="3" t="s">
        <v>3044</v>
      </c>
      <c r="K1290" s="3" t="b">
        <v>0</v>
      </c>
      <c r="L1290" s="3" t="s">
        <v>329</v>
      </c>
      <c r="N1290" s="3" t="s">
        <v>3112</v>
      </c>
      <c r="S1290" s="4" t="str">
        <f t="shared" si="1"/>
        <v>2018</v>
      </c>
    </row>
    <row r="1291">
      <c r="A1291" s="3">
        <v>31.0</v>
      </c>
      <c r="B1291" s="3" t="b">
        <v>0</v>
      </c>
      <c r="C1291" s="3" t="s">
        <v>58</v>
      </c>
      <c r="G1291" s="3" t="s">
        <v>2790</v>
      </c>
      <c r="K1291" s="3" t="b">
        <v>0</v>
      </c>
      <c r="L1291" s="3" t="s">
        <v>2221</v>
      </c>
      <c r="N1291" s="3" t="s">
        <v>3113</v>
      </c>
      <c r="S1291" s="4" t="str">
        <f t="shared" si="1"/>
        <v>2018</v>
      </c>
    </row>
    <row r="1292">
      <c r="A1292" s="3">
        <v>30.0</v>
      </c>
      <c r="B1292" s="3" t="b">
        <v>0</v>
      </c>
      <c r="C1292" s="3" t="s">
        <v>401</v>
      </c>
      <c r="G1292" s="3" t="s">
        <v>3114</v>
      </c>
      <c r="K1292" s="3" t="b">
        <v>0</v>
      </c>
      <c r="L1292" s="3" t="s">
        <v>2315</v>
      </c>
      <c r="N1292" s="3" t="s">
        <v>3115</v>
      </c>
      <c r="S1292" s="4" t="str">
        <f t="shared" si="1"/>
        <v>2018</v>
      </c>
    </row>
    <row r="1293">
      <c r="A1293" s="3">
        <v>30.0</v>
      </c>
      <c r="B1293" s="3" t="b">
        <v>0</v>
      </c>
      <c r="C1293" s="3" t="s">
        <v>80</v>
      </c>
      <c r="G1293" s="3" t="s">
        <v>2712</v>
      </c>
      <c r="K1293" s="3" t="b">
        <v>0</v>
      </c>
      <c r="L1293" s="3" t="s">
        <v>3116</v>
      </c>
      <c r="N1293" s="3" t="s">
        <v>3117</v>
      </c>
      <c r="S1293" s="4" t="str">
        <f t="shared" si="1"/>
        <v>2018</v>
      </c>
    </row>
    <row r="1294">
      <c r="A1294" s="3">
        <v>30.0</v>
      </c>
      <c r="B1294" s="3" t="b">
        <v>0</v>
      </c>
      <c r="C1294" s="3" t="s">
        <v>205</v>
      </c>
      <c r="G1294" s="3" t="s">
        <v>3118</v>
      </c>
      <c r="K1294" s="3" t="b">
        <v>0</v>
      </c>
      <c r="L1294" s="3" t="s">
        <v>329</v>
      </c>
      <c r="N1294" s="3" t="s">
        <v>3119</v>
      </c>
      <c r="S1294" s="4" t="str">
        <f t="shared" si="1"/>
        <v>2018</v>
      </c>
    </row>
    <row r="1295">
      <c r="A1295" s="3">
        <v>30.0</v>
      </c>
      <c r="B1295" s="3" t="b">
        <v>0</v>
      </c>
      <c r="C1295" s="3" t="s">
        <v>27</v>
      </c>
      <c r="G1295" s="3" t="s">
        <v>2914</v>
      </c>
      <c r="K1295" s="3" t="b">
        <v>0</v>
      </c>
      <c r="L1295" s="3" t="s">
        <v>3120</v>
      </c>
      <c r="N1295" s="3" t="s">
        <v>3121</v>
      </c>
      <c r="S1295" s="4" t="str">
        <f t="shared" si="1"/>
        <v>2018</v>
      </c>
    </row>
    <row r="1296">
      <c r="A1296" s="3">
        <v>30.0</v>
      </c>
      <c r="B1296" s="3" t="b">
        <v>0</v>
      </c>
      <c r="C1296" s="3" t="s">
        <v>149</v>
      </c>
      <c r="G1296" s="3" t="s">
        <v>2937</v>
      </c>
      <c r="K1296" s="3" t="b">
        <v>0</v>
      </c>
      <c r="L1296" s="3" t="s">
        <v>1683</v>
      </c>
      <c r="N1296" s="3" t="s">
        <v>3122</v>
      </c>
      <c r="S1296" s="4" t="str">
        <f t="shared" si="1"/>
        <v>2018</v>
      </c>
    </row>
    <row r="1297">
      <c r="A1297" s="3">
        <v>30.0</v>
      </c>
      <c r="B1297" s="3" t="b">
        <v>0</v>
      </c>
      <c r="C1297" s="3" t="s">
        <v>247</v>
      </c>
      <c r="G1297" s="3" t="s">
        <v>2690</v>
      </c>
      <c r="K1297" s="3" t="b">
        <v>0</v>
      </c>
      <c r="L1297" s="3" t="s">
        <v>406</v>
      </c>
      <c r="N1297" s="3" t="s">
        <v>3123</v>
      </c>
      <c r="S1297" s="4" t="str">
        <f t="shared" si="1"/>
        <v>2018</v>
      </c>
    </row>
    <row r="1298">
      <c r="A1298" s="3">
        <v>30.0</v>
      </c>
      <c r="B1298" s="3" t="b">
        <v>0</v>
      </c>
      <c r="C1298" s="3" t="s">
        <v>39</v>
      </c>
      <c r="G1298" s="3" t="s">
        <v>3124</v>
      </c>
      <c r="K1298" s="3" t="b">
        <v>0</v>
      </c>
      <c r="L1298" s="3" t="s">
        <v>3125</v>
      </c>
      <c r="N1298" s="3" t="s">
        <v>3126</v>
      </c>
      <c r="S1298" s="4" t="str">
        <f t="shared" si="1"/>
        <v>2018</v>
      </c>
    </row>
    <row r="1299">
      <c r="A1299" s="3">
        <v>28.0</v>
      </c>
      <c r="B1299" s="3" t="b">
        <v>0</v>
      </c>
      <c r="C1299" s="3" t="s">
        <v>62</v>
      </c>
      <c r="G1299" s="3" t="s">
        <v>3127</v>
      </c>
      <c r="K1299" s="3" t="b">
        <v>0</v>
      </c>
      <c r="L1299" s="3" t="s">
        <v>311</v>
      </c>
      <c r="N1299" s="3" t="s">
        <v>3128</v>
      </c>
      <c r="S1299" s="4" t="str">
        <f t="shared" si="1"/>
        <v>2018</v>
      </c>
    </row>
    <row r="1300">
      <c r="A1300" s="3">
        <v>27.0</v>
      </c>
      <c r="B1300" s="3" t="b">
        <v>0</v>
      </c>
      <c r="C1300" s="3" t="s">
        <v>46</v>
      </c>
      <c r="G1300" s="3" t="s">
        <v>2760</v>
      </c>
      <c r="K1300" s="3" t="b">
        <v>0</v>
      </c>
      <c r="L1300" s="3" t="s">
        <v>3129</v>
      </c>
      <c r="N1300" s="3" t="s">
        <v>3130</v>
      </c>
      <c r="S1300" s="4" t="str">
        <f t="shared" si="1"/>
        <v>2018</v>
      </c>
    </row>
    <row r="1301">
      <c r="A1301" s="3">
        <v>26.0</v>
      </c>
      <c r="B1301" s="3" t="b">
        <v>0</v>
      </c>
      <c r="C1301" s="3" t="s">
        <v>94</v>
      </c>
      <c r="G1301" s="3" t="s">
        <v>2760</v>
      </c>
      <c r="K1301" s="3" t="b">
        <v>0</v>
      </c>
      <c r="L1301" s="3" t="s">
        <v>99</v>
      </c>
      <c r="N1301" s="3" t="s">
        <v>3131</v>
      </c>
      <c r="S1301" s="4" t="str">
        <f t="shared" si="1"/>
        <v>2018</v>
      </c>
    </row>
    <row r="1302">
      <c r="A1302" s="3">
        <v>25.0</v>
      </c>
      <c r="B1302" s="3" t="b">
        <v>0</v>
      </c>
      <c r="C1302" s="3" t="s">
        <v>27</v>
      </c>
      <c r="G1302" s="3" t="s">
        <v>2804</v>
      </c>
      <c r="K1302" s="3" t="b">
        <v>0</v>
      </c>
      <c r="L1302" s="3" t="s">
        <v>3132</v>
      </c>
      <c r="N1302" s="3" t="s">
        <v>3133</v>
      </c>
      <c r="S1302" s="4" t="str">
        <f t="shared" si="1"/>
        <v>2018</v>
      </c>
    </row>
    <row r="1303">
      <c r="A1303" s="3">
        <v>25.0</v>
      </c>
      <c r="B1303" s="3" t="b">
        <v>0</v>
      </c>
      <c r="C1303" s="3" t="s">
        <v>80</v>
      </c>
      <c r="G1303" s="3" t="s">
        <v>3044</v>
      </c>
      <c r="K1303" s="3" t="b">
        <v>0</v>
      </c>
      <c r="L1303" s="3" t="s">
        <v>879</v>
      </c>
      <c r="N1303" s="3" t="s">
        <v>3134</v>
      </c>
      <c r="S1303" s="4" t="str">
        <f t="shared" si="1"/>
        <v>2018</v>
      </c>
    </row>
    <row r="1304">
      <c r="A1304" s="3">
        <v>25.0</v>
      </c>
      <c r="B1304" s="3" t="b">
        <v>0</v>
      </c>
      <c r="C1304" s="3" t="s">
        <v>149</v>
      </c>
      <c r="G1304" s="3" t="s">
        <v>2799</v>
      </c>
      <c r="K1304" s="3" t="b">
        <v>0</v>
      </c>
      <c r="L1304" s="3" t="s">
        <v>3135</v>
      </c>
      <c r="N1304" s="3" t="s">
        <v>3136</v>
      </c>
      <c r="S1304" s="4" t="str">
        <f t="shared" si="1"/>
        <v>2018</v>
      </c>
    </row>
    <row r="1305">
      <c r="A1305" s="3">
        <v>24.0</v>
      </c>
      <c r="B1305" s="3" t="b">
        <v>0</v>
      </c>
      <c r="C1305" s="3" t="s">
        <v>186</v>
      </c>
      <c r="G1305" s="3" t="s">
        <v>3084</v>
      </c>
      <c r="K1305" s="3" t="b">
        <v>1</v>
      </c>
      <c r="L1305" s="3" t="s">
        <v>3137</v>
      </c>
      <c r="N1305" s="3" t="s">
        <v>3138</v>
      </c>
      <c r="S1305" s="4" t="str">
        <f t="shared" si="1"/>
        <v>2018</v>
      </c>
    </row>
    <row r="1306">
      <c r="A1306" s="3">
        <v>23.0</v>
      </c>
      <c r="B1306" s="3" t="b">
        <v>0</v>
      </c>
      <c r="C1306" s="3" t="s">
        <v>27</v>
      </c>
      <c r="G1306" s="3" t="s">
        <v>2833</v>
      </c>
      <c r="K1306" s="3" t="b">
        <v>0</v>
      </c>
      <c r="L1306" s="3" t="s">
        <v>3139</v>
      </c>
      <c r="N1306" s="3" t="s">
        <v>3140</v>
      </c>
      <c r="S1306" s="4" t="str">
        <f t="shared" si="1"/>
        <v>2018</v>
      </c>
    </row>
    <row r="1307">
      <c r="A1307" s="3">
        <v>23.0</v>
      </c>
      <c r="B1307" s="3" t="b">
        <v>0</v>
      </c>
      <c r="C1307" s="3" t="s">
        <v>80</v>
      </c>
      <c r="G1307" s="3" t="s">
        <v>2878</v>
      </c>
      <c r="K1307" s="3" t="b">
        <v>0</v>
      </c>
      <c r="L1307" s="3" t="s">
        <v>3141</v>
      </c>
      <c r="N1307" s="3" t="s">
        <v>3142</v>
      </c>
      <c r="S1307" s="4" t="str">
        <f t="shared" si="1"/>
        <v>2018</v>
      </c>
    </row>
    <row r="1308">
      <c r="A1308" s="3">
        <v>23.0</v>
      </c>
      <c r="B1308" s="3" t="b">
        <v>0</v>
      </c>
      <c r="C1308" s="3" t="s">
        <v>54</v>
      </c>
      <c r="G1308" s="3" t="s">
        <v>2878</v>
      </c>
      <c r="K1308" s="3" t="b">
        <v>0</v>
      </c>
      <c r="L1308" s="3" t="s">
        <v>3143</v>
      </c>
      <c r="N1308" s="3" t="s">
        <v>3144</v>
      </c>
      <c r="S1308" s="4" t="str">
        <f t="shared" si="1"/>
        <v>2018</v>
      </c>
    </row>
    <row r="1309">
      <c r="A1309" s="3">
        <v>22.0</v>
      </c>
      <c r="B1309" s="3" t="b">
        <v>0</v>
      </c>
      <c r="C1309" s="3" t="s">
        <v>101</v>
      </c>
      <c r="G1309" s="3" t="s">
        <v>2911</v>
      </c>
      <c r="K1309" s="3" t="b">
        <v>0</v>
      </c>
      <c r="L1309" s="3" t="s">
        <v>3145</v>
      </c>
      <c r="N1309" s="3" t="s">
        <v>3146</v>
      </c>
      <c r="P1309" s="7">
        <v>7.0</v>
      </c>
      <c r="S1309" s="4" t="str">
        <f t="shared" si="1"/>
        <v>2018</v>
      </c>
    </row>
    <row r="1310">
      <c r="A1310" s="3">
        <v>21.0</v>
      </c>
      <c r="B1310" s="3" t="b">
        <v>0</v>
      </c>
      <c r="C1310" s="3" t="s">
        <v>27</v>
      </c>
      <c r="G1310" s="3" t="s">
        <v>3124</v>
      </c>
      <c r="K1310" s="3" t="b">
        <v>0</v>
      </c>
      <c r="L1310" s="3" t="s">
        <v>569</v>
      </c>
      <c r="N1310" s="3" t="s">
        <v>3147</v>
      </c>
      <c r="S1310" s="4" t="str">
        <f t="shared" si="1"/>
        <v>2018</v>
      </c>
    </row>
    <row r="1311">
      <c r="A1311" s="3">
        <v>20.0</v>
      </c>
      <c r="B1311" s="3" t="b">
        <v>0</v>
      </c>
      <c r="C1311" s="3" t="s">
        <v>80</v>
      </c>
      <c r="G1311" s="3" t="s">
        <v>2904</v>
      </c>
      <c r="K1311" s="3" t="b">
        <v>0</v>
      </c>
      <c r="L1311" s="3" t="s">
        <v>82</v>
      </c>
      <c r="N1311" s="3" t="s">
        <v>3148</v>
      </c>
      <c r="S1311" s="4" t="str">
        <f t="shared" si="1"/>
        <v>2018</v>
      </c>
    </row>
    <row r="1312">
      <c r="A1312" s="3">
        <v>20.0</v>
      </c>
      <c r="B1312" s="3" t="b">
        <v>0</v>
      </c>
      <c r="C1312" s="3" t="s">
        <v>205</v>
      </c>
      <c r="G1312" s="3" t="s">
        <v>2909</v>
      </c>
      <c r="K1312" s="3" t="b">
        <v>0</v>
      </c>
      <c r="L1312" s="3" t="s">
        <v>3149</v>
      </c>
      <c r="N1312" s="3" t="s">
        <v>3150</v>
      </c>
      <c r="S1312" s="4" t="str">
        <f t="shared" si="1"/>
        <v>2018</v>
      </c>
    </row>
    <row r="1313">
      <c r="A1313" s="3">
        <v>20.0</v>
      </c>
      <c r="B1313" s="3" t="b">
        <v>0</v>
      </c>
      <c r="C1313" s="3" t="s">
        <v>401</v>
      </c>
      <c r="G1313" s="3" t="s">
        <v>2645</v>
      </c>
      <c r="K1313" s="3" t="b">
        <v>0</v>
      </c>
      <c r="L1313" s="3" t="s">
        <v>2191</v>
      </c>
      <c r="N1313" s="3" t="s">
        <v>3151</v>
      </c>
      <c r="S1313" s="4" t="str">
        <f t="shared" si="1"/>
        <v>2018</v>
      </c>
    </row>
    <row r="1314">
      <c r="A1314" s="3">
        <v>20.0</v>
      </c>
      <c r="B1314" s="3" t="b">
        <v>0</v>
      </c>
      <c r="C1314" s="3" t="s">
        <v>205</v>
      </c>
      <c r="G1314" s="3" t="s">
        <v>2874</v>
      </c>
      <c r="K1314" s="3" t="b">
        <v>0</v>
      </c>
      <c r="L1314" s="3" t="s">
        <v>3152</v>
      </c>
      <c r="N1314" s="3" t="s">
        <v>3153</v>
      </c>
      <c r="S1314" s="4" t="str">
        <f t="shared" si="1"/>
        <v>2018</v>
      </c>
    </row>
    <row r="1315">
      <c r="A1315" s="3">
        <v>20.0</v>
      </c>
      <c r="B1315" s="3" t="b">
        <v>0</v>
      </c>
      <c r="C1315" s="3" t="s">
        <v>27</v>
      </c>
      <c r="G1315" s="3" t="s">
        <v>2696</v>
      </c>
      <c r="K1315" s="3" t="b">
        <v>0</v>
      </c>
      <c r="L1315" s="3" t="s">
        <v>2932</v>
      </c>
      <c r="N1315" s="3" t="s">
        <v>3154</v>
      </c>
      <c r="S1315" s="4" t="str">
        <f t="shared" si="1"/>
        <v>2018</v>
      </c>
    </row>
    <row r="1316">
      <c r="A1316" s="3">
        <v>20.0</v>
      </c>
      <c r="B1316" s="3" t="b">
        <v>0</v>
      </c>
      <c r="C1316" s="3" t="s">
        <v>87</v>
      </c>
      <c r="G1316" s="3" t="s">
        <v>2862</v>
      </c>
      <c r="K1316" s="3" t="b">
        <v>0</v>
      </c>
      <c r="L1316" s="3" t="s">
        <v>1607</v>
      </c>
      <c r="N1316" s="3" t="s">
        <v>3155</v>
      </c>
      <c r="S1316" s="4" t="str">
        <f t="shared" si="1"/>
        <v>2018</v>
      </c>
    </row>
    <row r="1317">
      <c r="A1317" s="3">
        <v>20.0</v>
      </c>
      <c r="B1317" s="3" t="b">
        <v>0</v>
      </c>
      <c r="C1317" s="3" t="s">
        <v>23</v>
      </c>
      <c r="G1317" s="3" t="s">
        <v>2862</v>
      </c>
      <c r="K1317" s="3" t="b">
        <v>0</v>
      </c>
      <c r="L1317" s="3" t="s">
        <v>2486</v>
      </c>
      <c r="N1317" s="3" t="s">
        <v>3156</v>
      </c>
      <c r="S1317" s="4" t="str">
        <f t="shared" si="1"/>
        <v>2018</v>
      </c>
    </row>
    <row r="1318">
      <c r="A1318" s="3">
        <v>20.0</v>
      </c>
      <c r="B1318" s="3" t="b">
        <v>0</v>
      </c>
      <c r="C1318" s="3" t="s">
        <v>138</v>
      </c>
      <c r="G1318" s="3" t="s">
        <v>3157</v>
      </c>
      <c r="K1318" s="3" t="b">
        <v>0</v>
      </c>
      <c r="L1318" s="3" t="s">
        <v>542</v>
      </c>
      <c r="N1318" s="3" t="s">
        <v>3158</v>
      </c>
      <c r="S1318" s="4" t="str">
        <f t="shared" si="1"/>
        <v>2018</v>
      </c>
    </row>
    <row r="1319">
      <c r="A1319" s="3">
        <v>18.0</v>
      </c>
      <c r="B1319" s="3" t="b">
        <v>0</v>
      </c>
      <c r="C1319" s="3" t="s">
        <v>62</v>
      </c>
      <c r="G1319" s="3" t="s">
        <v>2741</v>
      </c>
      <c r="K1319" s="3" t="b">
        <v>0</v>
      </c>
      <c r="L1319" s="3" t="s">
        <v>3159</v>
      </c>
      <c r="N1319" s="3" t="s">
        <v>3160</v>
      </c>
      <c r="S1319" s="4" t="str">
        <f t="shared" si="1"/>
        <v>2018</v>
      </c>
    </row>
    <row r="1320">
      <c r="A1320" s="3">
        <v>18.0</v>
      </c>
      <c r="B1320" s="3" t="b">
        <v>0</v>
      </c>
      <c r="C1320" s="3" t="s">
        <v>27</v>
      </c>
      <c r="G1320" s="3" t="s">
        <v>3161</v>
      </c>
      <c r="K1320" s="3" t="b">
        <v>0</v>
      </c>
      <c r="L1320" s="3" t="s">
        <v>2334</v>
      </c>
      <c r="N1320" s="3" t="s">
        <v>3162</v>
      </c>
      <c r="S1320" s="4" t="str">
        <f t="shared" si="1"/>
        <v>2018</v>
      </c>
    </row>
    <row r="1321">
      <c r="A1321" s="3">
        <v>17.0</v>
      </c>
      <c r="B1321" s="3" t="b">
        <v>0</v>
      </c>
      <c r="C1321" s="3" t="s">
        <v>2038</v>
      </c>
      <c r="G1321" s="3" t="s">
        <v>2793</v>
      </c>
      <c r="K1321" s="3" t="b">
        <v>1</v>
      </c>
      <c r="L1321" s="3" t="s">
        <v>2595</v>
      </c>
      <c r="N1321" s="3" t="s">
        <v>3163</v>
      </c>
      <c r="S1321" s="4" t="str">
        <f t="shared" si="1"/>
        <v>2018</v>
      </c>
    </row>
    <row r="1322">
      <c r="A1322" s="3">
        <v>17.0</v>
      </c>
      <c r="B1322" s="3" t="b">
        <v>0</v>
      </c>
      <c r="C1322" s="3" t="s">
        <v>324</v>
      </c>
      <c r="G1322" s="3" t="s">
        <v>3044</v>
      </c>
      <c r="K1322" s="3" t="b">
        <v>0</v>
      </c>
      <c r="L1322" s="3" t="s">
        <v>987</v>
      </c>
      <c r="N1322" s="3" t="s">
        <v>3164</v>
      </c>
      <c r="S1322" s="4" t="str">
        <f t="shared" si="1"/>
        <v>2018</v>
      </c>
    </row>
    <row r="1323">
      <c r="A1323" s="3">
        <v>17.0</v>
      </c>
      <c r="B1323" s="3" t="b">
        <v>0</v>
      </c>
      <c r="C1323" s="3" t="s">
        <v>27</v>
      </c>
      <c r="G1323" s="3" t="s">
        <v>3081</v>
      </c>
      <c r="K1323" s="3" t="b">
        <v>0</v>
      </c>
      <c r="L1323" s="3" t="s">
        <v>3165</v>
      </c>
      <c r="N1323" s="3" t="s">
        <v>3166</v>
      </c>
      <c r="S1323" s="4" t="str">
        <f t="shared" si="1"/>
        <v>2018</v>
      </c>
    </row>
    <row r="1324">
      <c r="A1324" s="3">
        <v>16.0</v>
      </c>
      <c r="B1324" s="3" t="b">
        <v>0</v>
      </c>
      <c r="C1324" s="3" t="s">
        <v>388</v>
      </c>
      <c r="G1324" s="3" t="s">
        <v>2785</v>
      </c>
      <c r="K1324" s="3" t="b">
        <v>0</v>
      </c>
      <c r="L1324" s="3" t="s">
        <v>730</v>
      </c>
      <c r="N1324" s="3" t="s">
        <v>3167</v>
      </c>
      <c r="S1324" s="4" t="str">
        <f t="shared" si="1"/>
        <v>2018</v>
      </c>
    </row>
    <row r="1325">
      <c r="A1325" s="3">
        <v>16.0</v>
      </c>
      <c r="B1325" s="3" t="b">
        <v>0</v>
      </c>
      <c r="C1325" s="3" t="s">
        <v>50</v>
      </c>
      <c r="G1325" s="3" t="s">
        <v>3056</v>
      </c>
      <c r="K1325" s="3" t="b">
        <v>0</v>
      </c>
      <c r="L1325" s="3" t="s">
        <v>3168</v>
      </c>
      <c r="N1325" s="3" t="s">
        <v>3169</v>
      </c>
      <c r="S1325" s="4" t="str">
        <f t="shared" si="1"/>
        <v>2018</v>
      </c>
    </row>
    <row r="1326">
      <c r="A1326" s="3">
        <v>16.0</v>
      </c>
      <c r="B1326" s="3" t="b">
        <v>0</v>
      </c>
      <c r="C1326" s="3" t="s">
        <v>401</v>
      </c>
      <c r="G1326" s="3" t="s">
        <v>2940</v>
      </c>
      <c r="K1326" s="3" t="b">
        <v>0</v>
      </c>
      <c r="L1326" s="3" t="s">
        <v>3170</v>
      </c>
      <c r="N1326" s="3" t="s">
        <v>3171</v>
      </c>
      <c r="S1326" s="4" t="str">
        <f t="shared" si="1"/>
        <v>2018</v>
      </c>
    </row>
    <row r="1327">
      <c r="A1327" s="3">
        <v>15.0</v>
      </c>
      <c r="B1327" s="3" t="b">
        <v>0</v>
      </c>
      <c r="C1327" s="3" t="s">
        <v>46</v>
      </c>
      <c r="G1327" s="3" t="s">
        <v>2894</v>
      </c>
      <c r="K1327" s="3" t="b">
        <v>0</v>
      </c>
      <c r="L1327" s="3" t="s">
        <v>3172</v>
      </c>
      <c r="N1327" s="3" t="s">
        <v>3173</v>
      </c>
      <c r="S1327" s="4" t="str">
        <f t="shared" si="1"/>
        <v>2018</v>
      </c>
    </row>
    <row r="1328">
      <c r="A1328" s="3">
        <v>15.0</v>
      </c>
      <c r="B1328" s="3" t="b">
        <v>0</v>
      </c>
      <c r="C1328" s="3" t="s">
        <v>145</v>
      </c>
      <c r="G1328" s="3" t="s">
        <v>3084</v>
      </c>
      <c r="K1328" s="3" t="b">
        <v>0</v>
      </c>
      <c r="L1328" s="3" t="s">
        <v>3174</v>
      </c>
      <c r="N1328" s="3" t="s">
        <v>3175</v>
      </c>
      <c r="S1328" s="4" t="str">
        <f t="shared" si="1"/>
        <v>2018</v>
      </c>
    </row>
    <row r="1329">
      <c r="A1329" s="3">
        <v>15.0</v>
      </c>
      <c r="B1329" s="3" t="b">
        <v>0</v>
      </c>
      <c r="C1329" s="3" t="s">
        <v>27</v>
      </c>
      <c r="G1329" s="3" t="s">
        <v>2741</v>
      </c>
      <c r="K1329" s="3" t="b">
        <v>0</v>
      </c>
      <c r="L1329" s="3" t="s">
        <v>3176</v>
      </c>
      <c r="N1329" s="3" t="s">
        <v>3177</v>
      </c>
      <c r="S1329" s="4" t="str">
        <f t="shared" si="1"/>
        <v>2018</v>
      </c>
    </row>
    <row r="1330">
      <c r="A1330" s="3">
        <v>15.0</v>
      </c>
      <c r="B1330" s="3" t="b">
        <v>0</v>
      </c>
      <c r="C1330" s="3" t="s">
        <v>27</v>
      </c>
      <c r="D1330" s="7">
        <v>2.0</v>
      </c>
      <c r="E1330" s="7">
        <v>1.0</v>
      </c>
      <c r="F1330" s="7">
        <v>18.0</v>
      </c>
      <c r="G1330" s="3" t="s">
        <v>3124</v>
      </c>
      <c r="I1330" s="7">
        <v>1.0</v>
      </c>
      <c r="K1330" s="3" t="b">
        <v>1</v>
      </c>
      <c r="L1330" s="3" t="s">
        <v>390</v>
      </c>
      <c r="M1330" s="7">
        <v>105.0</v>
      </c>
      <c r="N1330" s="3" t="s">
        <v>3178</v>
      </c>
      <c r="S1330" s="4" t="str">
        <f t="shared" si="1"/>
        <v>2018</v>
      </c>
    </row>
    <row r="1331">
      <c r="A1331" s="3">
        <v>14.0</v>
      </c>
      <c r="B1331" s="3" t="b">
        <v>0</v>
      </c>
      <c r="C1331" s="3" t="s">
        <v>62</v>
      </c>
      <c r="G1331" s="3" t="s">
        <v>2911</v>
      </c>
      <c r="K1331" s="3" t="b">
        <v>0</v>
      </c>
      <c r="L1331" s="3" t="s">
        <v>3179</v>
      </c>
      <c r="N1331" s="3" t="s">
        <v>3180</v>
      </c>
      <c r="S1331" s="4" t="str">
        <f t="shared" si="1"/>
        <v>2018</v>
      </c>
    </row>
    <row r="1332">
      <c r="A1332" s="3">
        <v>14.0</v>
      </c>
      <c r="B1332" s="3" t="b">
        <v>0</v>
      </c>
      <c r="C1332" s="3" t="s">
        <v>149</v>
      </c>
      <c r="G1332" s="3" t="s">
        <v>3127</v>
      </c>
      <c r="K1332" s="3" t="b">
        <v>0</v>
      </c>
      <c r="L1332" s="3" t="s">
        <v>2082</v>
      </c>
      <c r="N1332" s="3" t="s">
        <v>3181</v>
      </c>
      <c r="S1332" s="4" t="str">
        <f t="shared" si="1"/>
        <v>2018</v>
      </c>
    </row>
    <row r="1333">
      <c r="A1333" s="3">
        <v>14.0</v>
      </c>
      <c r="B1333" s="3" t="b">
        <v>0</v>
      </c>
      <c r="C1333" s="3" t="s">
        <v>320</v>
      </c>
      <c r="G1333" s="3" t="s">
        <v>3182</v>
      </c>
      <c r="K1333" s="3" t="b">
        <v>0</v>
      </c>
      <c r="L1333" s="3" t="s">
        <v>3183</v>
      </c>
      <c r="N1333" s="3" t="s">
        <v>3184</v>
      </c>
      <c r="S1333" s="4" t="str">
        <f t="shared" si="1"/>
        <v>2018</v>
      </c>
    </row>
    <row r="1334">
      <c r="A1334" s="3">
        <v>14.0</v>
      </c>
      <c r="B1334" s="3" t="b">
        <v>0</v>
      </c>
      <c r="C1334" s="3" t="s">
        <v>240</v>
      </c>
      <c r="G1334" s="3" t="s">
        <v>2799</v>
      </c>
      <c r="K1334" s="3" t="b">
        <v>0</v>
      </c>
      <c r="L1334" s="3" t="s">
        <v>3185</v>
      </c>
      <c r="N1334" s="3" t="s">
        <v>3186</v>
      </c>
      <c r="S1334" s="4" t="str">
        <f t="shared" si="1"/>
        <v>2018</v>
      </c>
    </row>
    <row r="1335">
      <c r="A1335" s="3">
        <v>13.0</v>
      </c>
      <c r="B1335" s="3" t="b">
        <v>0</v>
      </c>
      <c r="C1335" s="3" t="s">
        <v>58</v>
      </c>
      <c r="G1335" s="3" t="s">
        <v>2744</v>
      </c>
      <c r="K1335" s="3" t="b">
        <v>0</v>
      </c>
      <c r="L1335" s="3" t="s">
        <v>3187</v>
      </c>
      <c r="N1335" s="3" t="s">
        <v>3188</v>
      </c>
      <c r="S1335" s="4" t="str">
        <f t="shared" si="1"/>
        <v>2018</v>
      </c>
    </row>
    <row r="1336">
      <c r="A1336" s="3">
        <v>13.0</v>
      </c>
      <c r="B1336" s="3" t="b">
        <v>0</v>
      </c>
      <c r="C1336" s="3" t="s">
        <v>62</v>
      </c>
      <c r="D1336" s="7">
        <v>3.0</v>
      </c>
      <c r="F1336" s="7">
        <v>10.0</v>
      </c>
      <c r="G1336" s="3" t="s">
        <v>2835</v>
      </c>
      <c r="I1336" s="7">
        <v>4.0</v>
      </c>
      <c r="K1336" s="3" t="b">
        <v>1</v>
      </c>
      <c r="L1336" s="3" t="s">
        <v>3189</v>
      </c>
      <c r="M1336" s="7">
        <v>80.0</v>
      </c>
      <c r="N1336" s="3" t="s">
        <v>3190</v>
      </c>
      <c r="O1336" s="7">
        <v>1.0</v>
      </c>
      <c r="P1336" s="7">
        <v>0.0</v>
      </c>
      <c r="S1336" s="4" t="str">
        <f t="shared" si="1"/>
        <v>2018</v>
      </c>
    </row>
    <row r="1337">
      <c r="A1337" s="3">
        <v>13.0</v>
      </c>
      <c r="B1337" s="3" t="b">
        <v>0</v>
      </c>
      <c r="C1337" s="3" t="s">
        <v>39</v>
      </c>
      <c r="G1337" s="3" t="s">
        <v>3191</v>
      </c>
      <c r="K1337" s="3" t="b">
        <v>0</v>
      </c>
      <c r="L1337" s="3" t="s">
        <v>3192</v>
      </c>
      <c r="N1337" s="3" t="s">
        <v>3193</v>
      </c>
      <c r="S1337" s="4" t="str">
        <f t="shared" si="1"/>
        <v>2018</v>
      </c>
    </row>
    <row r="1338">
      <c r="A1338" s="3">
        <v>12.0</v>
      </c>
      <c r="B1338" s="3" t="b">
        <v>0</v>
      </c>
      <c r="C1338" s="3" t="s">
        <v>58</v>
      </c>
      <c r="G1338" s="3" t="s">
        <v>2885</v>
      </c>
      <c r="K1338" s="3" t="b">
        <v>0</v>
      </c>
      <c r="L1338" s="3" t="s">
        <v>2138</v>
      </c>
      <c r="N1338" s="3" t="s">
        <v>3194</v>
      </c>
      <c r="S1338" s="4" t="str">
        <f t="shared" si="1"/>
        <v>2018</v>
      </c>
    </row>
    <row r="1339">
      <c r="A1339" s="3">
        <v>12.0</v>
      </c>
      <c r="B1339" s="3" t="b">
        <v>0</v>
      </c>
      <c r="C1339" s="3" t="s">
        <v>130</v>
      </c>
      <c r="G1339" s="3" t="s">
        <v>2715</v>
      </c>
      <c r="K1339" s="3" t="b">
        <v>1</v>
      </c>
      <c r="L1339" s="3" t="s">
        <v>2413</v>
      </c>
      <c r="N1339" s="3" t="s">
        <v>3195</v>
      </c>
      <c r="P1339" s="7">
        <v>4.0</v>
      </c>
      <c r="S1339" s="4" t="str">
        <f t="shared" si="1"/>
        <v>2018</v>
      </c>
    </row>
    <row r="1340">
      <c r="A1340" s="3">
        <v>12.0</v>
      </c>
      <c r="B1340" s="3" t="b">
        <v>0</v>
      </c>
      <c r="C1340" s="3" t="s">
        <v>134</v>
      </c>
      <c r="G1340" s="3" t="s">
        <v>3107</v>
      </c>
      <c r="K1340" s="3" t="b">
        <v>0</v>
      </c>
      <c r="L1340" s="3" t="s">
        <v>3196</v>
      </c>
      <c r="N1340" s="3" t="s">
        <v>3197</v>
      </c>
      <c r="S1340" s="4" t="str">
        <f t="shared" si="1"/>
        <v>2018</v>
      </c>
    </row>
    <row r="1341">
      <c r="A1341" s="3">
        <v>12.0</v>
      </c>
      <c r="B1341" s="3" t="b">
        <v>0</v>
      </c>
      <c r="C1341" s="3" t="s">
        <v>156</v>
      </c>
      <c r="G1341" s="3" t="s">
        <v>2989</v>
      </c>
      <c r="K1341" s="3" t="b">
        <v>0</v>
      </c>
      <c r="L1341" s="3" t="s">
        <v>3198</v>
      </c>
      <c r="N1341" s="3" t="s">
        <v>3199</v>
      </c>
      <c r="S1341" s="4" t="str">
        <f t="shared" si="1"/>
        <v>2018</v>
      </c>
    </row>
    <row r="1342">
      <c r="A1342" s="3">
        <v>12.0</v>
      </c>
      <c r="B1342" s="3" t="b">
        <v>0</v>
      </c>
      <c r="C1342" s="3" t="s">
        <v>2397</v>
      </c>
      <c r="G1342" s="3" t="s">
        <v>2729</v>
      </c>
      <c r="K1342" s="3" t="b">
        <v>0</v>
      </c>
      <c r="L1342" s="3" t="s">
        <v>1950</v>
      </c>
      <c r="N1342" s="3" t="s">
        <v>3200</v>
      </c>
      <c r="S1342" s="4" t="str">
        <f t="shared" si="1"/>
        <v>2018</v>
      </c>
    </row>
    <row r="1343">
      <c r="A1343" s="3">
        <v>12.0</v>
      </c>
      <c r="B1343" s="3" t="b">
        <v>0</v>
      </c>
      <c r="C1343" s="3" t="s">
        <v>62</v>
      </c>
      <c r="G1343" s="3" t="s">
        <v>2843</v>
      </c>
      <c r="K1343" s="3" t="b">
        <v>0</v>
      </c>
      <c r="L1343" s="3" t="s">
        <v>2221</v>
      </c>
      <c r="N1343" s="3" t="s">
        <v>3201</v>
      </c>
      <c r="S1343" s="4" t="str">
        <f t="shared" si="1"/>
        <v>2018</v>
      </c>
    </row>
    <row r="1344">
      <c r="A1344" s="3">
        <v>12.0</v>
      </c>
      <c r="B1344" s="3" t="b">
        <v>0</v>
      </c>
      <c r="C1344" s="3" t="s">
        <v>46</v>
      </c>
      <c r="G1344" s="3" t="s">
        <v>3004</v>
      </c>
      <c r="K1344" s="3" t="b">
        <v>0</v>
      </c>
      <c r="L1344" s="3" t="s">
        <v>3202</v>
      </c>
      <c r="N1344" s="3" t="s">
        <v>3203</v>
      </c>
      <c r="S1344" s="4" t="str">
        <f t="shared" si="1"/>
        <v>2018</v>
      </c>
    </row>
    <row r="1345">
      <c r="A1345" s="3">
        <v>12.0</v>
      </c>
      <c r="B1345" s="3" t="b">
        <v>0</v>
      </c>
      <c r="C1345" s="3" t="s">
        <v>149</v>
      </c>
      <c r="G1345" s="3" t="s">
        <v>3081</v>
      </c>
      <c r="K1345" s="3" t="b">
        <v>0</v>
      </c>
      <c r="L1345" s="3" t="s">
        <v>3204</v>
      </c>
      <c r="N1345" s="3" t="s">
        <v>3205</v>
      </c>
      <c r="S1345" s="4" t="str">
        <f t="shared" si="1"/>
        <v>2018</v>
      </c>
    </row>
    <row r="1346">
      <c r="A1346" s="3">
        <v>12.0</v>
      </c>
      <c r="B1346" s="3" t="b">
        <v>0</v>
      </c>
      <c r="C1346" s="3" t="s">
        <v>166</v>
      </c>
      <c r="G1346" s="3" t="s">
        <v>3027</v>
      </c>
      <c r="K1346" s="3" t="b">
        <v>0</v>
      </c>
      <c r="L1346" s="3" t="s">
        <v>3206</v>
      </c>
      <c r="N1346" s="3" t="s">
        <v>3207</v>
      </c>
      <c r="S1346" s="4" t="str">
        <f t="shared" si="1"/>
        <v>2018</v>
      </c>
    </row>
    <row r="1347">
      <c r="A1347" s="3">
        <v>12.0</v>
      </c>
      <c r="B1347" s="3" t="b">
        <v>0</v>
      </c>
      <c r="C1347" s="3" t="s">
        <v>205</v>
      </c>
      <c r="G1347" s="3" t="s">
        <v>2828</v>
      </c>
      <c r="K1347" s="3" t="b">
        <v>0</v>
      </c>
      <c r="L1347" s="3" t="s">
        <v>406</v>
      </c>
      <c r="N1347" s="3" t="s">
        <v>3208</v>
      </c>
      <c r="S1347" s="4" t="str">
        <f t="shared" si="1"/>
        <v>2018</v>
      </c>
    </row>
    <row r="1348">
      <c r="A1348" s="3">
        <v>12.0</v>
      </c>
      <c r="B1348" s="3" t="b">
        <v>0</v>
      </c>
      <c r="C1348" s="3" t="s">
        <v>62</v>
      </c>
      <c r="G1348" s="3" t="s">
        <v>2828</v>
      </c>
      <c r="K1348" s="3" t="b">
        <v>0</v>
      </c>
      <c r="L1348" s="3" t="s">
        <v>3209</v>
      </c>
      <c r="N1348" s="3" t="s">
        <v>3210</v>
      </c>
      <c r="S1348" s="4" t="str">
        <f t="shared" si="1"/>
        <v>2018</v>
      </c>
    </row>
    <row r="1349">
      <c r="A1349" s="3">
        <v>11.0</v>
      </c>
      <c r="B1349" s="3" t="b">
        <v>0</v>
      </c>
      <c r="C1349" s="3" t="s">
        <v>87</v>
      </c>
      <c r="G1349" s="3" t="s">
        <v>2974</v>
      </c>
      <c r="K1349" s="3" t="b">
        <v>0</v>
      </c>
      <c r="L1349" s="3" t="s">
        <v>3211</v>
      </c>
      <c r="N1349" s="3" t="s">
        <v>3212</v>
      </c>
      <c r="S1349" s="4" t="str">
        <f t="shared" si="1"/>
        <v>2018</v>
      </c>
    </row>
    <row r="1350">
      <c r="A1350" s="3">
        <v>11.0</v>
      </c>
      <c r="B1350" s="3" t="b">
        <v>0</v>
      </c>
      <c r="C1350" s="3" t="s">
        <v>156</v>
      </c>
      <c r="G1350" s="3" t="s">
        <v>2775</v>
      </c>
      <c r="K1350" s="3" t="b">
        <v>0</v>
      </c>
      <c r="L1350" s="3" t="s">
        <v>3213</v>
      </c>
      <c r="N1350" s="3" t="s">
        <v>3214</v>
      </c>
      <c r="S1350" s="4" t="str">
        <f t="shared" si="1"/>
        <v>2018</v>
      </c>
    </row>
    <row r="1351">
      <c r="A1351" s="3">
        <v>11.0</v>
      </c>
      <c r="B1351" s="3" t="b">
        <v>0</v>
      </c>
      <c r="C1351" s="3" t="s">
        <v>27</v>
      </c>
      <c r="G1351" s="3" t="s">
        <v>3191</v>
      </c>
      <c r="K1351" s="3" t="b">
        <v>0</v>
      </c>
      <c r="L1351" s="3" t="s">
        <v>3215</v>
      </c>
      <c r="N1351" s="3" t="s">
        <v>3216</v>
      </c>
      <c r="S1351" s="4" t="str">
        <f t="shared" si="1"/>
        <v>2018</v>
      </c>
    </row>
    <row r="1352">
      <c r="A1352" s="3">
        <v>11.0</v>
      </c>
      <c r="B1352" s="3" t="b">
        <v>0</v>
      </c>
      <c r="C1352" s="3" t="s">
        <v>58</v>
      </c>
      <c r="G1352" s="3" t="s">
        <v>3217</v>
      </c>
      <c r="K1352" s="3" t="b">
        <v>0</v>
      </c>
      <c r="L1352" s="3" t="s">
        <v>1683</v>
      </c>
      <c r="N1352" s="3" t="s">
        <v>3218</v>
      </c>
      <c r="S1352" s="4" t="str">
        <f t="shared" si="1"/>
        <v>2018</v>
      </c>
    </row>
    <row r="1353">
      <c r="A1353" s="3">
        <v>10.0</v>
      </c>
      <c r="B1353" s="3" t="b">
        <v>0</v>
      </c>
      <c r="C1353" s="3" t="s">
        <v>2038</v>
      </c>
      <c r="G1353" s="3" t="s">
        <v>2904</v>
      </c>
      <c r="K1353" s="3" t="b">
        <v>0</v>
      </c>
      <c r="L1353" s="3" t="s">
        <v>2039</v>
      </c>
      <c r="N1353" s="3" t="s">
        <v>3219</v>
      </c>
      <c r="S1353" s="4" t="str">
        <f t="shared" si="1"/>
        <v>2018</v>
      </c>
    </row>
    <row r="1354">
      <c r="A1354" s="3">
        <v>10.0</v>
      </c>
      <c r="B1354" s="3" t="b">
        <v>0</v>
      </c>
      <c r="C1354" s="3" t="s">
        <v>50</v>
      </c>
      <c r="G1354" s="3" t="s">
        <v>2872</v>
      </c>
      <c r="K1354" s="3" t="b">
        <v>0</v>
      </c>
      <c r="L1354" s="3" t="s">
        <v>3220</v>
      </c>
      <c r="N1354" s="3" t="s">
        <v>3221</v>
      </c>
      <c r="S1354" s="4" t="str">
        <f t="shared" si="1"/>
        <v>2018</v>
      </c>
    </row>
    <row r="1355">
      <c r="A1355" s="3">
        <v>10.0</v>
      </c>
      <c r="B1355" s="3" t="b">
        <v>0</v>
      </c>
      <c r="C1355" s="3" t="s">
        <v>87</v>
      </c>
      <c r="G1355" s="3" t="s">
        <v>3030</v>
      </c>
      <c r="K1355" s="3" t="b">
        <v>0</v>
      </c>
      <c r="L1355" s="3" t="s">
        <v>3222</v>
      </c>
      <c r="N1355" s="3" t="s">
        <v>3223</v>
      </c>
      <c r="S1355" s="4" t="str">
        <f t="shared" si="1"/>
        <v>2018</v>
      </c>
    </row>
    <row r="1356">
      <c r="A1356" s="3">
        <v>10.0</v>
      </c>
      <c r="B1356" s="3" t="b">
        <v>0</v>
      </c>
      <c r="C1356" s="3" t="s">
        <v>27</v>
      </c>
      <c r="G1356" s="3" t="s">
        <v>2767</v>
      </c>
      <c r="K1356" s="3" t="b">
        <v>0</v>
      </c>
      <c r="L1356" s="3" t="s">
        <v>3224</v>
      </c>
      <c r="N1356" s="3" t="s">
        <v>3225</v>
      </c>
      <c r="S1356" s="4" t="str">
        <f t="shared" si="1"/>
        <v>2018</v>
      </c>
    </row>
    <row r="1357">
      <c r="A1357" s="3">
        <v>10.0</v>
      </c>
      <c r="B1357" s="3" t="b">
        <v>0</v>
      </c>
      <c r="C1357" s="3" t="s">
        <v>166</v>
      </c>
      <c r="G1357" s="3" t="s">
        <v>2671</v>
      </c>
      <c r="K1357" s="3" t="b">
        <v>0</v>
      </c>
      <c r="L1357" s="3" t="s">
        <v>3226</v>
      </c>
      <c r="N1357" s="3" t="s">
        <v>3227</v>
      </c>
      <c r="S1357" s="4" t="str">
        <f t="shared" si="1"/>
        <v>2018</v>
      </c>
    </row>
    <row r="1358">
      <c r="A1358" s="3">
        <v>10.0</v>
      </c>
      <c r="B1358" s="3" t="b">
        <v>0</v>
      </c>
      <c r="C1358" s="3" t="s">
        <v>46</v>
      </c>
      <c r="G1358" s="3" t="s">
        <v>2780</v>
      </c>
      <c r="K1358" s="3" t="b">
        <v>0</v>
      </c>
      <c r="L1358" s="3" t="s">
        <v>3228</v>
      </c>
      <c r="N1358" s="3" t="s">
        <v>3229</v>
      </c>
      <c r="S1358" s="4" t="str">
        <f t="shared" si="1"/>
        <v>2018</v>
      </c>
    </row>
    <row r="1359">
      <c r="A1359" s="3">
        <v>10.0</v>
      </c>
      <c r="B1359" s="3" t="b">
        <v>0</v>
      </c>
      <c r="C1359" s="3" t="s">
        <v>62</v>
      </c>
      <c r="G1359" s="3" t="s">
        <v>2673</v>
      </c>
      <c r="K1359" s="3" t="b">
        <v>0</v>
      </c>
      <c r="L1359" s="3" t="s">
        <v>3230</v>
      </c>
      <c r="N1359" s="3" t="s">
        <v>3231</v>
      </c>
      <c r="S1359" s="4" t="str">
        <f t="shared" si="1"/>
        <v>2018</v>
      </c>
    </row>
    <row r="1360">
      <c r="A1360" s="3">
        <v>10.0</v>
      </c>
      <c r="B1360" s="3" t="b">
        <v>0</v>
      </c>
      <c r="C1360" s="3" t="s">
        <v>87</v>
      </c>
      <c r="G1360" s="3" t="s">
        <v>2690</v>
      </c>
      <c r="K1360" s="3" t="b">
        <v>0</v>
      </c>
      <c r="L1360" s="3" t="s">
        <v>3232</v>
      </c>
      <c r="N1360" s="3" t="s">
        <v>3233</v>
      </c>
      <c r="S1360" s="4" t="str">
        <f t="shared" si="1"/>
        <v>2018</v>
      </c>
    </row>
    <row r="1361">
      <c r="A1361" s="3">
        <v>10.0</v>
      </c>
      <c r="B1361" s="3" t="b">
        <v>0</v>
      </c>
      <c r="C1361" s="3" t="s">
        <v>149</v>
      </c>
      <c r="G1361" s="3" t="s">
        <v>2704</v>
      </c>
      <c r="K1361" s="3" t="b">
        <v>0</v>
      </c>
      <c r="L1361" s="3" t="s">
        <v>329</v>
      </c>
      <c r="N1361" s="3" t="s">
        <v>3234</v>
      </c>
      <c r="P1361" s="7">
        <v>12.0</v>
      </c>
      <c r="S1361" s="4" t="str">
        <f t="shared" si="1"/>
        <v>2018</v>
      </c>
    </row>
    <row r="1362">
      <c r="A1362" s="3">
        <v>10.0</v>
      </c>
      <c r="B1362" s="3" t="b">
        <v>0</v>
      </c>
      <c r="C1362" s="3" t="s">
        <v>114</v>
      </c>
      <c r="G1362" s="3" t="s">
        <v>2874</v>
      </c>
      <c r="K1362" s="3" t="b">
        <v>0</v>
      </c>
      <c r="L1362" s="3" t="s">
        <v>3235</v>
      </c>
      <c r="N1362" s="3" t="s">
        <v>3236</v>
      </c>
      <c r="S1362" s="4" t="str">
        <f t="shared" si="1"/>
        <v>2018</v>
      </c>
    </row>
    <row r="1363">
      <c r="A1363" s="3">
        <v>10.0</v>
      </c>
      <c r="B1363" s="3" t="b">
        <v>0</v>
      </c>
      <c r="C1363" s="3" t="s">
        <v>73</v>
      </c>
      <c r="G1363" s="3" t="s">
        <v>3237</v>
      </c>
      <c r="K1363" s="3" t="b">
        <v>0</v>
      </c>
      <c r="L1363" s="3" t="s">
        <v>3238</v>
      </c>
      <c r="N1363" s="3" t="s">
        <v>3239</v>
      </c>
      <c r="S1363" s="4" t="str">
        <f t="shared" si="1"/>
        <v>2018</v>
      </c>
    </row>
    <row r="1364">
      <c r="A1364" s="3">
        <v>10.0</v>
      </c>
      <c r="B1364" s="3" t="b">
        <v>0</v>
      </c>
      <c r="C1364" s="3" t="s">
        <v>62</v>
      </c>
      <c r="G1364" s="3" t="s">
        <v>3076</v>
      </c>
      <c r="K1364" s="3" t="b">
        <v>0</v>
      </c>
      <c r="L1364" s="3" t="s">
        <v>1489</v>
      </c>
      <c r="N1364" s="3" t="s">
        <v>3240</v>
      </c>
      <c r="S1364" s="4" t="str">
        <f t="shared" si="1"/>
        <v>2018</v>
      </c>
    </row>
    <row r="1365">
      <c r="A1365" s="3">
        <v>10.0</v>
      </c>
      <c r="B1365" s="3" t="b">
        <v>0</v>
      </c>
      <c r="C1365" s="3" t="s">
        <v>54</v>
      </c>
      <c r="G1365" s="3" t="s">
        <v>3191</v>
      </c>
      <c r="K1365" s="3" t="b">
        <v>0</v>
      </c>
      <c r="L1365" s="3" t="s">
        <v>644</v>
      </c>
      <c r="N1365" s="3" t="s">
        <v>3241</v>
      </c>
      <c r="S1365" s="4" t="str">
        <f t="shared" si="1"/>
        <v>2018</v>
      </c>
    </row>
    <row r="1366">
      <c r="A1366" s="3">
        <v>10.0</v>
      </c>
      <c r="B1366" s="3" t="b">
        <v>0</v>
      </c>
      <c r="C1366" s="3" t="s">
        <v>27</v>
      </c>
      <c r="G1366" s="3" t="s">
        <v>3191</v>
      </c>
      <c r="K1366" s="3" t="b">
        <v>0</v>
      </c>
      <c r="L1366" s="3" t="s">
        <v>3242</v>
      </c>
      <c r="N1366" s="3" t="s">
        <v>3243</v>
      </c>
      <c r="S1366" s="4" t="str">
        <f t="shared" si="1"/>
        <v>2018</v>
      </c>
    </row>
    <row r="1367">
      <c r="A1367" s="3">
        <v>10.0</v>
      </c>
      <c r="B1367" s="3" t="b">
        <v>0</v>
      </c>
      <c r="C1367" s="3" t="s">
        <v>27</v>
      </c>
      <c r="G1367" s="3" t="s">
        <v>2985</v>
      </c>
      <c r="K1367" s="3" t="b">
        <v>0</v>
      </c>
      <c r="L1367" s="3" t="s">
        <v>3244</v>
      </c>
      <c r="N1367" s="3" t="s">
        <v>3245</v>
      </c>
      <c r="S1367" s="4" t="str">
        <f t="shared" si="1"/>
        <v>2018</v>
      </c>
    </row>
    <row r="1368">
      <c r="A1368" s="3">
        <v>0.0</v>
      </c>
      <c r="B1368" s="3" t="b">
        <v>0</v>
      </c>
      <c r="C1368" s="3" t="s">
        <v>87</v>
      </c>
      <c r="G1368" s="3" t="s">
        <v>2653</v>
      </c>
      <c r="K1368" s="3" t="b">
        <v>1</v>
      </c>
      <c r="L1368" s="3" t="s">
        <v>3246</v>
      </c>
      <c r="N1368" s="3" t="s">
        <v>3247</v>
      </c>
      <c r="S1368" s="4" t="str">
        <f t="shared" si="1"/>
        <v>2018</v>
      </c>
    </row>
    <row r="1369">
      <c r="A1369" s="3">
        <v>0.0</v>
      </c>
      <c r="B1369" s="3" t="b">
        <v>0</v>
      </c>
      <c r="C1369" s="3" t="s">
        <v>50</v>
      </c>
      <c r="G1369" s="3" t="s">
        <v>3248</v>
      </c>
      <c r="K1369" s="3" t="b">
        <v>0</v>
      </c>
      <c r="L1369" s="3" t="s">
        <v>2142</v>
      </c>
      <c r="N1369" s="3" t="s">
        <v>3249</v>
      </c>
      <c r="S1369" s="4" t="str">
        <f t="shared" si="1"/>
        <v>2018</v>
      </c>
    </row>
    <row r="1370">
      <c r="A1370" s="3">
        <v>0.0</v>
      </c>
      <c r="B1370" s="3" t="b">
        <v>0</v>
      </c>
      <c r="C1370" s="3" t="s">
        <v>97</v>
      </c>
      <c r="G1370" s="3" t="s">
        <v>2737</v>
      </c>
      <c r="K1370" s="3" t="b">
        <v>1</v>
      </c>
      <c r="L1370" s="3" t="s">
        <v>3250</v>
      </c>
      <c r="N1370" s="3" t="s">
        <v>3251</v>
      </c>
      <c r="S1370" s="4" t="str">
        <f t="shared" si="1"/>
        <v>2018</v>
      </c>
    </row>
    <row r="1371">
      <c r="A1371" s="3">
        <v>0.0</v>
      </c>
      <c r="B1371" s="3" t="b">
        <v>0</v>
      </c>
      <c r="C1371" s="3" t="s">
        <v>35</v>
      </c>
      <c r="G1371" s="3" t="s">
        <v>2737</v>
      </c>
      <c r="K1371" s="3" t="b">
        <v>1</v>
      </c>
      <c r="L1371" s="3" t="s">
        <v>3250</v>
      </c>
      <c r="N1371" s="3" t="s">
        <v>3251</v>
      </c>
      <c r="S1371" s="4" t="str">
        <f t="shared" si="1"/>
        <v>2018</v>
      </c>
    </row>
    <row r="1372">
      <c r="A1372" s="3">
        <v>1806.0</v>
      </c>
      <c r="B1372" s="3" t="b">
        <v>0</v>
      </c>
      <c r="C1372" s="3" t="s">
        <v>35</v>
      </c>
      <c r="G1372" s="3" t="s">
        <v>3252</v>
      </c>
      <c r="K1372" s="3" t="b">
        <v>0</v>
      </c>
      <c r="L1372" s="3" t="s">
        <v>3253</v>
      </c>
      <c r="N1372" s="3" t="s">
        <v>3254</v>
      </c>
      <c r="S1372" s="4" t="str">
        <f t="shared" si="1"/>
        <v>2019</v>
      </c>
    </row>
    <row r="1373">
      <c r="A1373" s="3">
        <v>1300.0</v>
      </c>
      <c r="B1373" s="3" t="b">
        <v>0</v>
      </c>
      <c r="C1373" s="3" t="s">
        <v>101</v>
      </c>
      <c r="K1373" s="3" t="b">
        <v>0</v>
      </c>
      <c r="L1373" s="3" t="s">
        <v>3255</v>
      </c>
      <c r="N1373" s="3" t="s">
        <v>3256</v>
      </c>
      <c r="S1373" s="4" t="str">
        <f t="shared" si="1"/>
        <v>2019</v>
      </c>
    </row>
    <row r="1374">
      <c r="A1374" s="3">
        <v>1011.0</v>
      </c>
      <c r="B1374" s="3" t="b">
        <v>0</v>
      </c>
      <c r="C1374" s="3" t="s">
        <v>27</v>
      </c>
      <c r="D1374" s="7">
        <v>10.0</v>
      </c>
      <c r="F1374" s="7">
        <v>17.0</v>
      </c>
      <c r="H1374" s="7">
        <v>2.0</v>
      </c>
      <c r="I1374" s="7">
        <v>1.0</v>
      </c>
      <c r="K1374" s="3" t="b">
        <v>1</v>
      </c>
      <c r="L1374" s="3" t="s">
        <v>3257</v>
      </c>
      <c r="M1374" s="7">
        <v>247.0</v>
      </c>
      <c r="N1374" s="3" t="s">
        <v>3258</v>
      </c>
      <c r="O1374" s="7">
        <v>16.0</v>
      </c>
      <c r="P1374" s="7">
        <v>74.0</v>
      </c>
      <c r="S1374" s="4" t="str">
        <f t="shared" si="1"/>
        <v>2019</v>
      </c>
    </row>
    <row r="1375">
      <c r="A1375" s="3">
        <v>605.0</v>
      </c>
      <c r="B1375" s="3" t="b">
        <v>0</v>
      </c>
      <c r="C1375" s="3" t="s">
        <v>54</v>
      </c>
      <c r="G1375" s="3" t="s">
        <v>3259</v>
      </c>
      <c r="K1375" s="3" t="b">
        <v>0</v>
      </c>
      <c r="L1375" s="3" t="s">
        <v>3260</v>
      </c>
      <c r="N1375" s="3" t="s">
        <v>3261</v>
      </c>
      <c r="S1375" s="4" t="str">
        <f t="shared" si="1"/>
        <v>2019</v>
      </c>
    </row>
    <row r="1376">
      <c r="A1376" s="3">
        <v>494.0</v>
      </c>
      <c r="B1376" s="3" t="b">
        <v>0</v>
      </c>
      <c r="C1376" s="3" t="s">
        <v>27</v>
      </c>
      <c r="D1376" s="7">
        <v>5.0</v>
      </c>
      <c r="E1376" s="7">
        <v>2.0</v>
      </c>
      <c r="F1376" s="7">
        <v>14.0</v>
      </c>
      <c r="G1376" s="3" t="s">
        <v>3262</v>
      </c>
      <c r="K1376" s="3" t="b">
        <v>1</v>
      </c>
      <c r="L1376" s="3" t="s">
        <v>1914</v>
      </c>
      <c r="M1376" s="7">
        <v>126.0</v>
      </c>
      <c r="N1376" s="3" t="s">
        <v>3263</v>
      </c>
      <c r="S1376" s="4" t="str">
        <f t="shared" si="1"/>
        <v>2019</v>
      </c>
    </row>
    <row r="1377">
      <c r="A1377" s="3">
        <v>355.0</v>
      </c>
      <c r="B1377" s="3" t="b">
        <v>0</v>
      </c>
      <c r="C1377" s="3" t="s">
        <v>31</v>
      </c>
      <c r="K1377" s="3" t="b">
        <v>0</v>
      </c>
      <c r="L1377" s="3" t="s">
        <v>3264</v>
      </c>
      <c r="N1377" s="3" t="s">
        <v>3265</v>
      </c>
      <c r="S1377" s="4" t="str">
        <f t="shared" si="1"/>
        <v>2019</v>
      </c>
    </row>
    <row r="1378">
      <c r="A1378" s="3">
        <v>289.0</v>
      </c>
      <c r="B1378" s="3" t="b">
        <v>0</v>
      </c>
      <c r="C1378" s="3" t="s">
        <v>114</v>
      </c>
      <c r="G1378" s="3" t="s">
        <v>3266</v>
      </c>
      <c r="K1378" s="3" t="b">
        <v>0</v>
      </c>
      <c r="L1378" s="3" t="s">
        <v>3267</v>
      </c>
      <c r="N1378" s="3" t="s">
        <v>3268</v>
      </c>
      <c r="S1378" s="4" t="str">
        <f t="shared" si="1"/>
        <v>2019</v>
      </c>
    </row>
    <row r="1379">
      <c r="A1379" s="3">
        <v>289.0</v>
      </c>
      <c r="B1379" s="3" t="b">
        <v>0</v>
      </c>
      <c r="C1379" s="3" t="s">
        <v>149</v>
      </c>
      <c r="G1379" s="3" t="s">
        <v>3266</v>
      </c>
      <c r="K1379" s="3" t="b">
        <v>0</v>
      </c>
      <c r="L1379" s="3" t="s">
        <v>3267</v>
      </c>
      <c r="N1379" s="3" t="s">
        <v>3268</v>
      </c>
      <c r="S1379" s="4" t="str">
        <f t="shared" si="1"/>
        <v>2019</v>
      </c>
    </row>
    <row r="1380">
      <c r="A1380" s="3">
        <v>149.0</v>
      </c>
      <c r="B1380" s="3" t="b">
        <v>0</v>
      </c>
      <c r="C1380" s="3" t="s">
        <v>101</v>
      </c>
      <c r="K1380" s="3" t="b">
        <v>0</v>
      </c>
      <c r="L1380" s="3" t="s">
        <v>440</v>
      </c>
      <c r="N1380" s="3" t="s">
        <v>3269</v>
      </c>
      <c r="S1380" s="4" t="str">
        <f t="shared" si="1"/>
        <v>2019</v>
      </c>
    </row>
    <row r="1381">
      <c r="A1381" s="3">
        <v>137.0</v>
      </c>
      <c r="B1381" s="3" t="b">
        <v>0</v>
      </c>
      <c r="C1381" s="3" t="s">
        <v>39</v>
      </c>
      <c r="G1381" s="7" t="s">
        <v>3270</v>
      </c>
      <c r="K1381" s="3" t="b">
        <v>0</v>
      </c>
      <c r="L1381" s="3" t="s">
        <v>1846</v>
      </c>
      <c r="N1381" s="3" t="s">
        <v>3271</v>
      </c>
      <c r="S1381" s="4" t="str">
        <f t="shared" si="1"/>
        <v>2019</v>
      </c>
    </row>
    <row r="1382">
      <c r="A1382" s="3">
        <v>107.0</v>
      </c>
      <c r="B1382" s="3" t="b">
        <v>0</v>
      </c>
      <c r="C1382" s="3" t="s">
        <v>320</v>
      </c>
      <c r="K1382" s="3" t="b">
        <v>0</v>
      </c>
      <c r="L1382" s="3" t="s">
        <v>3272</v>
      </c>
      <c r="N1382" s="3" t="s">
        <v>3273</v>
      </c>
      <c r="S1382" s="4" t="str">
        <f t="shared" si="1"/>
        <v>2019</v>
      </c>
    </row>
    <row r="1383">
      <c r="A1383" s="3">
        <v>75.0</v>
      </c>
      <c r="B1383" s="3" t="b">
        <v>0</v>
      </c>
      <c r="C1383" s="3" t="s">
        <v>27</v>
      </c>
      <c r="G1383" s="3" t="s">
        <v>3274</v>
      </c>
      <c r="K1383" s="3" t="b">
        <v>0</v>
      </c>
      <c r="L1383" s="3" t="s">
        <v>3275</v>
      </c>
      <c r="N1383" s="3" t="s">
        <v>3276</v>
      </c>
      <c r="S1383" s="4" t="str">
        <f t="shared" si="1"/>
        <v>2019</v>
      </c>
    </row>
    <row r="1384">
      <c r="A1384" s="3">
        <v>40.0</v>
      </c>
      <c r="B1384" s="3" t="b">
        <v>0</v>
      </c>
      <c r="C1384" s="3" t="s">
        <v>80</v>
      </c>
      <c r="G1384" s="3" t="s">
        <v>3277</v>
      </c>
      <c r="K1384" s="3" t="b">
        <v>0</v>
      </c>
      <c r="L1384" s="3" t="s">
        <v>3278</v>
      </c>
      <c r="N1384" s="3" t="s">
        <v>3279</v>
      </c>
      <c r="S1384" s="4" t="str">
        <f t="shared" si="1"/>
        <v>2019</v>
      </c>
    </row>
    <row r="1385">
      <c r="A1385" s="3">
        <v>37.0</v>
      </c>
      <c r="B1385" s="3" t="b">
        <v>0</v>
      </c>
      <c r="C1385" s="3" t="s">
        <v>62</v>
      </c>
      <c r="D1385" s="7">
        <v>4.0</v>
      </c>
      <c r="E1385" s="7">
        <v>2.0</v>
      </c>
      <c r="F1385" s="7">
        <v>10.0</v>
      </c>
      <c r="G1385" s="3" t="s">
        <v>3280</v>
      </c>
      <c r="I1385" s="7">
        <v>4.0</v>
      </c>
      <c r="K1385" s="3" t="b">
        <v>1</v>
      </c>
      <c r="L1385" s="3" t="s">
        <v>2417</v>
      </c>
      <c r="M1385" s="7">
        <v>100.0</v>
      </c>
      <c r="N1385" s="3" t="s">
        <v>3281</v>
      </c>
      <c r="O1385" s="7">
        <v>1.0</v>
      </c>
      <c r="P1385" s="7">
        <v>3.0</v>
      </c>
      <c r="S1385" s="4" t="str">
        <f t="shared" si="1"/>
        <v>2019</v>
      </c>
    </row>
    <row r="1386">
      <c r="A1386" s="3">
        <v>35.0</v>
      </c>
      <c r="B1386" s="3" t="b">
        <v>0</v>
      </c>
      <c r="C1386" s="3" t="s">
        <v>205</v>
      </c>
      <c r="G1386" s="3" t="s">
        <v>3282</v>
      </c>
      <c r="K1386" s="3" t="b">
        <v>0</v>
      </c>
      <c r="L1386" s="3" t="s">
        <v>2356</v>
      </c>
      <c r="N1386" s="3" t="s">
        <v>3283</v>
      </c>
      <c r="S1386" s="4" t="str">
        <f t="shared" si="1"/>
        <v>2019</v>
      </c>
    </row>
    <row r="1387">
      <c r="A1387" s="3">
        <v>35.0</v>
      </c>
      <c r="B1387" s="3" t="b">
        <v>0</v>
      </c>
      <c r="C1387" s="3" t="s">
        <v>260</v>
      </c>
      <c r="G1387" s="3" t="s">
        <v>3284</v>
      </c>
      <c r="K1387" s="3" t="b">
        <v>0</v>
      </c>
      <c r="L1387" s="3" t="s">
        <v>3285</v>
      </c>
      <c r="N1387" s="3" t="s">
        <v>3286</v>
      </c>
      <c r="S1387" s="4" t="str">
        <f t="shared" si="1"/>
        <v>2019</v>
      </c>
    </row>
    <row r="1388">
      <c r="A1388" s="3">
        <v>30.0</v>
      </c>
      <c r="B1388" s="3" t="b">
        <v>0</v>
      </c>
      <c r="C1388" s="3" t="s">
        <v>58</v>
      </c>
      <c r="K1388" s="3" t="b">
        <v>0</v>
      </c>
      <c r="L1388" s="3" t="s">
        <v>1034</v>
      </c>
      <c r="N1388" s="3" t="s">
        <v>3287</v>
      </c>
      <c r="S1388" s="4" t="str">
        <f t="shared" si="1"/>
        <v>2019</v>
      </c>
    </row>
    <row r="1389">
      <c r="A1389" s="3">
        <v>27.0</v>
      </c>
      <c r="B1389" s="3" t="b">
        <v>0</v>
      </c>
      <c r="C1389" s="3" t="s">
        <v>411</v>
      </c>
      <c r="G1389" s="3" t="s">
        <v>3288</v>
      </c>
      <c r="K1389" s="3" t="b">
        <v>0</v>
      </c>
      <c r="L1389" s="3" t="s">
        <v>3289</v>
      </c>
      <c r="N1389" s="3" t="s">
        <v>3290</v>
      </c>
      <c r="S1389" s="4" t="str">
        <f t="shared" si="1"/>
        <v>2019</v>
      </c>
    </row>
    <row r="1390">
      <c r="A1390" s="3">
        <v>26.0</v>
      </c>
      <c r="B1390" s="3" t="b">
        <v>0</v>
      </c>
      <c r="C1390" s="3" t="s">
        <v>134</v>
      </c>
      <c r="G1390" s="3" t="s">
        <v>3291</v>
      </c>
      <c r="K1390" s="3" t="b">
        <v>0</v>
      </c>
      <c r="L1390" s="3" t="s">
        <v>3292</v>
      </c>
      <c r="N1390" s="3" t="s">
        <v>3293</v>
      </c>
      <c r="S1390" s="4" t="str">
        <f t="shared" si="1"/>
        <v>2019</v>
      </c>
    </row>
    <row r="1391">
      <c r="A1391" s="3">
        <v>25.0</v>
      </c>
      <c r="B1391" s="3" t="b">
        <v>0</v>
      </c>
      <c r="C1391" s="3" t="s">
        <v>62</v>
      </c>
      <c r="G1391" s="3" t="s">
        <v>3294</v>
      </c>
      <c r="K1391" s="3" t="b">
        <v>1</v>
      </c>
      <c r="L1391" s="3" t="s">
        <v>2221</v>
      </c>
      <c r="N1391" s="3" t="s">
        <v>3295</v>
      </c>
      <c r="S1391" s="4" t="str">
        <f t="shared" si="1"/>
        <v>2019</v>
      </c>
    </row>
    <row r="1392">
      <c r="A1392" s="3">
        <v>22.0</v>
      </c>
      <c r="B1392" s="3" t="b">
        <v>0</v>
      </c>
      <c r="C1392" s="3" t="s">
        <v>130</v>
      </c>
      <c r="G1392" s="3" t="s">
        <v>3296</v>
      </c>
      <c r="K1392" s="3" t="b">
        <v>0</v>
      </c>
      <c r="L1392" s="3" t="s">
        <v>3297</v>
      </c>
      <c r="N1392" s="3" t="s">
        <v>3298</v>
      </c>
      <c r="S1392" s="4" t="str">
        <f t="shared" si="1"/>
        <v>2019</v>
      </c>
    </row>
    <row r="1393">
      <c r="A1393" s="3">
        <v>22.0</v>
      </c>
      <c r="B1393" s="3" t="b">
        <v>0</v>
      </c>
      <c r="C1393" s="3" t="s">
        <v>205</v>
      </c>
      <c r="G1393" s="3" t="s">
        <v>3299</v>
      </c>
      <c r="K1393" s="3" t="b">
        <v>0</v>
      </c>
      <c r="L1393" s="3" t="s">
        <v>3300</v>
      </c>
      <c r="N1393" s="3" t="s">
        <v>3301</v>
      </c>
      <c r="S1393" s="4" t="str">
        <f t="shared" si="1"/>
        <v>2019</v>
      </c>
    </row>
    <row r="1394">
      <c r="A1394" s="3">
        <v>15.0</v>
      </c>
      <c r="B1394" s="3" t="b">
        <v>0</v>
      </c>
      <c r="C1394" s="3" t="s">
        <v>80</v>
      </c>
      <c r="K1394" s="3" t="b">
        <v>0</v>
      </c>
      <c r="L1394" s="3" t="s">
        <v>3302</v>
      </c>
      <c r="N1394" s="3" t="s">
        <v>3303</v>
      </c>
      <c r="S1394" s="4" t="str">
        <f t="shared" si="1"/>
        <v>2019</v>
      </c>
    </row>
    <row r="1395">
      <c r="A1395" s="3">
        <v>12.0</v>
      </c>
      <c r="B1395" s="3" t="b">
        <v>0</v>
      </c>
      <c r="C1395" s="3" t="s">
        <v>27</v>
      </c>
      <c r="G1395" s="7" t="s">
        <v>3304</v>
      </c>
      <c r="K1395" s="3" t="b">
        <v>0</v>
      </c>
      <c r="L1395" s="3" t="s">
        <v>1359</v>
      </c>
      <c r="N1395" s="3" t="s">
        <v>3305</v>
      </c>
      <c r="S1395" s="4" t="str">
        <f t="shared" si="1"/>
        <v>2019</v>
      </c>
    </row>
    <row r="1396">
      <c r="A1396" s="3">
        <v>10.0</v>
      </c>
      <c r="B1396" s="3" t="b">
        <v>0</v>
      </c>
      <c r="C1396" s="3" t="s">
        <v>313</v>
      </c>
      <c r="K1396" s="3" t="b">
        <v>0</v>
      </c>
      <c r="L1396" s="3" t="s">
        <v>2325</v>
      </c>
      <c r="N1396" s="3" t="s">
        <v>3306</v>
      </c>
      <c r="S1396" s="4" t="str">
        <f t="shared" si="1"/>
        <v>2019</v>
      </c>
    </row>
    <row r="1397">
      <c r="A1397" s="3">
        <v>10.0</v>
      </c>
      <c r="B1397" s="3" t="b">
        <v>0</v>
      </c>
      <c r="C1397" s="3" t="s">
        <v>2038</v>
      </c>
      <c r="G1397" s="3" t="s">
        <v>3307</v>
      </c>
      <c r="K1397" s="3" t="b">
        <v>0</v>
      </c>
      <c r="L1397" s="3" t="s">
        <v>56</v>
      </c>
      <c r="N1397" s="3" t="s">
        <v>3308</v>
      </c>
      <c r="S1397" s="4" t="str">
        <f t="shared" si="1"/>
        <v>2019</v>
      </c>
    </row>
    <row r="1398">
      <c r="A1398" s="3">
        <v>77758.0</v>
      </c>
      <c r="B1398" s="3" t="b">
        <v>0</v>
      </c>
      <c r="C1398" s="3" t="s">
        <v>73</v>
      </c>
      <c r="D1398" s="7">
        <v>2.0</v>
      </c>
      <c r="E1398" s="7">
        <v>0.0</v>
      </c>
      <c r="F1398" s="7">
        <v>5.0</v>
      </c>
      <c r="G1398" s="3" t="s">
        <v>3309</v>
      </c>
      <c r="I1398" s="7">
        <v>0.0</v>
      </c>
      <c r="J1398" s="7">
        <v>4.0</v>
      </c>
      <c r="K1398" s="3" t="b">
        <v>1</v>
      </c>
      <c r="L1398" s="3" t="s">
        <v>3310</v>
      </c>
      <c r="M1398" s="3">
        <v>55.0</v>
      </c>
      <c r="N1398" s="3" t="s">
        <v>3311</v>
      </c>
      <c r="O1398" s="7">
        <v>60.0</v>
      </c>
      <c r="P1398" s="7">
        <v>374.0</v>
      </c>
      <c r="R1398" s="7">
        <v>0.0</v>
      </c>
      <c r="S1398" s="4" t="str">
        <f t="shared" si="1"/>
        <v>2019</v>
      </c>
    </row>
    <row r="1399">
      <c r="A1399" s="3">
        <v>54612.0</v>
      </c>
      <c r="B1399" s="3" t="b">
        <v>0</v>
      </c>
      <c r="C1399" s="3" t="s">
        <v>138</v>
      </c>
      <c r="K1399" s="3" t="b">
        <v>0</v>
      </c>
      <c r="L1399" s="3" t="s">
        <v>891</v>
      </c>
      <c r="M1399" s="3">
        <v>468.0</v>
      </c>
      <c r="N1399" s="3" t="s">
        <v>3312</v>
      </c>
      <c r="S1399" s="4" t="str">
        <f t="shared" si="1"/>
        <v>2019</v>
      </c>
    </row>
    <row r="1400">
      <c r="A1400" s="3">
        <v>14217.0</v>
      </c>
      <c r="B1400" s="3" t="b">
        <v>0</v>
      </c>
      <c r="C1400" s="3" t="s">
        <v>145</v>
      </c>
      <c r="G1400" s="3" t="s">
        <v>3313</v>
      </c>
      <c r="K1400" s="3" t="b">
        <v>0</v>
      </c>
      <c r="L1400" s="3" t="s">
        <v>3314</v>
      </c>
      <c r="N1400" s="3" t="s">
        <v>3315</v>
      </c>
      <c r="S1400" s="4" t="str">
        <f t="shared" si="1"/>
        <v>2019</v>
      </c>
    </row>
    <row r="1401">
      <c r="A1401" s="3">
        <v>10296.0</v>
      </c>
      <c r="B1401" s="3" t="b">
        <v>0</v>
      </c>
      <c r="C1401" s="3" t="s">
        <v>162</v>
      </c>
      <c r="D1401" s="3">
        <v>8.0</v>
      </c>
      <c r="E1401" s="7">
        <v>1.0</v>
      </c>
      <c r="F1401" s="3">
        <v>8.0</v>
      </c>
      <c r="G1401" s="3" t="s">
        <v>3316</v>
      </c>
      <c r="I1401" s="7">
        <v>5.0</v>
      </c>
      <c r="K1401" s="3" t="b">
        <v>1</v>
      </c>
      <c r="L1401" s="3" t="s">
        <v>3317</v>
      </c>
      <c r="M1401" s="3">
        <v>269.0</v>
      </c>
      <c r="N1401" s="3" t="s">
        <v>3318</v>
      </c>
      <c r="S1401" s="4" t="str">
        <f t="shared" si="1"/>
        <v>2019</v>
      </c>
    </row>
    <row r="1402">
      <c r="A1402" s="3">
        <v>9999.0</v>
      </c>
      <c r="B1402" s="3" t="b">
        <v>0</v>
      </c>
      <c r="C1402" s="3" t="s">
        <v>35</v>
      </c>
      <c r="D1402" s="3">
        <v>17.0</v>
      </c>
      <c r="F1402" s="3">
        <v>45.0</v>
      </c>
      <c r="G1402" s="3" t="s">
        <v>3319</v>
      </c>
      <c r="K1402" s="3" t="b">
        <v>1</v>
      </c>
      <c r="L1402" s="3" t="s">
        <v>2172</v>
      </c>
      <c r="M1402" s="3">
        <v>626.0</v>
      </c>
      <c r="N1402" s="3" t="s">
        <v>3320</v>
      </c>
      <c r="P1402" s="3">
        <v>4.0</v>
      </c>
      <c r="S1402" s="4" t="str">
        <f t="shared" si="1"/>
        <v>2019</v>
      </c>
    </row>
    <row r="1403">
      <c r="A1403" s="3">
        <v>8838.0</v>
      </c>
      <c r="B1403" s="3" t="b">
        <v>0</v>
      </c>
      <c r="C1403" s="3" t="s">
        <v>54</v>
      </c>
      <c r="D1403" s="3">
        <v>53.0</v>
      </c>
      <c r="E1403" s="7">
        <v>27.0</v>
      </c>
      <c r="F1403" s="3">
        <v>98.0</v>
      </c>
      <c r="G1403" s="3" t="s">
        <v>3321</v>
      </c>
      <c r="I1403" s="7">
        <v>20.0</v>
      </c>
      <c r="K1403" s="3" t="b">
        <v>1</v>
      </c>
      <c r="L1403" s="3" t="s">
        <v>3322</v>
      </c>
      <c r="M1403" s="3">
        <v>1936.0</v>
      </c>
      <c r="N1403" s="3" t="s">
        <v>3323</v>
      </c>
      <c r="P1403" s="3">
        <v>2.0</v>
      </c>
      <c r="S1403" s="4" t="str">
        <f t="shared" si="1"/>
        <v>2019</v>
      </c>
    </row>
    <row r="1404">
      <c r="A1404" s="3">
        <v>8799.0</v>
      </c>
      <c r="B1404" s="3" t="b">
        <v>0</v>
      </c>
      <c r="C1404" s="3" t="s">
        <v>23</v>
      </c>
      <c r="G1404" s="3" t="s">
        <v>3324</v>
      </c>
      <c r="H1404" s="7">
        <v>1.0</v>
      </c>
      <c r="J1404" s="7">
        <v>8.0</v>
      </c>
      <c r="K1404" s="3" t="b">
        <v>1</v>
      </c>
      <c r="L1404" s="3" t="s">
        <v>3325</v>
      </c>
      <c r="M1404" s="3">
        <v>206.0</v>
      </c>
      <c r="N1404" s="3" t="s">
        <v>3326</v>
      </c>
      <c r="O1404" s="7">
        <v>88.0</v>
      </c>
      <c r="P1404" s="3">
        <v>19.0</v>
      </c>
      <c r="S1404" s="4" t="str">
        <f t="shared" si="1"/>
        <v>2019</v>
      </c>
    </row>
    <row r="1405">
      <c r="A1405" s="3">
        <v>5737.0</v>
      </c>
      <c r="B1405" s="3" t="b">
        <v>0</v>
      </c>
      <c r="C1405" s="3" t="s">
        <v>145</v>
      </c>
      <c r="G1405" s="3" t="s">
        <v>3327</v>
      </c>
      <c r="K1405" s="3" t="b">
        <v>0</v>
      </c>
      <c r="L1405" s="3" t="s">
        <v>184</v>
      </c>
      <c r="M1405" s="3">
        <v>40.0</v>
      </c>
      <c r="N1405" s="3" t="s">
        <v>3328</v>
      </c>
      <c r="S1405" s="4" t="str">
        <f t="shared" si="1"/>
        <v>2019</v>
      </c>
    </row>
    <row r="1406">
      <c r="A1406" s="3">
        <v>5563.0</v>
      </c>
      <c r="B1406" s="3" t="b">
        <v>0</v>
      </c>
      <c r="C1406" s="3" t="s">
        <v>101</v>
      </c>
      <c r="K1406" s="3" t="b">
        <v>1</v>
      </c>
      <c r="L1406" s="3" t="s">
        <v>3329</v>
      </c>
      <c r="M1406" s="3">
        <v>19.0</v>
      </c>
      <c r="N1406" s="3" t="s">
        <v>3330</v>
      </c>
      <c r="P1406" s="7">
        <v>1.0</v>
      </c>
      <c r="S1406" s="4" t="str">
        <f t="shared" si="1"/>
        <v>2019</v>
      </c>
    </row>
    <row r="1407">
      <c r="A1407" s="3">
        <v>5332.0</v>
      </c>
      <c r="B1407" s="3" t="b">
        <v>0</v>
      </c>
      <c r="C1407" s="3" t="s">
        <v>54</v>
      </c>
      <c r="G1407" s="7" t="s">
        <v>3331</v>
      </c>
      <c r="K1407" s="3" t="b">
        <v>0</v>
      </c>
      <c r="L1407" s="3" t="s">
        <v>2831</v>
      </c>
      <c r="N1407" s="3" t="s">
        <v>3332</v>
      </c>
      <c r="S1407" s="4" t="str">
        <f t="shared" si="1"/>
        <v>2019</v>
      </c>
    </row>
    <row r="1408">
      <c r="A1408" s="3">
        <v>4840.0</v>
      </c>
      <c r="B1408" s="3" t="b">
        <v>0</v>
      </c>
      <c r="C1408" s="3" t="s">
        <v>874</v>
      </c>
      <c r="K1408" s="3" t="b">
        <v>0</v>
      </c>
      <c r="L1408" s="3" t="s">
        <v>37</v>
      </c>
      <c r="N1408" s="3" t="s">
        <v>3333</v>
      </c>
      <c r="S1408" s="4" t="str">
        <f t="shared" si="1"/>
        <v>2019</v>
      </c>
    </row>
    <row r="1409">
      <c r="A1409" s="3">
        <v>4615.0</v>
      </c>
      <c r="B1409" s="3" t="b">
        <v>0</v>
      </c>
      <c r="C1409" s="3" t="s">
        <v>23</v>
      </c>
      <c r="D1409" s="7">
        <v>8.0</v>
      </c>
      <c r="F1409" s="7">
        <v>69.0</v>
      </c>
      <c r="I1409" s="7">
        <v>0.0</v>
      </c>
      <c r="K1409" s="3" t="b">
        <v>1</v>
      </c>
      <c r="L1409" s="3" t="s">
        <v>3334</v>
      </c>
      <c r="M1409" s="7">
        <v>509.0</v>
      </c>
      <c r="N1409" s="3" t="s">
        <v>3335</v>
      </c>
      <c r="O1409" s="7">
        <v>27.0</v>
      </c>
      <c r="P1409" s="7">
        <v>22.0</v>
      </c>
      <c r="R1409" s="7">
        <v>10.0</v>
      </c>
      <c r="S1409" s="4" t="str">
        <f t="shared" si="1"/>
        <v>2019</v>
      </c>
    </row>
    <row r="1410">
      <c r="A1410" s="3">
        <v>3435.0</v>
      </c>
      <c r="B1410" s="3" t="b">
        <v>0</v>
      </c>
      <c r="C1410" s="3" t="s">
        <v>130</v>
      </c>
      <c r="K1410" s="3" t="b">
        <v>0</v>
      </c>
      <c r="L1410" s="3" t="s">
        <v>3336</v>
      </c>
      <c r="N1410" s="3" t="s">
        <v>3337</v>
      </c>
      <c r="S1410" s="4" t="str">
        <f t="shared" si="1"/>
        <v>2019</v>
      </c>
    </row>
    <row r="1411">
      <c r="A1411" s="3">
        <v>3380.0</v>
      </c>
      <c r="B1411" s="3" t="b">
        <v>0</v>
      </c>
      <c r="C1411" s="3" t="s">
        <v>320</v>
      </c>
      <c r="G1411" s="3" t="s">
        <v>3338</v>
      </c>
      <c r="K1411" s="3" t="b">
        <v>0</v>
      </c>
      <c r="L1411" s="3" t="s">
        <v>3339</v>
      </c>
      <c r="N1411" s="3" t="s">
        <v>3340</v>
      </c>
      <c r="S1411" s="4" t="str">
        <f t="shared" si="1"/>
        <v>2019</v>
      </c>
    </row>
    <row r="1412">
      <c r="A1412" s="3">
        <v>3126.0</v>
      </c>
      <c r="B1412" s="3" t="b">
        <v>0</v>
      </c>
      <c r="C1412" s="3" t="s">
        <v>97</v>
      </c>
      <c r="G1412" s="3" t="s">
        <v>3341</v>
      </c>
      <c r="K1412" s="3" t="b">
        <v>0</v>
      </c>
      <c r="L1412" s="3" t="s">
        <v>3342</v>
      </c>
      <c r="N1412" s="3" t="s">
        <v>3343</v>
      </c>
      <c r="S1412" s="4" t="str">
        <f t="shared" si="1"/>
        <v>2019</v>
      </c>
    </row>
    <row r="1413">
      <c r="A1413" s="3">
        <v>2546.0</v>
      </c>
      <c r="B1413" s="3" t="b">
        <v>0</v>
      </c>
      <c r="C1413" s="3" t="s">
        <v>114</v>
      </c>
      <c r="G1413" s="3" t="s">
        <v>3344</v>
      </c>
      <c r="K1413" s="3" t="b">
        <v>0</v>
      </c>
      <c r="L1413" s="3" t="s">
        <v>2541</v>
      </c>
      <c r="N1413" s="3" t="s">
        <v>3345</v>
      </c>
      <c r="S1413" s="4" t="str">
        <f t="shared" si="1"/>
        <v>2019</v>
      </c>
    </row>
    <row r="1414">
      <c r="A1414" s="3">
        <v>2534.0</v>
      </c>
      <c r="B1414" s="3" t="b">
        <v>0</v>
      </c>
      <c r="C1414" s="3" t="s">
        <v>54</v>
      </c>
      <c r="D1414" s="7">
        <v>2.0</v>
      </c>
      <c r="F1414" s="7">
        <v>2.0</v>
      </c>
      <c r="G1414" s="3" t="s">
        <v>3346</v>
      </c>
      <c r="J1414" s="3">
        <v>4.0</v>
      </c>
      <c r="K1414" s="3" t="b">
        <v>1</v>
      </c>
      <c r="L1414" s="3" t="s">
        <v>758</v>
      </c>
      <c r="M1414" s="7">
        <v>69.0</v>
      </c>
      <c r="N1414" s="3" t="s">
        <v>3347</v>
      </c>
      <c r="S1414" s="4" t="str">
        <f t="shared" si="1"/>
        <v>2019</v>
      </c>
    </row>
    <row r="1415">
      <c r="A1415" s="3">
        <v>2512.0</v>
      </c>
      <c r="B1415" s="3" t="b">
        <v>0</v>
      </c>
      <c r="C1415" s="3" t="s">
        <v>240</v>
      </c>
      <c r="G1415" s="3" t="s">
        <v>3348</v>
      </c>
      <c r="J1415" s="3">
        <v>2.0</v>
      </c>
      <c r="K1415" s="3" t="b">
        <v>1</v>
      </c>
      <c r="L1415" s="3" t="s">
        <v>578</v>
      </c>
      <c r="N1415" s="3" t="s">
        <v>3349</v>
      </c>
      <c r="P1415" s="7">
        <v>7.0</v>
      </c>
      <c r="S1415" s="4" t="str">
        <f t="shared" si="1"/>
        <v>2019</v>
      </c>
    </row>
    <row r="1416">
      <c r="A1416" s="3">
        <v>2500.0</v>
      </c>
      <c r="B1416" s="3" t="b">
        <v>0</v>
      </c>
      <c r="C1416" s="3" t="s">
        <v>69</v>
      </c>
      <c r="G1416" s="3" t="s">
        <v>3350</v>
      </c>
      <c r="K1416" s="3" t="b">
        <v>0</v>
      </c>
      <c r="L1416" s="3" t="s">
        <v>2491</v>
      </c>
      <c r="N1416" s="3" t="s">
        <v>3351</v>
      </c>
      <c r="S1416" s="4" t="str">
        <f t="shared" si="1"/>
        <v>2019</v>
      </c>
    </row>
    <row r="1417">
      <c r="A1417" s="3">
        <v>2438.0</v>
      </c>
      <c r="B1417" s="3" t="b">
        <v>0</v>
      </c>
      <c r="C1417" s="3" t="s">
        <v>320</v>
      </c>
      <c r="G1417" s="3" t="s">
        <v>3352</v>
      </c>
      <c r="K1417" s="3" t="b">
        <v>0</v>
      </c>
      <c r="L1417" s="3" t="s">
        <v>1751</v>
      </c>
      <c r="N1417" s="3" t="s">
        <v>3353</v>
      </c>
      <c r="S1417" s="4" t="str">
        <f t="shared" si="1"/>
        <v>2019</v>
      </c>
    </row>
    <row r="1418">
      <c r="A1418" s="3">
        <v>2422.0</v>
      </c>
      <c r="B1418" s="3" t="b">
        <v>0</v>
      </c>
      <c r="C1418" s="3" t="s">
        <v>260</v>
      </c>
      <c r="G1418" s="3" t="s">
        <v>3354</v>
      </c>
      <c r="K1418" s="3" t="b">
        <v>0</v>
      </c>
      <c r="L1418" s="3" t="s">
        <v>1683</v>
      </c>
      <c r="N1418" s="3" t="s">
        <v>3355</v>
      </c>
      <c r="S1418" s="4" t="str">
        <f t="shared" si="1"/>
        <v>2019</v>
      </c>
    </row>
    <row r="1419">
      <c r="A1419" s="3">
        <v>1975.0</v>
      </c>
      <c r="B1419" s="3" t="b">
        <v>0</v>
      </c>
      <c r="C1419" s="3" t="s">
        <v>162</v>
      </c>
      <c r="G1419" s="3" t="s">
        <v>3356</v>
      </c>
      <c r="K1419" s="3" t="b">
        <v>0</v>
      </c>
      <c r="L1419" s="3" t="s">
        <v>1506</v>
      </c>
      <c r="N1419" s="3" t="s">
        <v>3357</v>
      </c>
      <c r="S1419" s="4" t="str">
        <f t="shared" si="1"/>
        <v>2019</v>
      </c>
    </row>
    <row r="1420">
      <c r="A1420" s="3">
        <v>1926.0</v>
      </c>
      <c r="B1420" s="3" t="b">
        <v>0</v>
      </c>
      <c r="C1420" s="3" t="s">
        <v>27</v>
      </c>
      <c r="D1420" s="7">
        <v>0.0</v>
      </c>
      <c r="E1420" s="7">
        <v>1.0</v>
      </c>
      <c r="F1420" s="7">
        <v>1.0</v>
      </c>
      <c r="G1420" s="3" t="s">
        <v>3358</v>
      </c>
      <c r="J1420" s="7">
        <v>3.0</v>
      </c>
      <c r="K1420" s="3" t="b">
        <v>1</v>
      </c>
      <c r="L1420" s="3" t="s">
        <v>3359</v>
      </c>
      <c r="M1420" s="3">
        <v>35.0</v>
      </c>
      <c r="N1420" s="3" t="s">
        <v>3360</v>
      </c>
      <c r="O1420" s="7">
        <v>2.0</v>
      </c>
      <c r="P1420" s="7">
        <v>0.0</v>
      </c>
      <c r="R1420" s="7">
        <v>0.0</v>
      </c>
      <c r="S1420" s="4" t="str">
        <f t="shared" si="1"/>
        <v>2019</v>
      </c>
    </row>
    <row r="1421">
      <c r="A1421" s="3">
        <v>1872.0</v>
      </c>
      <c r="B1421" s="3" t="b">
        <v>0</v>
      </c>
      <c r="C1421" s="3" t="s">
        <v>46</v>
      </c>
      <c r="K1421" s="3" t="b">
        <v>0</v>
      </c>
      <c r="L1421" s="3" t="s">
        <v>3361</v>
      </c>
      <c r="M1421" s="3">
        <v>515.0</v>
      </c>
      <c r="N1421" s="3" t="s">
        <v>3362</v>
      </c>
      <c r="S1421" s="4" t="str">
        <f t="shared" si="1"/>
        <v>2019</v>
      </c>
    </row>
    <row r="1422">
      <c r="A1422" s="3">
        <v>1764.0</v>
      </c>
      <c r="B1422" s="3" t="b">
        <v>0</v>
      </c>
      <c r="C1422" s="3" t="s">
        <v>149</v>
      </c>
      <c r="G1422" s="3" t="s">
        <v>3363</v>
      </c>
      <c r="K1422" s="3" t="b">
        <v>0</v>
      </c>
      <c r="L1422" s="3" t="s">
        <v>3364</v>
      </c>
      <c r="N1422" s="3" t="s">
        <v>3365</v>
      </c>
      <c r="S1422" s="4" t="str">
        <f t="shared" si="1"/>
        <v>2019</v>
      </c>
    </row>
    <row r="1423">
      <c r="A1423" s="3">
        <v>1507.0</v>
      </c>
      <c r="B1423" s="3" t="b">
        <v>0</v>
      </c>
      <c r="C1423" s="3" t="s">
        <v>3366</v>
      </c>
      <c r="G1423" s="3" t="s">
        <v>3367</v>
      </c>
      <c r="K1423" s="3" t="b">
        <v>0</v>
      </c>
      <c r="L1423" s="3" t="s">
        <v>3368</v>
      </c>
      <c r="N1423" s="3" t="s">
        <v>3369</v>
      </c>
      <c r="S1423" s="4" t="str">
        <f t="shared" si="1"/>
        <v>2019</v>
      </c>
    </row>
    <row r="1424">
      <c r="A1424" s="3">
        <v>1350.0</v>
      </c>
      <c r="B1424" s="3" t="b">
        <v>0</v>
      </c>
      <c r="C1424" s="3" t="s">
        <v>1412</v>
      </c>
      <c r="G1424" s="3" t="s">
        <v>3370</v>
      </c>
      <c r="K1424" s="3" t="b">
        <v>0</v>
      </c>
      <c r="L1424" s="3" t="s">
        <v>3371</v>
      </c>
      <c r="N1424" s="3" t="s">
        <v>3372</v>
      </c>
      <c r="S1424" s="4" t="str">
        <f t="shared" si="1"/>
        <v>2019</v>
      </c>
    </row>
    <row r="1425">
      <c r="A1425" s="3">
        <v>1301.0</v>
      </c>
      <c r="B1425" s="3" t="b">
        <v>0</v>
      </c>
      <c r="C1425" s="3" t="s">
        <v>3373</v>
      </c>
      <c r="G1425" s="3" t="s">
        <v>3374</v>
      </c>
      <c r="K1425" s="3" t="b">
        <v>0</v>
      </c>
      <c r="L1425" s="3" t="s">
        <v>1037</v>
      </c>
      <c r="N1425" s="3" t="s">
        <v>3375</v>
      </c>
      <c r="S1425" s="4" t="str">
        <f t="shared" si="1"/>
        <v>2019</v>
      </c>
    </row>
    <row r="1426">
      <c r="A1426" s="3">
        <v>1165.0</v>
      </c>
      <c r="B1426" s="3" t="b">
        <v>0</v>
      </c>
      <c r="C1426" s="3" t="s">
        <v>3376</v>
      </c>
      <c r="G1426" s="3" t="s">
        <v>3377</v>
      </c>
      <c r="K1426" s="3" t="b">
        <v>0</v>
      </c>
      <c r="L1426" s="3" t="s">
        <v>2463</v>
      </c>
      <c r="N1426" s="3" t="s">
        <v>3378</v>
      </c>
      <c r="S1426" s="4" t="str">
        <f t="shared" si="1"/>
        <v>2019</v>
      </c>
    </row>
    <row r="1427">
      <c r="A1427" s="3">
        <v>1127.0</v>
      </c>
      <c r="B1427" s="3" t="b">
        <v>0</v>
      </c>
      <c r="C1427" s="3" t="s">
        <v>149</v>
      </c>
      <c r="G1427" s="3" t="s">
        <v>3379</v>
      </c>
      <c r="K1427" s="3" t="b">
        <v>0</v>
      </c>
      <c r="L1427" s="3" t="s">
        <v>3380</v>
      </c>
      <c r="N1427" s="3" t="s">
        <v>3381</v>
      </c>
      <c r="S1427" s="4" t="str">
        <f t="shared" si="1"/>
        <v>2019</v>
      </c>
    </row>
    <row r="1428">
      <c r="A1428" s="3">
        <v>1020.0</v>
      </c>
      <c r="B1428" s="3" t="b">
        <v>0</v>
      </c>
      <c r="C1428" s="3" t="s">
        <v>320</v>
      </c>
      <c r="G1428" s="3" t="s">
        <v>3382</v>
      </c>
      <c r="K1428" s="3" t="b">
        <v>0</v>
      </c>
      <c r="L1428" s="3" t="s">
        <v>3383</v>
      </c>
      <c r="N1428" s="3" t="s">
        <v>3384</v>
      </c>
      <c r="S1428" s="4" t="str">
        <f t="shared" si="1"/>
        <v>2019</v>
      </c>
    </row>
    <row r="1429">
      <c r="A1429" s="3">
        <v>974.0</v>
      </c>
      <c r="B1429" s="3" t="b">
        <v>0</v>
      </c>
      <c r="C1429" s="3" t="s">
        <v>149</v>
      </c>
      <c r="G1429" s="3" t="s">
        <v>3385</v>
      </c>
      <c r="K1429" s="3" t="b">
        <v>0</v>
      </c>
      <c r="L1429" s="3" t="s">
        <v>3386</v>
      </c>
      <c r="N1429" s="3" t="s">
        <v>3387</v>
      </c>
      <c r="S1429" s="4" t="str">
        <f t="shared" si="1"/>
        <v>2019</v>
      </c>
    </row>
    <row r="1430">
      <c r="A1430" s="3">
        <v>835.0</v>
      </c>
      <c r="B1430" s="3" t="b">
        <v>0</v>
      </c>
      <c r="C1430" s="3" t="s">
        <v>149</v>
      </c>
      <c r="G1430" s="3" t="s">
        <v>3388</v>
      </c>
      <c r="K1430" s="3" t="b">
        <v>0</v>
      </c>
      <c r="L1430" s="3" t="s">
        <v>3389</v>
      </c>
      <c r="N1430" s="3" t="s">
        <v>3390</v>
      </c>
      <c r="S1430" s="4" t="str">
        <f t="shared" si="1"/>
        <v>2019</v>
      </c>
    </row>
    <row r="1431">
      <c r="A1431" s="3">
        <v>757.0</v>
      </c>
      <c r="B1431" s="3" t="b">
        <v>0</v>
      </c>
      <c r="C1431" s="3" t="s">
        <v>80</v>
      </c>
      <c r="G1431" s="3" t="s">
        <v>3391</v>
      </c>
      <c r="K1431" s="3" t="b">
        <v>0</v>
      </c>
      <c r="L1431" s="3" t="s">
        <v>3392</v>
      </c>
      <c r="N1431" s="3" t="s">
        <v>3393</v>
      </c>
      <c r="S1431" s="4" t="str">
        <f t="shared" si="1"/>
        <v>2019</v>
      </c>
    </row>
    <row r="1432">
      <c r="A1432" s="3">
        <v>756.0</v>
      </c>
      <c r="B1432" s="3" t="b">
        <v>0</v>
      </c>
      <c r="C1432" s="3" t="s">
        <v>94</v>
      </c>
      <c r="D1432" s="7">
        <v>9.0</v>
      </c>
      <c r="E1432" s="7">
        <v>0.0</v>
      </c>
      <c r="F1432" s="7">
        <v>11.0</v>
      </c>
      <c r="K1432" s="3" t="b">
        <v>0</v>
      </c>
      <c r="L1432" s="3" t="s">
        <v>329</v>
      </c>
      <c r="M1432" s="7">
        <v>185.0</v>
      </c>
      <c r="N1432" s="3" t="s">
        <v>3394</v>
      </c>
      <c r="O1432" s="7">
        <v>0.0</v>
      </c>
      <c r="P1432" s="7">
        <v>0.0</v>
      </c>
      <c r="S1432" s="4" t="str">
        <f t="shared" si="1"/>
        <v>2019</v>
      </c>
    </row>
    <row r="1433">
      <c r="A1433" s="3">
        <v>745.0</v>
      </c>
      <c r="B1433" s="3" t="b">
        <v>0</v>
      </c>
      <c r="C1433" s="3" t="s">
        <v>23</v>
      </c>
      <c r="G1433" s="3" t="s">
        <v>3395</v>
      </c>
      <c r="K1433" s="3" t="b">
        <v>0</v>
      </c>
      <c r="L1433" s="3" t="s">
        <v>3396</v>
      </c>
      <c r="N1433" s="3" t="s">
        <v>3397</v>
      </c>
      <c r="S1433" s="4" t="str">
        <f t="shared" si="1"/>
        <v>2019</v>
      </c>
    </row>
    <row r="1434">
      <c r="A1434" s="3">
        <v>703.0</v>
      </c>
      <c r="B1434" s="3" t="b">
        <v>0</v>
      </c>
      <c r="C1434" s="3" t="s">
        <v>313</v>
      </c>
      <c r="G1434" s="3" t="s">
        <v>3398</v>
      </c>
      <c r="K1434" s="3" t="b">
        <v>0</v>
      </c>
      <c r="L1434" s="3" t="s">
        <v>3399</v>
      </c>
      <c r="N1434" s="3" t="s">
        <v>3400</v>
      </c>
      <c r="S1434" s="4" t="str">
        <f t="shared" si="1"/>
        <v>2019</v>
      </c>
    </row>
    <row r="1435">
      <c r="A1435" s="3">
        <v>604.0</v>
      </c>
      <c r="B1435" s="3" t="b">
        <v>0</v>
      </c>
      <c r="C1435" s="3" t="s">
        <v>31</v>
      </c>
      <c r="K1435" s="3" t="b">
        <v>0</v>
      </c>
      <c r="L1435" s="3" t="s">
        <v>3401</v>
      </c>
      <c r="N1435" s="3" t="s">
        <v>3402</v>
      </c>
      <c r="S1435" s="4" t="str">
        <f t="shared" si="1"/>
        <v>2019</v>
      </c>
    </row>
    <row r="1436">
      <c r="A1436" s="3">
        <v>600.0</v>
      </c>
      <c r="B1436" s="3" t="b">
        <v>0</v>
      </c>
      <c r="C1436" s="3" t="s">
        <v>58</v>
      </c>
      <c r="D1436" s="7">
        <v>8.0</v>
      </c>
      <c r="F1436" s="7">
        <v>9.0</v>
      </c>
      <c r="G1436" s="3" t="s">
        <v>3403</v>
      </c>
      <c r="J1436" s="7">
        <v>3.0</v>
      </c>
      <c r="K1436" s="3" t="b">
        <v>1</v>
      </c>
      <c r="L1436" s="3" t="s">
        <v>29</v>
      </c>
      <c r="M1436" s="7">
        <v>187.0</v>
      </c>
      <c r="N1436" s="3" t="s">
        <v>3404</v>
      </c>
      <c r="O1436" s="7">
        <v>7.0</v>
      </c>
      <c r="P1436" s="7">
        <v>14.0</v>
      </c>
      <c r="S1436" s="4" t="str">
        <f t="shared" si="1"/>
        <v>2019</v>
      </c>
    </row>
    <row r="1437">
      <c r="A1437" s="3">
        <v>600.0</v>
      </c>
      <c r="B1437" s="3" t="b">
        <v>0</v>
      </c>
      <c r="C1437" s="3" t="s">
        <v>260</v>
      </c>
      <c r="G1437" s="3" t="s">
        <v>3405</v>
      </c>
      <c r="K1437" s="3" t="b">
        <v>0</v>
      </c>
      <c r="L1437" s="3" t="s">
        <v>3011</v>
      </c>
      <c r="N1437" s="3" t="s">
        <v>3406</v>
      </c>
      <c r="S1437" s="4" t="str">
        <f t="shared" si="1"/>
        <v>2019</v>
      </c>
    </row>
    <row r="1438">
      <c r="A1438" s="3">
        <v>526.0</v>
      </c>
      <c r="B1438" s="3" t="b">
        <v>0</v>
      </c>
      <c r="C1438" s="3" t="s">
        <v>166</v>
      </c>
      <c r="D1438" s="7">
        <v>6.0</v>
      </c>
      <c r="E1438" s="7">
        <v>1.0</v>
      </c>
      <c r="F1438" s="7">
        <v>15.0</v>
      </c>
      <c r="G1438" s="3" t="s">
        <v>3407</v>
      </c>
      <c r="I1438" s="7">
        <v>1.0</v>
      </c>
      <c r="K1438" s="3" t="b">
        <v>0</v>
      </c>
      <c r="L1438" s="3" t="s">
        <v>33</v>
      </c>
      <c r="M1438" s="7">
        <v>163.0</v>
      </c>
      <c r="N1438" s="3" t="s">
        <v>3408</v>
      </c>
      <c r="P1438" s="7">
        <v>1.0</v>
      </c>
      <c r="S1438" s="4" t="str">
        <f t="shared" si="1"/>
        <v>2019</v>
      </c>
    </row>
    <row r="1439">
      <c r="A1439" s="3">
        <v>525.0</v>
      </c>
      <c r="B1439" s="3" t="b">
        <v>0</v>
      </c>
      <c r="C1439" s="3" t="s">
        <v>27</v>
      </c>
      <c r="G1439" s="3" t="s">
        <v>3409</v>
      </c>
      <c r="K1439" s="3" t="b">
        <v>0</v>
      </c>
      <c r="L1439" s="3" t="s">
        <v>3410</v>
      </c>
      <c r="N1439" s="3" t="s">
        <v>3411</v>
      </c>
      <c r="S1439" s="4" t="str">
        <f t="shared" si="1"/>
        <v>2019</v>
      </c>
    </row>
    <row r="1440">
      <c r="A1440" s="3">
        <v>520.0</v>
      </c>
      <c r="B1440" s="3" t="b">
        <v>0</v>
      </c>
      <c r="C1440" s="3" t="s">
        <v>27</v>
      </c>
      <c r="D1440" s="3">
        <v>8.0</v>
      </c>
      <c r="E1440" s="3">
        <v>2.0</v>
      </c>
      <c r="F1440" s="3">
        <v>34.0</v>
      </c>
      <c r="I1440" s="3">
        <v>1.0</v>
      </c>
      <c r="K1440" s="3" t="b">
        <v>1</v>
      </c>
      <c r="L1440" s="3" t="s">
        <v>3412</v>
      </c>
      <c r="M1440" s="3">
        <v>235.0</v>
      </c>
      <c r="N1440" s="3" t="s">
        <v>3413</v>
      </c>
      <c r="S1440" s="4" t="str">
        <f t="shared" si="1"/>
        <v>2019</v>
      </c>
    </row>
    <row r="1441">
      <c r="A1441" s="3">
        <v>496.0</v>
      </c>
      <c r="B1441" s="3" t="b">
        <v>0</v>
      </c>
      <c r="C1441" s="3" t="s">
        <v>87</v>
      </c>
      <c r="D1441" s="3">
        <v>0.0</v>
      </c>
      <c r="E1441" s="3">
        <v>2.0</v>
      </c>
      <c r="F1441" s="3">
        <v>0.0</v>
      </c>
      <c r="G1441" s="3" t="s">
        <v>3321</v>
      </c>
      <c r="I1441" s="3">
        <v>0.0</v>
      </c>
      <c r="K1441" s="3" t="b">
        <v>1</v>
      </c>
      <c r="L1441" s="3" t="s">
        <v>89</v>
      </c>
      <c r="M1441" s="3">
        <v>16.0</v>
      </c>
      <c r="N1441" s="3" t="s">
        <v>3414</v>
      </c>
      <c r="O1441" s="7">
        <v>0.0</v>
      </c>
      <c r="P1441" s="7">
        <v>2.0</v>
      </c>
      <c r="S1441" s="4" t="str">
        <f t="shared" si="1"/>
        <v>2019</v>
      </c>
    </row>
    <row r="1442">
      <c r="A1442" s="3">
        <v>448.0</v>
      </c>
      <c r="B1442" s="3" t="b">
        <v>0</v>
      </c>
      <c r="C1442" s="3" t="s">
        <v>62</v>
      </c>
      <c r="G1442" s="3" t="s">
        <v>3415</v>
      </c>
      <c r="K1442" s="3" t="b">
        <v>0</v>
      </c>
      <c r="L1442" s="3" t="s">
        <v>3416</v>
      </c>
      <c r="N1442" s="3" t="s">
        <v>3417</v>
      </c>
      <c r="S1442" s="4" t="str">
        <f t="shared" si="1"/>
        <v>2019</v>
      </c>
    </row>
    <row r="1443">
      <c r="A1443" s="3">
        <v>448.0</v>
      </c>
      <c r="B1443" s="3" t="b">
        <v>0</v>
      </c>
      <c r="C1443" s="3" t="s">
        <v>69</v>
      </c>
      <c r="K1443" s="3" t="b">
        <v>0</v>
      </c>
      <c r="L1443" s="3" t="s">
        <v>990</v>
      </c>
      <c r="N1443" s="3" t="s">
        <v>3418</v>
      </c>
      <c r="S1443" s="4" t="str">
        <f t="shared" si="1"/>
        <v>2019</v>
      </c>
    </row>
    <row r="1444">
      <c r="A1444" s="3">
        <v>423.0</v>
      </c>
      <c r="B1444" s="3" t="b">
        <v>0</v>
      </c>
      <c r="C1444" s="3" t="s">
        <v>101</v>
      </c>
      <c r="K1444" s="3" t="b">
        <v>0</v>
      </c>
      <c r="L1444" s="3" t="s">
        <v>3419</v>
      </c>
      <c r="N1444" s="3" t="s">
        <v>3420</v>
      </c>
      <c r="S1444" s="4" t="str">
        <f t="shared" si="1"/>
        <v>2019</v>
      </c>
    </row>
    <row r="1445">
      <c r="A1445" s="3">
        <v>420.0</v>
      </c>
      <c r="B1445" s="3" t="b">
        <v>0</v>
      </c>
      <c r="C1445" s="3" t="s">
        <v>97</v>
      </c>
      <c r="G1445" s="7" t="s">
        <v>3421</v>
      </c>
      <c r="K1445" s="3" t="b">
        <v>0</v>
      </c>
      <c r="L1445" s="3" t="s">
        <v>3422</v>
      </c>
      <c r="N1445" s="3" t="s">
        <v>3423</v>
      </c>
      <c r="S1445" s="4" t="str">
        <f t="shared" si="1"/>
        <v>2019</v>
      </c>
    </row>
    <row r="1446">
      <c r="A1446" s="3">
        <v>381.0</v>
      </c>
      <c r="B1446" s="3" t="b">
        <v>0</v>
      </c>
      <c r="C1446" s="3" t="s">
        <v>94</v>
      </c>
      <c r="K1446" s="3" t="b">
        <v>0</v>
      </c>
      <c r="L1446" s="3" t="s">
        <v>3424</v>
      </c>
      <c r="M1446" s="7">
        <v>9.0</v>
      </c>
      <c r="N1446" s="3" t="s">
        <v>3425</v>
      </c>
      <c r="S1446" s="4" t="str">
        <f t="shared" si="1"/>
        <v>2019</v>
      </c>
    </row>
    <row r="1447">
      <c r="A1447" s="3">
        <v>350.0</v>
      </c>
      <c r="B1447" s="3" t="b">
        <v>0</v>
      </c>
      <c r="C1447" s="3" t="s">
        <v>27</v>
      </c>
      <c r="G1447" s="3" t="s">
        <v>3426</v>
      </c>
      <c r="K1447" s="3" t="b">
        <v>1</v>
      </c>
      <c r="L1447" s="3" t="s">
        <v>3427</v>
      </c>
      <c r="N1447" s="3" t="s">
        <v>3428</v>
      </c>
      <c r="O1447" s="7">
        <v>1.0</v>
      </c>
      <c r="P1447" s="7">
        <v>1.0</v>
      </c>
      <c r="S1447" s="4" t="str">
        <f t="shared" si="1"/>
        <v>2019</v>
      </c>
    </row>
    <row r="1448">
      <c r="A1448" s="3">
        <v>328.0</v>
      </c>
      <c r="B1448" s="3" t="b">
        <v>0</v>
      </c>
      <c r="C1448" s="3" t="s">
        <v>27</v>
      </c>
      <c r="G1448" s="3" t="s">
        <v>3429</v>
      </c>
      <c r="K1448" s="3" t="b">
        <v>0</v>
      </c>
      <c r="L1448" s="3" t="s">
        <v>3430</v>
      </c>
      <c r="N1448" s="3" t="s">
        <v>3431</v>
      </c>
      <c r="S1448" s="4" t="str">
        <f t="shared" si="1"/>
        <v>2019</v>
      </c>
    </row>
    <row r="1449">
      <c r="A1449" s="3">
        <v>316.0</v>
      </c>
      <c r="B1449" s="3" t="b">
        <v>0</v>
      </c>
      <c r="C1449" s="3" t="s">
        <v>114</v>
      </c>
      <c r="K1449" s="3" t="b">
        <v>0</v>
      </c>
      <c r="L1449" s="3" t="s">
        <v>125</v>
      </c>
      <c r="N1449" s="3" t="s">
        <v>3432</v>
      </c>
      <c r="S1449" s="4" t="str">
        <f t="shared" si="1"/>
        <v>2019</v>
      </c>
    </row>
    <row r="1450">
      <c r="A1450" s="3">
        <v>300.0</v>
      </c>
      <c r="B1450" s="3" t="b">
        <v>0</v>
      </c>
      <c r="C1450" s="3" t="s">
        <v>87</v>
      </c>
      <c r="G1450" s="3" t="s">
        <v>3433</v>
      </c>
      <c r="K1450" s="3" t="b">
        <v>0</v>
      </c>
      <c r="L1450" s="3" t="s">
        <v>3434</v>
      </c>
      <c r="N1450" s="3" t="s">
        <v>3435</v>
      </c>
      <c r="S1450" s="4" t="str">
        <f t="shared" si="1"/>
        <v>2019</v>
      </c>
    </row>
    <row r="1451">
      <c r="A1451" s="3">
        <v>283.0</v>
      </c>
      <c r="B1451" s="3" t="b">
        <v>0</v>
      </c>
      <c r="C1451" s="3" t="s">
        <v>179</v>
      </c>
      <c r="G1451" s="3" t="s">
        <v>3436</v>
      </c>
      <c r="K1451" s="3" t="b">
        <v>0</v>
      </c>
      <c r="L1451" s="3" t="s">
        <v>3437</v>
      </c>
      <c r="N1451" s="3" t="s">
        <v>3438</v>
      </c>
      <c r="S1451" s="4" t="str">
        <f t="shared" si="1"/>
        <v>2019</v>
      </c>
    </row>
    <row r="1452">
      <c r="A1452" s="3">
        <v>280.0</v>
      </c>
      <c r="B1452" s="3" t="b">
        <v>0</v>
      </c>
      <c r="C1452" s="3" t="s">
        <v>630</v>
      </c>
      <c r="G1452" s="3" t="s">
        <v>3439</v>
      </c>
      <c r="K1452" s="3" t="b">
        <v>0</v>
      </c>
      <c r="L1452" s="3" t="s">
        <v>3440</v>
      </c>
      <c r="M1452" s="7">
        <v>259.0</v>
      </c>
      <c r="N1452" s="3" t="s">
        <v>3441</v>
      </c>
      <c r="S1452" s="4" t="str">
        <f t="shared" si="1"/>
        <v>2019</v>
      </c>
    </row>
    <row r="1453">
      <c r="A1453" s="3">
        <v>280.0</v>
      </c>
      <c r="B1453" s="3" t="b">
        <v>0</v>
      </c>
      <c r="C1453" s="3" t="s">
        <v>114</v>
      </c>
      <c r="G1453" s="3" t="s">
        <v>3442</v>
      </c>
      <c r="K1453" s="3" t="b">
        <v>0</v>
      </c>
      <c r="L1453" s="3" t="s">
        <v>1589</v>
      </c>
      <c r="N1453" s="3" t="s">
        <v>3443</v>
      </c>
      <c r="S1453" s="4" t="str">
        <f t="shared" si="1"/>
        <v>2019</v>
      </c>
    </row>
    <row r="1454">
      <c r="A1454" s="3">
        <v>279.0</v>
      </c>
      <c r="B1454" s="3" t="b">
        <v>0</v>
      </c>
      <c r="C1454" s="3" t="s">
        <v>35</v>
      </c>
      <c r="G1454" s="3" t="s">
        <v>3444</v>
      </c>
      <c r="K1454" s="3" t="b">
        <v>0</v>
      </c>
      <c r="L1454" s="3" t="s">
        <v>3445</v>
      </c>
      <c r="N1454" s="3" t="s">
        <v>3446</v>
      </c>
      <c r="S1454" s="4" t="str">
        <f t="shared" si="1"/>
        <v>2019</v>
      </c>
    </row>
    <row r="1455">
      <c r="A1455" s="3">
        <v>263.0</v>
      </c>
      <c r="B1455" s="3" t="b">
        <v>0</v>
      </c>
      <c r="C1455" s="3" t="s">
        <v>320</v>
      </c>
      <c r="G1455" s="3" t="s">
        <v>3447</v>
      </c>
      <c r="K1455" s="3" t="b">
        <v>0</v>
      </c>
      <c r="L1455" s="3" t="s">
        <v>3448</v>
      </c>
      <c r="N1455" s="3" t="s">
        <v>3449</v>
      </c>
      <c r="S1455" s="4" t="str">
        <f t="shared" si="1"/>
        <v>2019</v>
      </c>
    </row>
    <row r="1456">
      <c r="A1456" s="3">
        <v>260.0</v>
      </c>
      <c r="B1456" s="3" t="b">
        <v>0</v>
      </c>
      <c r="C1456" s="3" t="s">
        <v>320</v>
      </c>
      <c r="G1456" s="3" t="s">
        <v>3450</v>
      </c>
      <c r="K1456" s="3" t="b">
        <v>0</v>
      </c>
      <c r="L1456" s="3" t="s">
        <v>3451</v>
      </c>
      <c r="M1456" s="7">
        <v>40.0</v>
      </c>
      <c r="N1456" s="3" t="s">
        <v>3452</v>
      </c>
      <c r="S1456" s="4" t="str">
        <f t="shared" si="1"/>
        <v>2019</v>
      </c>
    </row>
    <row r="1457">
      <c r="A1457" s="3">
        <v>257.0</v>
      </c>
      <c r="B1457" s="3" t="b">
        <v>0</v>
      </c>
      <c r="C1457" s="3" t="s">
        <v>94</v>
      </c>
      <c r="G1457" s="3" t="s">
        <v>3453</v>
      </c>
      <c r="K1457" s="3" t="b">
        <v>0</v>
      </c>
      <c r="L1457" s="3" t="s">
        <v>3454</v>
      </c>
      <c r="N1457" s="3" t="s">
        <v>3455</v>
      </c>
      <c r="S1457" s="4" t="str">
        <f t="shared" si="1"/>
        <v>2019</v>
      </c>
    </row>
    <row r="1458">
      <c r="A1458" s="3">
        <v>250.0</v>
      </c>
      <c r="B1458" s="3" t="b">
        <v>0</v>
      </c>
      <c r="C1458" s="3" t="s">
        <v>27</v>
      </c>
      <c r="G1458" s="3" t="s">
        <v>3456</v>
      </c>
      <c r="K1458" s="3" t="b">
        <v>0</v>
      </c>
      <c r="L1458" s="3" t="s">
        <v>3457</v>
      </c>
      <c r="N1458" s="3" t="s">
        <v>3458</v>
      </c>
      <c r="S1458" s="4" t="str">
        <f t="shared" si="1"/>
        <v>2019</v>
      </c>
    </row>
    <row r="1459">
      <c r="A1459" s="3">
        <v>244.0</v>
      </c>
      <c r="B1459" s="3" t="b">
        <v>0</v>
      </c>
      <c r="C1459" s="3" t="s">
        <v>630</v>
      </c>
      <c r="G1459" s="3" t="s">
        <v>3459</v>
      </c>
      <c r="K1459" s="3" t="b">
        <v>0</v>
      </c>
      <c r="L1459" s="3" t="s">
        <v>3460</v>
      </c>
      <c r="N1459" s="3" t="s">
        <v>3461</v>
      </c>
      <c r="S1459" s="4" t="str">
        <f t="shared" si="1"/>
        <v>2019</v>
      </c>
    </row>
    <row r="1460">
      <c r="A1460" s="3">
        <v>244.0</v>
      </c>
      <c r="B1460" s="3" t="b">
        <v>0</v>
      </c>
      <c r="C1460" s="3" t="s">
        <v>101</v>
      </c>
      <c r="K1460" s="3" t="b">
        <v>0</v>
      </c>
      <c r="L1460" s="3" t="s">
        <v>125</v>
      </c>
      <c r="N1460" s="3" t="s">
        <v>3462</v>
      </c>
      <c r="S1460" s="4" t="str">
        <f t="shared" si="1"/>
        <v>2019</v>
      </c>
    </row>
    <row r="1461">
      <c r="A1461" s="3">
        <v>240.0</v>
      </c>
      <c r="B1461" s="3" t="b">
        <v>0</v>
      </c>
      <c r="C1461" s="3" t="s">
        <v>205</v>
      </c>
      <c r="K1461" s="3" t="b">
        <v>0</v>
      </c>
      <c r="L1461" s="3" t="s">
        <v>3463</v>
      </c>
      <c r="N1461" s="3" t="s">
        <v>3464</v>
      </c>
      <c r="S1461" s="4" t="str">
        <f t="shared" si="1"/>
        <v>2019</v>
      </c>
    </row>
    <row r="1462">
      <c r="A1462" s="3">
        <v>227.0</v>
      </c>
      <c r="B1462" s="3" t="b">
        <v>0</v>
      </c>
      <c r="C1462" s="3" t="s">
        <v>46</v>
      </c>
      <c r="G1462" s="3" t="s">
        <v>3465</v>
      </c>
      <c r="K1462" s="3" t="b">
        <v>0</v>
      </c>
      <c r="L1462" s="3" t="s">
        <v>3466</v>
      </c>
      <c r="N1462" s="3" t="s">
        <v>3467</v>
      </c>
      <c r="S1462" s="4" t="str">
        <f t="shared" si="1"/>
        <v>2019</v>
      </c>
    </row>
    <row r="1463">
      <c r="A1463" s="3">
        <v>225.0</v>
      </c>
      <c r="B1463" s="3" t="b">
        <v>0</v>
      </c>
      <c r="C1463" s="3" t="s">
        <v>313</v>
      </c>
      <c r="D1463" s="3">
        <v>16.0</v>
      </c>
      <c r="E1463" s="3">
        <v>1.0</v>
      </c>
      <c r="F1463" s="3">
        <v>16.0</v>
      </c>
      <c r="G1463" s="3" t="s">
        <v>3468</v>
      </c>
      <c r="J1463" s="3">
        <v>3.0</v>
      </c>
      <c r="K1463" s="3" t="b">
        <v>1</v>
      </c>
      <c r="L1463" s="3" t="s">
        <v>3469</v>
      </c>
      <c r="M1463" s="3">
        <v>328.0</v>
      </c>
      <c r="N1463" s="3" t="s">
        <v>3470</v>
      </c>
      <c r="S1463" s="4" t="str">
        <f t="shared" si="1"/>
        <v>2019</v>
      </c>
    </row>
    <row r="1464">
      <c r="A1464" s="3">
        <v>220.0</v>
      </c>
      <c r="B1464" s="3" t="b">
        <v>0</v>
      </c>
      <c r="C1464" s="3" t="s">
        <v>149</v>
      </c>
      <c r="D1464" s="3">
        <v>8.0</v>
      </c>
      <c r="E1464" s="3">
        <v>4.0</v>
      </c>
      <c r="F1464" s="3">
        <v>20.0</v>
      </c>
      <c r="G1464" s="3" t="s">
        <v>3471</v>
      </c>
      <c r="I1464" s="7">
        <v>2.0</v>
      </c>
      <c r="J1464" s="3">
        <v>4.0</v>
      </c>
      <c r="K1464" s="3" t="b">
        <v>1</v>
      </c>
      <c r="L1464" s="3" t="s">
        <v>3472</v>
      </c>
      <c r="M1464" s="3">
        <v>515.0</v>
      </c>
      <c r="N1464" s="3" t="s">
        <v>3473</v>
      </c>
      <c r="P1464" s="7">
        <v>0.0</v>
      </c>
      <c r="R1464" s="7">
        <v>24.0</v>
      </c>
      <c r="S1464" s="4" t="str">
        <f t="shared" si="1"/>
        <v>2019</v>
      </c>
    </row>
    <row r="1465">
      <c r="A1465" s="3">
        <v>214.0</v>
      </c>
      <c r="B1465" s="3" t="b">
        <v>0</v>
      </c>
      <c r="C1465" s="3" t="s">
        <v>27</v>
      </c>
      <c r="G1465" s="3" t="s">
        <v>3474</v>
      </c>
      <c r="K1465" s="3" t="b">
        <v>0</v>
      </c>
      <c r="L1465" s="3" t="s">
        <v>3275</v>
      </c>
      <c r="N1465" s="3" t="s">
        <v>3475</v>
      </c>
      <c r="S1465" s="4" t="str">
        <f t="shared" si="1"/>
        <v>2019</v>
      </c>
    </row>
    <row r="1466">
      <c r="A1466" s="3">
        <v>213.0</v>
      </c>
      <c r="B1466" s="3" t="b">
        <v>0</v>
      </c>
      <c r="C1466" s="3" t="s">
        <v>156</v>
      </c>
      <c r="G1466" s="3" t="s">
        <v>3476</v>
      </c>
      <c r="K1466" s="3" t="b">
        <v>0</v>
      </c>
      <c r="L1466" s="3" t="s">
        <v>3477</v>
      </c>
      <c r="N1466" s="3" t="s">
        <v>3478</v>
      </c>
      <c r="S1466" s="4" t="str">
        <f t="shared" si="1"/>
        <v>2019</v>
      </c>
    </row>
    <row r="1467">
      <c r="A1467" s="3">
        <v>210.0</v>
      </c>
      <c r="B1467" s="3" t="b">
        <v>0</v>
      </c>
      <c r="C1467" s="3" t="s">
        <v>282</v>
      </c>
      <c r="G1467" s="3" t="s">
        <v>3479</v>
      </c>
      <c r="K1467" s="3" t="b">
        <v>0</v>
      </c>
      <c r="L1467" s="3" t="s">
        <v>3480</v>
      </c>
      <c r="N1467" s="3" t="s">
        <v>3481</v>
      </c>
      <c r="S1467" s="4" t="str">
        <f t="shared" si="1"/>
        <v>2019</v>
      </c>
    </row>
    <row r="1468">
      <c r="A1468" s="3">
        <v>210.0</v>
      </c>
      <c r="B1468" s="3" t="b">
        <v>0</v>
      </c>
      <c r="C1468" s="3" t="s">
        <v>401</v>
      </c>
      <c r="G1468" s="3" t="s">
        <v>3482</v>
      </c>
      <c r="K1468" s="3" t="b">
        <v>0</v>
      </c>
      <c r="L1468" s="3" t="s">
        <v>3483</v>
      </c>
      <c r="N1468" s="3" t="s">
        <v>3484</v>
      </c>
      <c r="S1468" s="4" t="str">
        <f t="shared" si="1"/>
        <v>2019</v>
      </c>
    </row>
    <row r="1469">
      <c r="A1469" s="3">
        <v>208.0</v>
      </c>
      <c r="B1469" s="3" t="b">
        <v>0</v>
      </c>
      <c r="C1469" s="3" t="s">
        <v>69</v>
      </c>
      <c r="K1469" s="3" t="b">
        <v>0</v>
      </c>
      <c r="L1469" s="3" t="s">
        <v>3485</v>
      </c>
      <c r="N1469" s="3" t="s">
        <v>3486</v>
      </c>
      <c r="S1469" s="4" t="str">
        <f t="shared" si="1"/>
        <v>2019</v>
      </c>
    </row>
    <row r="1470">
      <c r="A1470" s="3">
        <v>207.0</v>
      </c>
      <c r="B1470" s="3" t="b">
        <v>0</v>
      </c>
      <c r="C1470" s="3" t="s">
        <v>46</v>
      </c>
      <c r="G1470" s="3" t="s">
        <v>3487</v>
      </c>
      <c r="K1470" s="3" t="b">
        <v>0</v>
      </c>
      <c r="L1470" s="3" t="s">
        <v>3488</v>
      </c>
      <c r="N1470" s="3" t="s">
        <v>3489</v>
      </c>
      <c r="S1470" s="4" t="str">
        <f t="shared" si="1"/>
        <v>2019</v>
      </c>
    </row>
    <row r="1471">
      <c r="A1471" s="3">
        <v>202.0</v>
      </c>
      <c r="B1471" s="3" t="b">
        <v>0</v>
      </c>
      <c r="C1471" s="3" t="s">
        <v>260</v>
      </c>
      <c r="G1471" s="3" t="s">
        <v>3490</v>
      </c>
      <c r="K1471" s="3" t="b">
        <v>0</v>
      </c>
      <c r="L1471" s="3" t="s">
        <v>2569</v>
      </c>
      <c r="N1471" s="3" t="s">
        <v>3491</v>
      </c>
      <c r="S1471" s="4" t="str">
        <f t="shared" si="1"/>
        <v>2019</v>
      </c>
    </row>
    <row r="1472">
      <c r="A1472" s="3">
        <v>200.0</v>
      </c>
      <c r="B1472" s="3" t="b">
        <v>0</v>
      </c>
      <c r="C1472" s="3" t="s">
        <v>134</v>
      </c>
      <c r="G1472" s="3" t="s">
        <v>3492</v>
      </c>
      <c r="K1472" s="3" t="b">
        <v>0</v>
      </c>
      <c r="L1472" s="3" t="s">
        <v>3493</v>
      </c>
      <c r="N1472" s="3" t="s">
        <v>3494</v>
      </c>
      <c r="S1472" s="4" t="str">
        <f t="shared" si="1"/>
        <v>2019</v>
      </c>
    </row>
    <row r="1473">
      <c r="A1473" s="3">
        <v>200.0</v>
      </c>
      <c r="B1473" s="3" t="b">
        <v>0</v>
      </c>
      <c r="C1473" s="3" t="s">
        <v>80</v>
      </c>
      <c r="G1473" s="3" t="s">
        <v>3495</v>
      </c>
      <c r="K1473" s="3" t="b">
        <v>0</v>
      </c>
      <c r="L1473" s="3" t="s">
        <v>3496</v>
      </c>
      <c r="N1473" s="3" t="s">
        <v>3497</v>
      </c>
      <c r="S1473" s="4" t="str">
        <f t="shared" si="1"/>
        <v>2019</v>
      </c>
    </row>
    <row r="1474">
      <c r="A1474" s="3">
        <v>200.0</v>
      </c>
      <c r="B1474" s="3" t="b">
        <v>0</v>
      </c>
      <c r="C1474" s="3" t="s">
        <v>35</v>
      </c>
      <c r="G1474" s="3" t="s">
        <v>3498</v>
      </c>
      <c r="K1474" s="3" t="b">
        <v>0</v>
      </c>
      <c r="L1474" s="3" t="s">
        <v>3499</v>
      </c>
      <c r="N1474" s="3" t="s">
        <v>3500</v>
      </c>
      <c r="S1474" s="4" t="str">
        <f t="shared" si="1"/>
        <v>2019</v>
      </c>
    </row>
    <row r="1475">
      <c r="A1475" s="3">
        <v>200.0</v>
      </c>
      <c r="B1475" s="3" t="b">
        <v>0</v>
      </c>
      <c r="C1475" s="3" t="s">
        <v>62</v>
      </c>
      <c r="D1475" s="7">
        <v>8.0</v>
      </c>
      <c r="E1475" s="7">
        <v>1.0</v>
      </c>
      <c r="F1475" s="7">
        <v>20.0</v>
      </c>
      <c r="I1475" s="7">
        <v>0.0</v>
      </c>
      <c r="K1475" s="3" t="b">
        <v>1</v>
      </c>
      <c r="L1475" s="3" t="s">
        <v>2578</v>
      </c>
      <c r="M1475" s="7">
        <v>350.0</v>
      </c>
      <c r="N1475" s="3" t="s">
        <v>3501</v>
      </c>
      <c r="S1475" s="4" t="str">
        <f t="shared" si="1"/>
        <v>2019</v>
      </c>
    </row>
    <row r="1476">
      <c r="A1476" s="3">
        <v>200.0</v>
      </c>
      <c r="B1476" s="3" t="b">
        <v>0</v>
      </c>
      <c r="C1476" s="3" t="s">
        <v>97</v>
      </c>
      <c r="G1476" s="3" t="s">
        <v>3502</v>
      </c>
      <c r="K1476" s="3" t="b">
        <v>0</v>
      </c>
      <c r="L1476" s="3" t="s">
        <v>3503</v>
      </c>
      <c r="N1476" s="3" t="s">
        <v>3504</v>
      </c>
      <c r="S1476" s="4" t="str">
        <f t="shared" si="1"/>
        <v>2019</v>
      </c>
    </row>
    <row r="1477">
      <c r="A1477" s="3">
        <v>193.0</v>
      </c>
      <c r="B1477" s="3" t="b">
        <v>0</v>
      </c>
      <c r="C1477" s="3" t="s">
        <v>320</v>
      </c>
      <c r="G1477" s="3" t="s">
        <v>3505</v>
      </c>
      <c r="K1477" s="3" t="b">
        <v>0</v>
      </c>
      <c r="L1477" s="3" t="s">
        <v>3506</v>
      </c>
      <c r="N1477" s="3" t="s">
        <v>3507</v>
      </c>
      <c r="S1477" s="4" t="str">
        <f t="shared" si="1"/>
        <v>2019</v>
      </c>
    </row>
    <row r="1478">
      <c r="A1478" s="3">
        <v>190.0</v>
      </c>
      <c r="B1478" s="3" t="b">
        <v>0</v>
      </c>
      <c r="C1478" s="3" t="s">
        <v>260</v>
      </c>
      <c r="K1478" s="3" t="b">
        <v>0</v>
      </c>
      <c r="L1478" s="3" t="s">
        <v>3011</v>
      </c>
      <c r="N1478" s="3" t="s">
        <v>3508</v>
      </c>
      <c r="S1478" s="4" t="str">
        <f t="shared" si="1"/>
        <v>2019</v>
      </c>
    </row>
    <row r="1479">
      <c r="A1479" s="3">
        <v>190.0</v>
      </c>
      <c r="B1479" s="3" t="b">
        <v>0</v>
      </c>
      <c r="C1479" s="3" t="s">
        <v>114</v>
      </c>
      <c r="G1479" s="7" t="s">
        <v>3509</v>
      </c>
      <c r="K1479" s="3" t="b">
        <v>0</v>
      </c>
      <c r="L1479" s="3" t="s">
        <v>3510</v>
      </c>
      <c r="N1479" s="3" t="s">
        <v>3511</v>
      </c>
      <c r="S1479" s="4" t="str">
        <f t="shared" si="1"/>
        <v>2019</v>
      </c>
    </row>
    <row r="1480">
      <c r="A1480" s="3">
        <v>183.0</v>
      </c>
      <c r="B1480" s="3" t="b">
        <v>0</v>
      </c>
      <c r="C1480" s="3" t="s">
        <v>278</v>
      </c>
      <c r="K1480" s="3" t="b">
        <v>0</v>
      </c>
      <c r="L1480" s="3" t="s">
        <v>3512</v>
      </c>
      <c r="N1480" s="3" t="s">
        <v>3513</v>
      </c>
      <c r="S1480" s="4" t="str">
        <f t="shared" si="1"/>
        <v>2019</v>
      </c>
    </row>
    <row r="1481">
      <c r="A1481" s="3">
        <v>172.0</v>
      </c>
      <c r="B1481" s="3" t="b">
        <v>0</v>
      </c>
      <c r="C1481" s="3" t="s">
        <v>69</v>
      </c>
      <c r="G1481" s="3" t="s">
        <v>3514</v>
      </c>
      <c r="K1481" s="3" t="b">
        <v>0</v>
      </c>
      <c r="L1481" s="3" t="s">
        <v>3515</v>
      </c>
      <c r="N1481" s="3" t="s">
        <v>3516</v>
      </c>
      <c r="S1481" s="4" t="str">
        <f t="shared" si="1"/>
        <v>2019</v>
      </c>
    </row>
    <row r="1482">
      <c r="A1482" s="3">
        <v>167.0</v>
      </c>
      <c r="B1482" s="3" t="b">
        <v>0</v>
      </c>
      <c r="C1482" s="3" t="s">
        <v>27</v>
      </c>
      <c r="G1482" s="3" t="s">
        <v>3517</v>
      </c>
      <c r="K1482" s="3" t="b">
        <v>0</v>
      </c>
      <c r="L1482" s="3" t="s">
        <v>3518</v>
      </c>
      <c r="M1482" s="7">
        <v>25.0</v>
      </c>
      <c r="N1482" s="3" t="s">
        <v>3519</v>
      </c>
      <c r="S1482" s="4" t="str">
        <f t="shared" si="1"/>
        <v>2019</v>
      </c>
    </row>
    <row r="1483">
      <c r="A1483" s="3">
        <v>167.0</v>
      </c>
      <c r="B1483" s="3" t="b">
        <v>0</v>
      </c>
      <c r="C1483" s="3" t="s">
        <v>170</v>
      </c>
      <c r="G1483" s="3" t="s">
        <v>3520</v>
      </c>
      <c r="K1483" s="3" t="b">
        <v>0</v>
      </c>
      <c r="L1483" s="3" t="s">
        <v>1157</v>
      </c>
      <c r="N1483" s="3" t="s">
        <v>3521</v>
      </c>
      <c r="S1483" s="4" t="str">
        <f t="shared" si="1"/>
        <v>2019</v>
      </c>
    </row>
    <row r="1484">
      <c r="A1484" s="3">
        <v>161.0</v>
      </c>
      <c r="B1484" s="3" t="b">
        <v>0</v>
      </c>
      <c r="C1484" s="3" t="s">
        <v>1768</v>
      </c>
      <c r="G1484" s="3" t="s">
        <v>3522</v>
      </c>
      <c r="K1484" s="3" t="b">
        <v>0</v>
      </c>
      <c r="L1484" s="3" t="s">
        <v>2432</v>
      </c>
      <c r="N1484" s="3" t="s">
        <v>3523</v>
      </c>
      <c r="S1484" s="4" t="str">
        <f t="shared" si="1"/>
        <v>2019</v>
      </c>
    </row>
    <row r="1485">
      <c r="A1485" s="3">
        <v>156.0</v>
      </c>
      <c r="B1485" s="3" t="b">
        <v>0</v>
      </c>
      <c r="C1485" s="3" t="s">
        <v>58</v>
      </c>
      <c r="F1485" s="7">
        <v>2.0</v>
      </c>
      <c r="G1485" s="3" t="s">
        <v>3524</v>
      </c>
      <c r="K1485" s="3" t="b">
        <v>1</v>
      </c>
      <c r="L1485" s="3" t="s">
        <v>3525</v>
      </c>
      <c r="M1485" s="7">
        <v>8.0</v>
      </c>
      <c r="N1485" s="3" t="s">
        <v>3526</v>
      </c>
      <c r="S1485" s="4" t="str">
        <f t="shared" si="1"/>
        <v>2019</v>
      </c>
    </row>
    <row r="1486">
      <c r="A1486" s="3">
        <v>156.0</v>
      </c>
      <c r="B1486" s="3" t="b">
        <v>0</v>
      </c>
      <c r="C1486" s="3" t="s">
        <v>23</v>
      </c>
      <c r="G1486" s="3" t="s">
        <v>3527</v>
      </c>
      <c r="K1486" s="3" t="b">
        <v>0</v>
      </c>
      <c r="L1486" s="3" t="s">
        <v>2718</v>
      </c>
      <c r="N1486" s="3" t="s">
        <v>3528</v>
      </c>
      <c r="S1486" s="4" t="str">
        <f t="shared" si="1"/>
        <v>2019</v>
      </c>
    </row>
    <row r="1487">
      <c r="A1487" s="3">
        <v>156.0</v>
      </c>
      <c r="B1487" s="3" t="b">
        <v>0</v>
      </c>
      <c r="C1487" s="3" t="s">
        <v>134</v>
      </c>
      <c r="K1487" s="3" t="b">
        <v>0</v>
      </c>
      <c r="L1487" s="3" t="s">
        <v>3529</v>
      </c>
      <c r="N1487" s="3" t="s">
        <v>3530</v>
      </c>
      <c r="S1487" s="4" t="str">
        <f t="shared" si="1"/>
        <v>2019</v>
      </c>
    </row>
    <row r="1488">
      <c r="A1488" s="3">
        <v>155.0</v>
      </c>
      <c r="B1488" s="3" t="b">
        <v>0</v>
      </c>
      <c r="C1488" s="3" t="s">
        <v>94</v>
      </c>
      <c r="G1488" s="3" t="s">
        <v>3453</v>
      </c>
      <c r="K1488" s="3" t="b">
        <v>0</v>
      </c>
      <c r="L1488" s="3" t="s">
        <v>3531</v>
      </c>
      <c r="N1488" s="3" t="s">
        <v>3532</v>
      </c>
      <c r="S1488" s="4" t="str">
        <f t="shared" si="1"/>
        <v>2019</v>
      </c>
    </row>
    <row r="1489">
      <c r="A1489" s="3">
        <v>150.0</v>
      </c>
      <c r="B1489" s="3" t="b">
        <v>0</v>
      </c>
      <c r="C1489" s="3" t="s">
        <v>80</v>
      </c>
      <c r="G1489" s="3" t="s">
        <v>3533</v>
      </c>
      <c r="K1489" s="3" t="b">
        <v>0</v>
      </c>
      <c r="L1489" s="3" t="s">
        <v>941</v>
      </c>
      <c r="N1489" s="3" t="s">
        <v>3534</v>
      </c>
      <c r="S1489" s="4" t="str">
        <f t="shared" si="1"/>
        <v>2019</v>
      </c>
    </row>
    <row r="1490">
      <c r="A1490" s="3">
        <v>150.0</v>
      </c>
      <c r="B1490" s="3" t="b">
        <v>0</v>
      </c>
      <c r="C1490" s="3" t="s">
        <v>62</v>
      </c>
      <c r="K1490" s="3" t="b">
        <v>0</v>
      </c>
      <c r="L1490" s="3" t="s">
        <v>2578</v>
      </c>
      <c r="N1490" s="3" t="s">
        <v>3535</v>
      </c>
      <c r="S1490" s="4" t="str">
        <f t="shared" si="1"/>
        <v>2019</v>
      </c>
    </row>
    <row r="1491">
      <c r="A1491" s="3">
        <v>148.0</v>
      </c>
      <c r="B1491" s="3" t="b">
        <v>0</v>
      </c>
      <c r="C1491" s="3" t="s">
        <v>31</v>
      </c>
      <c r="G1491" s="7" t="s">
        <v>3536</v>
      </c>
      <c r="K1491" s="3" t="b">
        <v>0</v>
      </c>
      <c r="L1491" s="3" t="s">
        <v>3537</v>
      </c>
      <c r="N1491" s="3" t="s">
        <v>3538</v>
      </c>
      <c r="S1491" s="4" t="str">
        <f t="shared" si="1"/>
        <v>2019</v>
      </c>
    </row>
    <row r="1492">
      <c r="A1492" s="3">
        <v>145.0</v>
      </c>
      <c r="B1492" s="3" t="b">
        <v>0</v>
      </c>
      <c r="C1492" s="3" t="s">
        <v>134</v>
      </c>
      <c r="K1492" s="3" t="b">
        <v>0</v>
      </c>
      <c r="L1492" s="3" t="s">
        <v>3539</v>
      </c>
      <c r="N1492" s="3" t="s">
        <v>3540</v>
      </c>
      <c r="S1492" s="4" t="str">
        <f t="shared" si="1"/>
        <v>2019</v>
      </c>
    </row>
    <row r="1493">
      <c r="A1493" s="3">
        <v>144.0</v>
      </c>
      <c r="B1493" s="3" t="b">
        <v>0</v>
      </c>
      <c r="C1493" s="3" t="s">
        <v>401</v>
      </c>
      <c r="G1493" s="3" t="s">
        <v>3541</v>
      </c>
      <c r="K1493" s="3" t="b">
        <v>0</v>
      </c>
      <c r="L1493" s="3" t="s">
        <v>1278</v>
      </c>
      <c r="N1493" s="3" t="s">
        <v>3542</v>
      </c>
      <c r="S1493" s="4" t="str">
        <f t="shared" si="1"/>
        <v>2019</v>
      </c>
    </row>
    <row r="1494">
      <c r="A1494" s="3">
        <v>140.0</v>
      </c>
      <c r="B1494" s="3" t="b">
        <v>0</v>
      </c>
      <c r="C1494" s="3" t="s">
        <v>278</v>
      </c>
      <c r="G1494" s="3" t="s">
        <v>3543</v>
      </c>
      <c r="K1494" s="3" t="b">
        <v>0</v>
      </c>
      <c r="L1494" s="3" t="s">
        <v>3544</v>
      </c>
      <c r="N1494" s="3" t="s">
        <v>3545</v>
      </c>
      <c r="S1494" s="4" t="str">
        <f t="shared" si="1"/>
        <v>2019</v>
      </c>
    </row>
    <row r="1495">
      <c r="A1495" s="3">
        <v>139.0</v>
      </c>
      <c r="B1495" s="3" t="b">
        <v>0</v>
      </c>
      <c r="C1495" s="3" t="s">
        <v>205</v>
      </c>
      <c r="G1495" s="3" t="s">
        <v>3546</v>
      </c>
      <c r="K1495" s="3" t="b">
        <v>0</v>
      </c>
      <c r="L1495" s="3" t="s">
        <v>2761</v>
      </c>
      <c r="N1495" s="3" t="s">
        <v>3547</v>
      </c>
      <c r="S1495" s="4" t="str">
        <f t="shared" si="1"/>
        <v>2019</v>
      </c>
    </row>
    <row r="1496">
      <c r="A1496" s="3">
        <v>131.0</v>
      </c>
      <c r="B1496" s="3" t="b">
        <v>0</v>
      </c>
      <c r="C1496" s="3" t="s">
        <v>320</v>
      </c>
      <c r="G1496" s="3" t="s">
        <v>3548</v>
      </c>
      <c r="K1496" s="3" t="b">
        <v>0</v>
      </c>
      <c r="L1496" s="3" t="s">
        <v>1034</v>
      </c>
      <c r="N1496" s="3" t="s">
        <v>3549</v>
      </c>
      <c r="S1496" s="4" t="str">
        <f t="shared" si="1"/>
        <v>2019</v>
      </c>
    </row>
    <row r="1497">
      <c r="A1497" s="3">
        <v>131.0</v>
      </c>
      <c r="B1497" s="3" t="b">
        <v>0</v>
      </c>
      <c r="C1497" s="3" t="s">
        <v>35</v>
      </c>
      <c r="G1497" s="3" t="s">
        <v>3550</v>
      </c>
      <c r="K1497" s="3" t="b">
        <v>0</v>
      </c>
      <c r="L1497" s="3" t="s">
        <v>2831</v>
      </c>
      <c r="N1497" s="3" t="s">
        <v>3551</v>
      </c>
      <c r="S1497" s="4" t="str">
        <f t="shared" si="1"/>
        <v>2019</v>
      </c>
    </row>
    <row r="1498">
      <c r="A1498" s="3">
        <v>130.0</v>
      </c>
      <c r="B1498" s="3" t="b">
        <v>0</v>
      </c>
      <c r="C1498" s="3" t="s">
        <v>320</v>
      </c>
      <c r="K1498" s="3" t="b">
        <v>0</v>
      </c>
      <c r="L1498" s="3" t="s">
        <v>3339</v>
      </c>
      <c r="N1498" s="3" t="s">
        <v>3552</v>
      </c>
      <c r="S1498" s="4" t="str">
        <f t="shared" si="1"/>
        <v>2019</v>
      </c>
    </row>
    <row r="1499">
      <c r="A1499" s="3">
        <v>130.0</v>
      </c>
      <c r="B1499" s="3" t="b">
        <v>0</v>
      </c>
      <c r="C1499" s="3" t="s">
        <v>313</v>
      </c>
      <c r="K1499" s="3" t="b">
        <v>0</v>
      </c>
      <c r="L1499" s="3" t="s">
        <v>3553</v>
      </c>
      <c r="N1499" s="3" t="s">
        <v>3554</v>
      </c>
      <c r="S1499" s="4" t="str">
        <f t="shared" si="1"/>
        <v>2019</v>
      </c>
    </row>
    <row r="1500">
      <c r="A1500" s="3">
        <v>130.0</v>
      </c>
      <c r="B1500" s="3" t="b">
        <v>0</v>
      </c>
      <c r="C1500" s="3" t="s">
        <v>27</v>
      </c>
      <c r="G1500" s="3" t="s">
        <v>3555</v>
      </c>
      <c r="K1500" s="3" t="b">
        <v>0</v>
      </c>
      <c r="L1500" s="3" t="s">
        <v>3556</v>
      </c>
      <c r="N1500" s="3" t="s">
        <v>3557</v>
      </c>
      <c r="S1500" s="4" t="str">
        <f t="shared" si="1"/>
        <v>2019</v>
      </c>
    </row>
    <row r="1501">
      <c r="A1501" s="3">
        <v>128.0</v>
      </c>
      <c r="B1501" s="3" t="b">
        <v>0</v>
      </c>
      <c r="C1501" s="3" t="s">
        <v>401</v>
      </c>
      <c r="G1501" s="3" t="s">
        <v>3558</v>
      </c>
      <c r="K1501" s="3" t="b">
        <v>0</v>
      </c>
      <c r="L1501" s="3" t="s">
        <v>1430</v>
      </c>
      <c r="N1501" s="3" t="s">
        <v>3559</v>
      </c>
      <c r="S1501" s="4" t="str">
        <f t="shared" si="1"/>
        <v>2019</v>
      </c>
    </row>
    <row r="1502">
      <c r="A1502" s="3">
        <v>128.0</v>
      </c>
      <c r="B1502" s="3" t="b">
        <v>0</v>
      </c>
      <c r="C1502" s="3" t="s">
        <v>145</v>
      </c>
      <c r="G1502" s="3" t="s">
        <v>3560</v>
      </c>
      <c r="K1502" s="3" t="b">
        <v>0</v>
      </c>
      <c r="L1502" s="3" t="s">
        <v>3561</v>
      </c>
      <c r="N1502" s="3" t="s">
        <v>3562</v>
      </c>
      <c r="S1502" s="4" t="str">
        <f t="shared" si="1"/>
        <v>2019</v>
      </c>
    </row>
    <row r="1503">
      <c r="A1503" s="3">
        <v>121.0</v>
      </c>
      <c r="B1503" s="3" t="b">
        <v>0</v>
      </c>
      <c r="C1503" s="3" t="s">
        <v>39</v>
      </c>
      <c r="G1503" s="3" t="s">
        <v>3563</v>
      </c>
      <c r="K1503" s="3" t="b">
        <v>0</v>
      </c>
      <c r="L1503" s="3" t="s">
        <v>1914</v>
      </c>
      <c r="N1503" s="3" t="s">
        <v>3564</v>
      </c>
      <c r="S1503" s="4" t="str">
        <f t="shared" si="1"/>
        <v>2019</v>
      </c>
    </row>
    <row r="1504">
      <c r="A1504" s="3">
        <v>120.0</v>
      </c>
      <c r="B1504" s="3" t="b">
        <v>0</v>
      </c>
      <c r="C1504" s="3" t="s">
        <v>62</v>
      </c>
      <c r="G1504" s="3" t="s">
        <v>3565</v>
      </c>
      <c r="K1504" s="3" t="b">
        <v>1</v>
      </c>
      <c r="L1504" s="3" t="s">
        <v>3566</v>
      </c>
      <c r="N1504" s="3" t="s">
        <v>3567</v>
      </c>
      <c r="S1504" s="4" t="str">
        <f t="shared" si="1"/>
        <v>2019</v>
      </c>
    </row>
    <row r="1505">
      <c r="A1505" s="3">
        <v>120.0</v>
      </c>
      <c r="B1505" s="3" t="b">
        <v>0</v>
      </c>
      <c r="C1505" s="3" t="s">
        <v>149</v>
      </c>
      <c r="G1505" s="3" t="s">
        <v>3568</v>
      </c>
      <c r="K1505" s="3" t="b">
        <v>0</v>
      </c>
      <c r="L1505" s="3" t="s">
        <v>3569</v>
      </c>
      <c r="N1505" s="3" t="s">
        <v>3570</v>
      </c>
      <c r="S1505" s="4" t="str">
        <f t="shared" si="1"/>
        <v>2019</v>
      </c>
    </row>
    <row r="1506">
      <c r="A1506" s="3">
        <v>115.0</v>
      </c>
      <c r="B1506" s="3" t="b">
        <v>0</v>
      </c>
      <c r="C1506" s="3" t="s">
        <v>69</v>
      </c>
      <c r="G1506" s="3" t="s">
        <v>3571</v>
      </c>
      <c r="K1506" s="3" t="b">
        <v>0</v>
      </c>
      <c r="L1506" s="3" t="s">
        <v>3572</v>
      </c>
      <c r="N1506" s="3" t="s">
        <v>3573</v>
      </c>
      <c r="S1506" s="4" t="str">
        <f t="shared" si="1"/>
        <v>2019</v>
      </c>
    </row>
    <row r="1507">
      <c r="A1507" s="3">
        <v>105.0</v>
      </c>
      <c r="B1507" s="3" t="b">
        <v>0</v>
      </c>
      <c r="C1507" s="3" t="s">
        <v>23</v>
      </c>
      <c r="K1507" s="3" t="b">
        <v>0</v>
      </c>
      <c r="L1507" s="3" t="s">
        <v>826</v>
      </c>
      <c r="N1507" s="3" t="s">
        <v>3574</v>
      </c>
      <c r="S1507" s="4" t="str">
        <f t="shared" si="1"/>
        <v>2019</v>
      </c>
    </row>
    <row r="1508">
      <c r="A1508" s="3">
        <v>103.0</v>
      </c>
      <c r="B1508" s="3" t="b">
        <v>0</v>
      </c>
      <c r="C1508" s="3" t="s">
        <v>145</v>
      </c>
      <c r="G1508" s="3" t="s">
        <v>3575</v>
      </c>
      <c r="K1508" s="3" t="b">
        <v>0</v>
      </c>
      <c r="L1508" s="3" t="s">
        <v>3576</v>
      </c>
      <c r="N1508" s="3" t="s">
        <v>3577</v>
      </c>
      <c r="S1508" s="4" t="str">
        <f t="shared" si="1"/>
        <v>2019</v>
      </c>
    </row>
    <row r="1509">
      <c r="A1509" s="3">
        <v>100.0</v>
      </c>
      <c r="B1509" s="3" t="b">
        <v>0</v>
      </c>
      <c r="C1509" s="3" t="s">
        <v>97</v>
      </c>
      <c r="G1509" s="3" t="s">
        <v>3578</v>
      </c>
      <c r="K1509" s="3" t="b">
        <v>0</v>
      </c>
      <c r="L1509" s="3" t="s">
        <v>1381</v>
      </c>
      <c r="N1509" s="3" t="s">
        <v>3579</v>
      </c>
      <c r="S1509" s="4" t="str">
        <f t="shared" si="1"/>
        <v>2019</v>
      </c>
    </row>
    <row r="1510">
      <c r="A1510" s="3">
        <v>100.0</v>
      </c>
      <c r="B1510" s="3" t="b">
        <v>0</v>
      </c>
      <c r="C1510" s="3" t="s">
        <v>62</v>
      </c>
      <c r="G1510" s="3" t="s">
        <v>3580</v>
      </c>
      <c r="K1510" s="3" t="b">
        <v>0</v>
      </c>
      <c r="L1510" s="3" t="s">
        <v>311</v>
      </c>
      <c r="N1510" s="3" t="s">
        <v>3581</v>
      </c>
      <c r="S1510" s="4" t="str">
        <f t="shared" si="1"/>
        <v>2019</v>
      </c>
    </row>
    <row r="1511">
      <c r="A1511" s="3">
        <v>98.0</v>
      </c>
      <c r="B1511" s="3" t="b">
        <v>0</v>
      </c>
      <c r="C1511" s="3" t="s">
        <v>27</v>
      </c>
      <c r="D1511" s="7">
        <v>9.0</v>
      </c>
      <c r="E1511" s="7">
        <v>2.0</v>
      </c>
      <c r="F1511" s="7">
        <v>17.0</v>
      </c>
      <c r="G1511" s="3" t="s">
        <v>3582</v>
      </c>
      <c r="K1511" s="3" t="b">
        <v>0</v>
      </c>
      <c r="L1511" s="3" t="s">
        <v>3583</v>
      </c>
      <c r="M1511" s="3">
        <v>150.0</v>
      </c>
      <c r="N1511" s="3" t="s">
        <v>3584</v>
      </c>
      <c r="S1511" s="4" t="str">
        <f t="shared" si="1"/>
        <v>2019</v>
      </c>
    </row>
    <row r="1512">
      <c r="A1512" s="3">
        <v>97.0</v>
      </c>
      <c r="B1512" s="3" t="b">
        <v>0</v>
      </c>
      <c r="C1512" s="3" t="s">
        <v>62</v>
      </c>
      <c r="G1512" s="3" t="s">
        <v>3585</v>
      </c>
      <c r="K1512" s="3" t="b">
        <v>1</v>
      </c>
      <c r="L1512" s="3" t="s">
        <v>3586</v>
      </c>
      <c r="M1512" s="3">
        <v>150.0</v>
      </c>
      <c r="N1512" s="3" t="s">
        <v>3587</v>
      </c>
      <c r="S1512" s="4" t="str">
        <f t="shared" si="1"/>
        <v>2019</v>
      </c>
    </row>
    <row r="1513">
      <c r="A1513" s="3">
        <v>96.0</v>
      </c>
      <c r="B1513" s="3" t="b">
        <v>0</v>
      </c>
      <c r="C1513" s="3" t="s">
        <v>27</v>
      </c>
      <c r="G1513" s="3" t="s">
        <v>3588</v>
      </c>
      <c r="K1513" s="3" t="b">
        <v>0</v>
      </c>
      <c r="L1513" s="3" t="s">
        <v>3589</v>
      </c>
      <c r="N1513" s="3" t="s">
        <v>3590</v>
      </c>
      <c r="S1513" s="4" t="str">
        <f t="shared" si="1"/>
        <v>2019</v>
      </c>
    </row>
    <row r="1514">
      <c r="A1514" s="3">
        <v>95.0</v>
      </c>
      <c r="B1514" s="3" t="b">
        <v>0</v>
      </c>
      <c r="C1514" s="3" t="s">
        <v>149</v>
      </c>
      <c r="K1514" s="3" t="b">
        <v>0</v>
      </c>
      <c r="L1514" s="3" t="s">
        <v>3591</v>
      </c>
      <c r="N1514" s="3" t="s">
        <v>3592</v>
      </c>
      <c r="S1514" s="4" t="str">
        <f t="shared" si="1"/>
        <v>2019</v>
      </c>
    </row>
    <row r="1515">
      <c r="A1515" s="3">
        <v>94.0</v>
      </c>
      <c r="B1515" s="3" t="b">
        <v>0</v>
      </c>
      <c r="C1515" s="3" t="s">
        <v>27</v>
      </c>
      <c r="G1515" s="7" t="s">
        <v>3391</v>
      </c>
      <c r="K1515" s="3" t="b">
        <v>0</v>
      </c>
      <c r="L1515" s="3" t="s">
        <v>393</v>
      </c>
      <c r="N1515" s="3" t="s">
        <v>3593</v>
      </c>
      <c r="S1515" s="4" t="str">
        <f t="shared" si="1"/>
        <v>2019</v>
      </c>
    </row>
    <row r="1516">
      <c r="A1516" s="3">
        <v>91.0</v>
      </c>
      <c r="B1516" s="3" t="b">
        <v>0</v>
      </c>
      <c r="C1516" s="3" t="s">
        <v>35</v>
      </c>
      <c r="K1516" s="3" t="b">
        <v>0</v>
      </c>
      <c r="L1516" s="3" t="s">
        <v>3594</v>
      </c>
      <c r="N1516" s="3" t="s">
        <v>3595</v>
      </c>
      <c r="S1516" s="4" t="str">
        <f t="shared" si="1"/>
        <v>2019</v>
      </c>
    </row>
    <row r="1517">
      <c r="A1517" s="3">
        <v>91.0</v>
      </c>
      <c r="B1517" s="3" t="b">
        <v>0</v>
      </c>
      <c r="C1517" s="3" t="s">
        <v>46</v>
      </c>
      <c r="K1517" s="3" t="b">
        <v>0</v>
      </c>
      <c r="L1517" s="3" t="s">
        <v>3596</v>
      </c>
      <c r="N1517" s="3" t="s">
        <v>3597</v>
      </c>
      <c r="S1517" s="4" t="str">
        <f t="shared" si="1"/>
        <v>2019</v>
      </c>
    </row>
    <row r="1518">
      <c r="A1518" s="3">
        <v>90.0</v>
      </c>
      <c r="B1518" s="3" t="b">
        <v>0</v>
      </c>
      <c r="C1518" s="3" t="s">
        <v>179</v>
      </c>
      <c r="K1518" s="3" t="b">
        <v>0</v>
      </c>
      <c r="L1518" s="3" t="s">
        <v>3289</v>
      </c>
      <c r="N1518" s="3" t="s">
        <v>3598</v>
      </c>
      <c r="S1518" s="4" t="str">
        <f t="shared" si="1"/>
        <v>2019</v>
      </c>
    </row>
    <row r="1519">
      <c r="A1519" s="3">
        <v>90.0</v>
      </c>
      <c r="B1519" s="3" t="b">
        <v>0</v>
      </c>
      <c r="C1519" s="3" t="s">
        <v>58</v>
      </c>
      <c r="G1519" s="3" t="s">
        <v>3599</v>
      </c>
      <c r="K1519" s="3" t="b">
        <v>0</v>
      </c>
      <c r="L1519" s="3" t="s">
        <v>3600</v>
      </c>
      <c r="N1519" s="3" t="s">
        <v>3601</v>
      </c>
      <c r="S1519" s="4" t="str">
        <f t="shared" si="1"/>
        <v>2019</v>
      </c>
    </row>
    <row r="1520">
      <c r="A1520" s="3">
        <v>85.0</v>
      </c>
      <c r="B1520" s="3" t="b">
        <v>0</v>
      </c>
      <c r="C1520" s="3" t="s">
        <v>130</v>
      </c>
      <c r="G1520" s="3" t="s">
        <v>3602</v>
      </c>
      <c r="J1520" s="7">
        <v>2.0</v>
      </c>
      <c r="K1520" s="3" t="b">
        <v>1</v>
      </c>
      <c r="L1520" s="3" t="s">
        <v>2232</v>
      </c>
      <c r="N1520" s="3" t="s">
        <v>3603</v>
      </c>
      <c r="P1520" s="7">
        <v>4.0</v>
      </c>
      <c r="S1520" s="4" t="str">
        <f t="shared" si="1"/>
        <v>2019</v>
      </c>
    </row>
    <row r="1521">
      <c r="A1521" s="3">
        <v>84.0</v>
      </c>
      <c r="B1521" s="3" t="b">
        <v>0</v>
      </c>
      <c r="C1521" s="3" t="s">
        <v>247</v>
      </c>
      <c r="G1521" s="3" t="s">
        <v>3604</v>
      </c>
      <c r="K1521" s="3" t="b">
        <v>0</v>
      </c>
      <c r="L1521" s="3" t="s">
        <v>1186</v>
      </c>
      <c r="N1521" s="3" t="s">
        <v>3605</v>
      </c>
      <c r="S1521" s="4" t="str">
        <f t="shared" si="1"/>
        <v>2019</v>
      </c>
    </row>
    <row r="1522">
      <c r="A1522" s="3">
        <v>83.0</v>
      </c>
      <c r="B1522" s="3" t="b">
        <v>0</v>
      </c>
      <c r="C1522" s="3" t="s">
        <v>19</v>
      </c>
      <c r="G1522" s="3" t="s">
        <v>3606</v>
      </c>
      <c r="K1522" s="3" t="b">
        <v>0</v>
      </c>
      <c r="L1522" s="3" t="s">
        <v>1054</v>
      </c>
      <c r="N1522" s="3" t="s">
        <v>3607</v>
      </c>
      <c r="S1522" s="4" t="str">
        <f t="shared" si="1"/>
        <v>2019</v>
      </c>
    </row>
    <row r="1523">
      <c r="A1523" s="3">
        <v>83.0</v>
      </c>
      <c r="B1523" s="3" t="b">
        <v>0</v>
      </c>
      <c r="C1523" s="3" t="s">
        <v>46</v>
      </c>
      <c r="K1523" s="3" t="b">
        <v>0</v>
      </c>
      <c r="L1523" s="3" t="s">
        <v>3608</v>
      </c>
      <c r="N1523" s="3" t="s">
        <v>3609</v>
      </c>
      <c r="S1523" s="4" t="str">
        <f t="shared" si="1"/>
        <v>2019</v>
      </c>
    </row>
    <row r="1524">
      <c r="A1524" s="3">
        <v>81.0</v>
      </c>
      <c r="B1524" s="3" t="b">
        <v>0</v>
      </c>
      <c r="C1524" s="3" t="s">
        <v>278</v>
      </c>
      <c r="G1524" s="7" t="s">
        <v>3610</v>
      </c>
      <c r="K1524" s="3" t="b">
        <v>0</v>
      </c>
      <c r="L1524" s="3" t="s">
        <v>2200</v>
      </c>
      <c r="N1524" s="3" t="s">
        <v>3611</v>
      </c>
      <c r="S1524" s="4" t="str">
        <f t="shared" si="1"/>
        <v>2019</v>
      </c>
    </row>
    <row r="1525">
      <c r="A1525" s="3">
        <v>81.0</v>
      </c>
      <c r="B1525" s="3" t="b">
        <v>0</v>
      </c>
      <c r="C1525" s="3" t="s">
        <v>134</v>
      </c>
      <c r="K1525" s="3" t="b">
        <v>0</v>
      </c>
      <c r="L1525" s="3" t="s">
        <v>3612</v>
      </c>
      <c r="N1525" s="3" t="s">
        <v>3613</v>
      </c>
      <c r="S1525" s="4" t="str">
        <f t="shared" si="1"/>
        <v>2019</v>
      </c>
    </row>
    <row r="1526">
      <c r="A1526" s="3">
        <v>81.0</v>
      </c>
      <c r="B1526" s="3" t="b">
        <v>0</v>
      </c>
      <c r="C1526" s="3" t="s">
        <v>27</v>
      </c>
      <c r="G1526" s="3" t="s">
        <v>3614</v>
      </c>
      <c r="K1526" s="3" t="b">
        <v>0</v>
      </c>
      <c r="L1526" s="3" t="s">
        <v>569</v>
      </c>
      <c r="N1526" s="3" t="s">
        <v>3615</v>
      </c>
      <c r="S1526" s="4" t="str">
        <f t="shared" si="1"/>
        <v>2019</v>
      </c>
    </row>
    <row r="1527">
      <c r="A1527" s="3">
        <v>80.0</v>
      </c>
      <c r="B1527" s="3" t="b">
        <v>0</v>
      </c>
      <c r="C1527" s="3" t="s">
        <v>87</v>
      </c>
      <c r="G1527" s="3" t="s">
        <v>3616</v>
      </c>
      <c r="K1527" s="3" t="b">
        <v>0</v>
      </c>
      <c r="L1527" s="3" t="s">
        <v>767</v>
      </c>
      <c r="N1527" s="3" t="s">
        <v>3617</v>
      </c>
      <c r="S1527" s="4" t="str">
        <f t="shared" si="1"/>
        <v>2019</v>
      </c>
    </row>
    <row r="1528">
      <c r="A1528" s="3">
        <v>80.0</v>
      </c>
      <c r="B1528" s="3" t="b">
        <v>0</v>
      </c>
      <c r="C1528" s="3" t="s">
        <v>27</v>
      </c>
      <c r="G1528" s="3" t="s">
        <v>3618</v>
      </c>
      <c r="K1528" s="3" t="b">
        <v>0</v>
      </c>
      <c r="L1528" s="3" t="s">
        <v>3619</v>
      </c>
      <c r="N1528" s="3" t="s">
        <v>3620</v>
      </c>
      <c r="S1528" s="4" t="str">
        <f t="shared" si="1"/>
        <v>2019</v>
      </c>
    </row>
    <row r="1529">
      <c r="A1529" s="3">
        <v>80.0</v>
      </c>
      <c r="B1529" s="3" t="b">
        <v>0</v>
      </c>
      <c r="C1529" s="3" t="s">
        <v>62</v>
      </c>
      <c r="G1529" s="3" t="s">
        <v>3621</v>
      </c>
      <c r="K1529" s="3" t="b">
        <v>0</v>
      </c>
      <c r="L1529" s="3" t="s">
        <v>2472</v>
      </c>
      <c r="N1529" s="3" t="s">
        <v>3622</v>
      </c>
      <c r="S1529" s="4" t="str">
        <f t="shared" si="1"/>
        <v>2019</v>
      </c>
    </row>
    <row r="1530">
      <c r="A1530" s="3">
        <v>80.0</v>
      </c>
      <c r="B1530" s="3" t="b">
        <v>0</v>
      </c>
      <c r="C1530" s="3" t="s">
        <v>401</v>
      </c>
      <c r="K1530" s="3" t="b">
        <v>0</v>
      </c>
      <c r="L1530" s="3" t="s">
        <v>3623</v>
      </c>
      <c r="N1530" s="3" t="s">
        <v>3624</v>
      </c>
      <c r="S1530" s="4" t="str">
        <f t="shared" si="1"/>
        <v>2019</v>
      </c>
    </row>
    <row r="1531">
      <c r="A1531" s="3">
        <v>80.0</v>
      </c>
      <c r="B1531" s="3" t="b">
        <v>0</v>
      </c>
      <c r="C1531" s="3" t="s">
        <v>27</v>
      </c>
      <c r="G1531" s="3" t="s">
        <v>3625</v>
      </c>
      <c r="K1531" s="3" t="b">
        <v>0</v>
      </c>
      <c r="L1531" s="3" t="s">
        <v>955</v>
      </c>
      <c r="N1531" s="3" t="s">
        <v>3626</v>
      </c>
      <c r="S1531" s="4" t="str">
        <f t="shared" si="1"/>
        <v>2019</v>
      </c>
    </row>
    <row r="1532">
      <c r="A1532" s="3">
        <v>80.0</v>
      </c>
      <c r="B1532" s="3" t="b">
        <v>0</v>
      </c>
      <c r="C1532" s="3" t="s">
        <v>367</v>
      </c>
      <c r="G1532" s="3" t="s">
        <v>3627</v>
      </c>
      <c r="K1532" s="3" t="b">
        <v>0</v>
      </c>
      <c r="L1532" s="3" t="s">
        <v>1538</v>
      </c>
      <c r="N1532" s="3" t="s">
        <v>3628</v>
      </c>
      <c r="S1532" s="4" t="str">
        <f t="shared" si="1"/>
        <v>2019</v>
      </c>
    </row>
    <row r="1533">
      <c r="A1533" s="3">
        <v>80.0</v>
      </c>
      <c r="B1533" s="3" t="b">
        <v>0</v>
      </c>
      <c r="C1533" s="3" t="s">
        <v>367</v>
      </c>
      <c r="G1533" s="3" t="s">
        <v>3629</v>
      </c>
      <c r="K1533" s="3" t="b">
        <v>0</v>
      </c>
      <c r="L1533" s="3" t="s">
        <v>1538</v>
      </c>
      <c r="N1533" s="3" t="s">
        <v>3630</v>
      </c>
      <c r="S1533" s="4" t="str">
        <f t="shared" si="1"/>
        <v>2019</v>
      </c>
    </row>
    <row r="1534">
      <c r="A1534" s="3">
        <v>75.0</v>
      </c>
      <c r="B1534" s="3" t="b">
        <v>0</v>
      </c>
      <c r="C1534" s="3" t="s">
        <v>186</v>
      </c>
      <c r="G1534" s="3" t="s">
        <v>3631</v>
      </c>
      <c r="K1534" s="3" t="b">
        <v>0</v>
      </c>
      <c r="L1534" s="3" t="s">
        <v>2090</v>
      </c>
      <c r="N1534" s="3" t="s">
        <v>3632</v>
      </c>
      <c r="S1534" s="4" t="str">
        <f t="shared" si="1"/>
        <v>2019</v>
      </c>
    </row>
    <row r="1535">
      <c r="A1535" s="3">
        <v>74.0</v>
      </c>
      <c r="B1535" s="3" t="b">
        <v>0</v>
      </c>
      <c r="C1535" s="3" t="s">
        <v>401</v>
      </c>
      <c r="G1535" s="3" t="s">
        <v>3633</v>
      </c>
      <c r="K1535" s="3" t="b">
        <v>0</v>
      </c>
      <c r="L1535" s="3" t="s">
        <v>322</v>
      </c>
      <c r="N1535" s="3" t="s">
        <v>3634</v>
      </c>
      <c r="S1535" s="4" t="str">
        <f t="shared" si="1"/>
        <v>2019</v>
      </c>
    </row>
    <row r="1536">
      <c r="A1536" s="3">
        <v>70.0</v>
      </c>
      <c r="B1536" s="3" t="b">
        <v>0</v>
      </c>
      <c r="C1536" s="3" t="s">
        <v>367</v>
      </c>
      <c r="G1536" s="3" t="s">
        <v>3635</v>
      </c>
      <c r="K1536" s="3" t="b">
        <v>0</v>
      </c>
      <c r="L1536" s="3" t="s">
        <v>3636</v>
      </c>
      <c r="N1536" s="3" t="s">
        <v>3637</v>
      </c>
      <c r="S1536" s="4" t="str">
        <f t="shared" si="1"/>
        <v>2019</v>
      </c>
    </row>
    <row r="1537">
      <c r="A1537" s="3">
        <v>68.0</v>
      </c>
      <c r="B1537" s="3" t="b">
        <v>0</v>
      </c>
      <c r="C1537" s="3" t="s">
        <v>54</v>
      </c>
      <c r="G1537" s="3" t="s">
        <v>3638</v>
      </c>
      <c r="K1537" s="3" t="b">
        <v>0</v>
      </c>
      <c r="L1537" s="3" t="s">
        <v>3639</v>
      </c>
      <c r="N1537" s="3" t="s">
        <v>3640</v>
      </c>
      <c r="S1537" s="4" t="str">
        <f t="shared" si="1"/>
        <v>2019</v>
      </c>
    </row>
    <row r="1538">
      <c r="A1538" s="3">
        <v>67.0</v>
      </c>
      <c r="B1538" s="3" t="b">
        <v>0</v>
      </c>
      <c r="C1538" s="3" t="s">
        <v>2397</v>
      </c>
      <c r="K1538" s="3" t="b">
        <v>0</v>
      </c>
      <c r="L1538" s="3" t="s">
        <v>3641</v>
      </c>
      <c r="N1538" s="3" t="s">
        <v>3642</v>
      </c>
      <c r="S1538" s="4" t="str">
        <f t="shared" si="1"/>
        <v>2019</v>
      </c>
    </row>
    <row r="1539">
      <c r="A1539" s="3">
        <v>67.0</v>
      </c>
      <c r="B1539" s="3" t="b">
        <v>0</v>
      </c>
      <c r="C1539" s="3" t="s">
        <v>411</v>
      </c>
      <c r="K1539" s="3" t="b">
        <v>0</v>
      </c>
      <c r="L1539" s="3" t="s">
        <v>3643</v>
      </c>
      <c r="N1539" s="3" t="s">
        <v>3644</v>
      </c>
      <c r="S1539" s="4" t="str">
        <f t="shared" si="1"/>
        <v>2019</v>
      </c>
    </row>
    <row r="1540">
      <c r="A1540" s="3">
        <v>66.0</v>
      </c>
      <c r="B1540" s="3" t="b">
        <v>0</v>
      </c>
      <c r="C1540" s="3" t="s">
        <v>114</v>
      </c>
      <c r="G1540" s="3" t="s">
        <v>3645</v>
      </c>
      <c r="K1540" s="3" t="b">
        <v>0</v>
      </c>
      <c r="L1540" s="3" t="s">
        <v>3646</v>
      </c>
      <c r="N1540" s="3" t="s">
        <v>3647</v>
      </c>
      <c r="S1540" s="4" t="str">
        <f t="shared" si="1"/>
        <v>2019</v>
      </c>
    </row>
    <row r="1541">
      <c r="A1541" s="3">
        <v>65.0</v>
      </c>
      <c r="B1541" s="3" t="b">
        <v>0</v>
      </c>
      <c r="C1541" s="3" t="s">
        <v>31</v>
      </c>
      <c r="G1541" s="3" t="s">
        <v>3648</v>
      </c>
      <c r="K1541" s="3" t="b">
        <v>0</v>
      </c>
      <c r="L1541" s="3" t="s">
        <v>3649</v>
      </c>
      <c r="N1541" s="3" t="s">
        <v>3650</v>
      </c>
      <c r="S1541" s="4" t="str">
        <f t="shared" si="1"/>
        <v>2019</v>
      </c>
    </row>
    <row r="1542">
      <c r="A1542" s="3">
        <v>64.0</v>
      </c>
      <c r="B1542" s="3" t="b">
        <v>0</v>
      </c>
      <c r="C1542" s="3" t="s">
        <v>166</v>
      </c>
      <c r="K1542" s="3" t="b">
        <v>0</v>
      </c>
      <c r="L1542" s="3" t="s">
        <v>1278</v>
      </c>
      <c r="N1542" s="3" t="s">
        <v>3651</v>
      </c>
      <c r="S1542" s="4" t="str">
        <f t="shared" si="1"/>
        <v>2019</v>
      </c>
    </row>
    <row r="1543">
      <c r="A1543" s="3">
        <v>63.0</v>
      </c>
      <c r="B1543" s="3" t="b">
        <v>0</v>
      </c>
      <c r="C1543" s="3" t="s">
        <v>212</v>
      </c>
      <c r="G1543" s="3" t="s">
        <v>3652</v>
      </c>
      <c r="K1543" s="3" t="b">
        <v>0</v>
      </c>
      <c r="L1543" s="3" t="s">
        <v>929</v>
      </c>
      <c r="N1543" s="3" t="s">
        <v>3653</v>
      </c>
      <c r="S1543" s="4" t="str">
        <f t="shared" si="1"/>
        <v>2019</v>
      </c>
    </row>
    <row r="1544">
      <c r="A1544" s="3">
        <v>63.0</v>
      </c>
      <c r="B1544" s="3" t="b">
        <v>0</v>
      </c>
      <c r="C1544" s="3" t="s">
        <v>54</v>
      </c>
      <c r="G1544" s="3" t="s">
        <v>3555</v>
      </c>
      <c r="K1544" s="3" t="b">
        <v>0</v>
      </c>
      <c r="L1544" s="3" t="s">
        <v>232</v>
      </c>
      <c r="N1544" s="3" t="s">
        <v>3654</v>
      </c>
      <c r="S1544" s="4" t="str">
        <f t="shared" si="1"/>
        <v>2019</v>
      </c>
    </row>
    <row r="1545">
      <c r="A1545" s="3">
        <v>62.0</v>
      </c>
      <c r="B1545" s="3" t="b">
        <v>0</v>
      </c>
      <c r="C1545" s="3" t="s">
        <v>429</v>
      </c>
      <c r="G1545" s="3" t="s">
        <v>3655</v>
      </c>
      <c r="K1545" s="3" t="b">
        <v>0</v>
      </c>
      <c r="L1545" s="3" t="s">
        <v>3656</v>
      </c>
      <c r="N1545" s="3" t="s">
        <v>3657</v>
      </c>
      <c r="S1545" s="4" t="str">
        <f t="shared" si="1"/>
        <v>2019</v>
      </c>
    </row>
    <row r="1546">
      <c r="A1546" s="3">
        <v>60.0</v>
      </c>
      <c r="B1546" s="3" t="b">
        <v>0</v>
      </c>
      <c r="C1546" s="3" t="s">
        <v>401</v>
      </c>
      <c r="K1546" s="3" t="b">
        <v>0</v>
      </c>
      <c r="L1546" s="3" t="s">
        <v>3658</v>
      </c>
      <c r="N1546" s="3" t="s">
        <v>3659</v>
      </c>
      <c r="S1546" s="4" t="str">
        <f t="shared" si="1"/>
        <v>2019</v>
      </c>
    </row>
    <row r="1547">
      <c r="A1547" s="3">
        <v>58.0</v>
      </c>
      <c r="B1547" s="3" t="b">
        <v>0</v>
      </c>
      <c r="C1547" s="3" t="s">
        <v>87</v>
      </c>
      <c r="E1547" s="7">
        <v>1.0</v>
      </c>
      <c r="F1547" s="7">
        <v>10.0</v>
      </c>
      <c r="G1547" s="7" t="s">
        <v>3660</v>
      </c>
      <c r="K1547" s="3" t="b">
        <v>0</v>
      </c>
      <c r="L1547" s="3" t="s">
        <v>3661</v>
      </c>
      <c r="M1547" s="7">
        <v>105.0</v>
      </c>
      <c r="N1547" s="3" t="s">
        <v>3662</v>
      </c>
      <c r="S1547" s="4" t="str">
        <f t="shared" si="1"/>
        <v>2019</v>
      </c>
    </row>
    <row r="1548">
      <c r="A1548" s="3">
        <v>58.0</v>
      </c>
      <c r="B1548" s="3" t="b">
        <v>0</v>
      </c>
      <c r="C1548" s="3" t="s">
        <v>80</v>
      </c>
      <c r="K1548" s="3" t="b">
        <v>0</v>
      </c>
      <c r="L1548" s="3" t="s">
        <v>3663</v>
      </c>
      <c r="N1548" s="3" t="s">
        <v>3664</v>
      </c>
      <c r="S1548" s="4" t="str">
        <f t="shared" si="1"/>
        <v>2019</v>
      </c>
    </row>
    <row r="1549">
      <c r="A1549" s="3">
        <v>55.0</v>
      </c>
      <c r="B1549" s="3" t="b">
        <v>0</v>
      </c>
      <c r="C1549" s="3" t="s">
        <v>320</v>
      </c>
      <c r="G1549" s="3" t="s">
        <v>3665</v>
      </c>
      <c r="K1549" s="3" t="b">
        <v>0</v>
      </c>
      <c r="L1549" s="3" t="s">
        <v>1034</v>
      </c>
      <c r="N1549" s="3" t="s">
        <v>3666</v>
      </c>
      <c r="S1549" s="4" t="str">
        <f t="shared" si="1"/>
        <v>2019</v>
      </c>
    </row>
    <row r="1550">
      <c r="A1550" s="3">
        <v>55.0</v>
      </c>
      <c r="B1550" s="3" t="b">
        <v>0</v>
      </c>
      <c r="C1550" s="3" t="s">
        <v>27</v>
      </c>
      <c r="G1550" s="3" t="s">
        <v>3667</v>
      </c>
      <c r="K1550" s="3" t="b">
        <v>0</v>
      </c>
      <c r="L1550" s="3" t="s">
        <v>2558</v>
      </c>
      <c r="N1550" s="3" t="s">
        <v>3668</v>
      </c>
      <c r="S1550" s="4" t="str">
        <f t="shared" si="1"/>
        <v>2019</v>
      </c>
    </row>
    <row r="1551">
      <c r="A1551" s="3">
        <v>53.0</v>
      </c>
      <c r="B1551" s="3" t="b">
        <v>0</v>
      </c>
      <c r="C1551" s="3" t="s">
        <v>186</v>
      </c>
      <c r="D1551" s="7">
        <v>2.0</v>
      </c>
      <c r="F1551" s="7">
        <v>10.0</v>
      </c>
      <c r="G1551" s="3" t="s">
        <v>3669</v>
      </c>
      <c r="K1551" s="3" t="b">
        <v>0</v>
      </c>
      <c r="L1551" s="3" t="s">
        <v>730</v>
      </c>
      <c r="M1551" s="7">
        <v>74.0</v>
      </c>
      <c r="N1551" s="3" t="s">
        <v>3670</v>
      </c>
      <c r="P1551" s="7">
        <v>1.0</v>
      </c>
      <c r="S1551" s="4" t="str">
        <f t="shared" si="1"/>
        <v>2019</v>
      </c>
    </row>
    <row r="1552">
      <c r="A1552" s="3">
        <v>52.0</v>
      </c>
      <c r="B1552" s="3" t="b">
        <v>0</v>
      </c>
      <c r="C1552" s="3" t="s">
        <v>149</v>
      </c>
      <c r="K1552" s="3" t="b">
        <v>0</v>
      </c>
      <c r="L1552" s="3" t="s">
        <v>758</v>
      </c>
      <c r="N1552" s="3" t="s">
        <v>3671</v>
      </c>
      <c r="S1552" s="4" t="str">
        <f t="shared" si="1"/>
        <v>2019</v>
      </c>
    </row>
    <row r="1553">
      <c r="A1553" s="3">
        <v>52.0</v>
      </c>
      <c r="B1553" s="3" t="b">
        <v>0</v>
      </c>
      <c r="C1553" s="3" t="s">
        <v>62</v>
      </c>
      <c r="G1553" s="7" t="s">
        <v>3672</v>
      </c>
      <c r="K1553" s="3" t="b">
        <v>0</v>
      </c>
      <c r="L1553" s="3" t="s">
        <v>879</v>
      </c>
      <c r="N1553" s="3" t="s">
        <v>3673</v>
      </c>
      <c r="S1553" s="4" t="str">
        <f t="shared" si="1"/>
        <v>2019</v>
      </c>
    </row>
    <row r="1554">
      <c r="A1554" s="3">
        <v>50.0</v>
      </c>
      <c r="B1554" s="3" t="b">
        <v>0</v>
      </c>
      <c r="C1554" s="3" t="s">
        <v>62</v>
      </c>
      <c r="K1554" s="3" t="b">
        <v>0</v>
      </c>
      <c r="L1554" s="3" t="s">
        <v>3042</v>
      </c>
      <c r="N1554" s="3" t="s">
        <v>3674</v>
      </c>
      <c r="S1554" s="4" t="str">
        <f t="shared" si="1"/>
        <v>2019</v>
      </c>
    </row>
    <row r="1555">
      <c r="A1555" s="3">
        <v>50.0</v>
      </c>
      <c r="B1555" s="3" t="b">
        <v>0</v>
      </c>
      <c r="C1555" s="3" t="s">
        <v>80</v>
      </c>
      <c r="G1555" s="3" t="s">
        <v>3495</v>
      </c>
      <c r="K1555" s="3" t="b">
        <v>0</v>
      </c>
      <c r="L1555" s="3" t="s">
        <v>3675</v>
      </c>
      <c r="N1555" s="3" t="s">
        <v>3676</v>
      </c>
      <c r="S1555" s="4" t="str">
        <f t="shared" si="1"/>
        <v>2019</v>
      </c>
    </row>
    <row r="1556">
      <c r="A1556" s="3">
        <v>50.0</v>
      </c>
      <c r="B1556" s="3" t="b">
        <v>0</v>
      </c>
      <c r="C1556" s="3" t="s">
        <v>247</v>
      </c>
      <c r="G1556" s="3" t="s">
        <v>3677</v>
      </c>
      <c r="K1556" s="3" t="b">
        <v>0</v>
      </c>
      <c r="L1556" s="3" t="s">
        <v>1109</v>
      </c>
      <c r="N1556" s="3" t="s">
        <v>3678</v>
      </c>
      <c r="S1556" s="4" t="str">
        <f t="shared" si="1"/>
        <v>2019</v>
      </c>
    </row>
    <row r="1557">
      <c r="A1557" s="3">
        <v>50.0</v>
      </c>
      <c r="B1557" s="3" t="b">
        <v>0</v>
      </c>
      <c r="C1557" s="3" t="s">
        <v>166</v>
      </c>
      <c r="G1557" s="3" t="s">
        <v>3679</v>
      </c>
      <c r="K1557" s="3" t="b">
        <v>0</v>
      </c>
      <c r="L1557" s="3" t="s">
        <v>3680</v>
      </c>
      <c r="N1557" s="3" t="s">
        <v>3372</v>
      </c>
      <c r="S1557" s="4" t="str">
        <f t="shared" si="1"/>
        <v>2019</v>
      </c>
    </row>
    <row r="1558">
      <c r="A1558" s="3">
        <v>50.0</v>
      </c>
      <c r="B1558" s="3" t="b">
        <v>0</v>
      </c>
      <c r="C1558" s="3" t="s">
        <v>87</v>
      </c>
      <c r="G1558" s="3" t="s">
        <v>3571</v>
      </c>
      <c r="K1558" s="3" t="b">
        <v>1</v>
      </c>
      <c r="L1558" s="3" t="s">
        <v>926</v>
      </c>
      <c r="N1558" s="3" t="s">
        <v>3681</v>
      </c>
      <c r="S1558" s="4" t="str">
        <f t="shared" si="1"/>
        <v>2019</v>
      </c>
    </row>
    <row r="1559">
      <c r="A1559" s="3">
        <v>47.0</v>
      </c>
      <c r="B1559" s="3" t="b">
        <v>0</v>
      </c>
      <c r="C1559" s="3" t="s">
        <v>401</v>
      </c>
      <c r="G1559" s="3" t="s">
        <v>3682</v>
      </c>
      <c r="K1559" s="3" t="b">
        <v>0</v>
      </c>
      <c r="L1559" s="3" t="s">
        <v>3683</v>
      </c>
      <c r="N1559" s="3" t="s">
        <v>3684</v>
      </c>
      <c r="S1559" s="4" t="str">
        <f t="shared" si="1"/>
        <v>2019</v>
      </c>
    </row>
    <row r="1560">
      <c r="A1560" s="3">
        <v>47.0</v>
      </c>
      <c r="B1560" s="3" t="b">
        <v>0</v>
      </c>
      <c r="C1560" s="3" t="s">
        <v>94</v>
      </c>
      <c r="G1560" s="3" t="s">
        <v>3568</v>
      </c>
      <c r="K1560" s="3" t="b">
        <v>0</v>
      </c>
      <c r="L1560" s="3" t="s">
        <v>37</v>
      </c>
      <c r="N1560" s="3" t="s">
        <v>3685</v>
      </c>
      <c r="S1560" s="4" t="str">
        <f t="shared" si="1"/>
        <v>2019</v>
      </c>
    </row>
    <row r="1561">
      <c r="A1561" s="3">
        <v>46.0</v>
      </c>
      <c r="B1561" s="3" t="b">
        <v>0</v>
      </c>
      <c r="C1561" s="3" t="s">
        <v>58</v>
      </c>
      <c r="G1561" s="3" t="s">
        <v>3686</v>
      </c>
      <c r="K1561" s="3" t="b">
        <v>0</v>
      </c>
      <c r="L1561" s="3" t="s">
        <v>3687</v>
      </c>
      <c r="N1561" s="3" t="s">
        <v>3688</v>
      </c>
      <c r="S1561" s="4" t="str">
        <f t="shared" si="1"/>
        <v>2019</v>
      </c>
    </row>
    <row r="1562">
      <c r="A1562" s="3">
        <v>46.0</v>
      </c>
      <c r="B1562" s="3" t="b">
        <v>0</v>
      </c>
      <c r="C1562" s="3" t="s">
        <v>54</v>
      </c>
      <c r="G1562" s="3" t="s">
        <v>3409</v>
      </c>
      <c r="K1562" s="3" t="b">
        <v>0</v>
      </c>
      <c r="L1562" s="3" t="s">
        <v>232</v>
      </c>
      <c r="N1562" s="3" t="s">
        <v>3689</v>
      </c>
      <c r="S1562" s="4" t="str">
        <f t="shared" si="1"/>
        <v>2019</v>
      </c>
    </row>
    <row r="1563">
      <c r="A1563" s="3">
        <v>45.0</v>
      </c>
      <c r="B1563" s="3" t="b">
        <v>0</v>
      </c>
      <c r="C1563" s="3" t="s">
        <v>27</v>
      </c>
      <c r="G1563" s="3" t="s">
        <v>3690</v>
      </c>
      <c r="K1563" s="3" t="b">
        <v>0</v>
      </c>
      <c r="L1563" s="3" t="s">
        <v>3691</v>
      </c>
      <c r="N1563" s="3" t="s">
        <v>3692</v>
      </c>
      <c r="S1563" s="4" t="str">
        <f t="shared" si="1"/>
        <v>2019</v>
      </c>
    </row>
    <row r="1564">
      <c r="A1564" s="3">
        <v>44.0</v>
      </c>
      <c r="B1564" s="3" t="b">
        <v>0</v>
      </c>
      <c r="C1564" s="3" t="s">
        <v>179</v>
      </c>
      <c r="G1564" s="3" t="s">
        <v>3693</v>
      </c>
      <c r="K1564" s="3" t="b">
        <v>0</v>
      </c>
      <c r="L1564" s="3" t="s">
        <v>3694</v>
      </c>
      <c r="N1564" s="3" t="s">
        <v>3695</v>
      </c>
      <c r="S1564" s="4" t="str">
        <f t="shared" si="1"/>
        <v>2019</v>
      </c>
    </row>
    <row r="1565">
      <c r="A1565" s="3">
        <v>43.0</v>
      </c>
      <c r="B1565" s="3" t="b">
        <v>0</v>
      </c>
      <c r="C1565" s="3" t="s">
        <v>114</v>
      </c>
      <c r="G1565" s="3" t="s">
        <v>3679</v>
      </c>
      <c r="K1565" s="3" t="b">
        <v>0</v>
      </c>
      <c r="L1565" s="3" t="s">
        <v>3696</v>
      </c>
      <c r="N1565" s="3" t="s">
        <v>3697</v>
      </c>
      <c r="S1565" s="4" t="str">
        <f t="shared" si="1"/>
        <v>2019</v>
      </c>
    </row>
    <row r="1566">
      <c r="A1566" s="3">
        <v>42.0</v>
      </c>
      <c r="B1566" s="3" t="b">
        <v>0</v>
      </c>
      <c r="C1566" s="3" t="s">
        <v>23</v>
      </c>
      <c r="G1566" s="3" t="s">
        <v>3698</v>
      </c>
      <c r="K1566" s="3" t="b">
        <v>0</v>
      </c>
      <c r="L1566" s="3" t="s">
        <v>3699</v>
      </c>
      <c r="N1566" s="3" t="s">
        <v>3700</v>
      </c>
      <c r="S1566" s="4" t="str">
        <f t="shared" si="1"/>
        <v>2019</v>
      </c>
    </row>
    <row r="1567">
      <c r="A1567" s="3">
        <v>42.0</v>
      </c>
      <c r="B1567" s="3" t="b">
        <v>0</v>
      </c>
      <c r="C1567" s="3" t="s">
        <v>58</v>
      </c>
      <c r="G1567" s="3" t="s">
        <v>3701</v>
      </c>
      <c r="K1567" s="3" t="b">
        <v>0</v>
      </c>
      <c r="L1567" s="3" t="s">
        <v>3702</v>
      </c>
      <c r="N1567" s="3" t="s">
        <v>3703</v>
      </c>
      <c r="S1567" s="4" t="str">
        <f t="shared" si="1"/>
        <v>2019</v>
      </c>
    </row>
    <row r="1568">
      <c r="A1568" s="3">
        <v>38.0</v>
      </c>
      <c r="B1568" s="3" t="b">
        <v>0</v>
      </c>
      <c r="C1568" s="3" t="s">
        <v>367</v>
      </c>
      <c r="K1568" s="3" t="b">
        <v>0</v>
      </c>
      <c r="L1568" s="3" t="s">
        <v>3704</v>
      </c>
      <c r="N1568" s="3" t="s">
        <v>3705</v>
      </c>
      <c r="S1568" s="4" t="str">
        <f t="shared" si="1"/>
        <v>2019</v>
      </c>
    </row>
    <row r="1569">
      <c r="A1569" s="3">
        <v>35.0</v>
      </c>
      <c r="B1569" s="3" t="b">
        <v>0</v>
      </c>
      <c r="C1569" s="3" t="s">
        <v>401</v>
      </c>
      <c r="K1569" s="3" t="b">
        <v>0</v>
      </c>
      <c r="L1569" s="3" t="s">
        <v>3706</v>
      </c>
      <c r="N1569" s="3" t="s">
        <v>3707</v>
      </c>
      <c r="S1569" s="4" t="str">
        <f t="shared" si="1"/>
        <v>2019</v>
      </c>
    </row>
    <row r="1570">
      <c r="A1570" s="3">
        <v>35.0</v>
      </c>
      <c r="B1570" s="3" t="b">
        <v>0</v>
      </c>
      <c r="C1570" s="3" t="s">
        <v>130</v>
      </c>
      <c r="F1570" s="7">
        <v>2.0</v>
      </c>
      <c r="G1570" s="7" t="s">
        <v>3708</v>
      </c>
      <c r="K1570" s="3" t="b">
        <v>0</v>
      </c>
      <c r="L1570" s="3" t="s">
        <v>2761</v>
      </c>
      <c r="M1570" s="7">
        <v>10.0</v>
      </c>
      <c r="N1570" s="3" t="s">
        <v>3709</v>
      </c>
      <c r="S1570" s="4" t="str">
        <f t="shared" si="1"/>
        <v>2019</v>
      </c>
    </row>
    <row r="1571">
      <c r="A1571" s="3">
        <v>35.0</v>
      </c>
      <c r="B1571" s="3" t="b">
        <v>0</v>
      </c>
      <c r="C1571" s="3" t="s">
        <v>46</v>
      </c>
      <c r="K1571" s="3" t="b">
        <v>0</v>
      </c>
      <c r="L1571" s="3" t="s">
        <v>3710</v>
      </c>
      <c r="N1571" s="3" t="s">
        <v>3609</v>
      </c>
      <c r="S1571" s="4" t="str">
        <f t="shared" si="1"/>
        <v>2019</v>
      </c>
    </row>
    <row r="1572">
      <c r="A1572" s="3">
        <v>35.0</v>
      </c>
      <c r="B1572" s="3" t="b">
        <v>0</v>
      </c>
      <c r="C1572" s="3" t="s">
        <v>401</v>
      </c>
      <c r="G1572" s="7" t="s">
        <v>3679</v>
      </c>
      <c r="K1572" s="3" t="b">
        <v>0</v>
      </c>
      <c r="L1572" s="3" t="s">
        <v>3711</v>
      </c>
      <c r="N1572" s="3" t="s">
        <v>3712</v>
      </c>
      <c r="S1572" s="4" t="str">
        <f t="shared" si="1"/>
        <v>2019</v>
      </c>
    </row>
    <row r="1573">
      <c r="A1573" s="3">
        <v>34.0</v>
      </c>
      <c r="B1573" s="3" t="b">
        <v>0</v>
      </c>
      <c r="C1573" s="3" t="s">
        <v>27</v>
      </c>
      <c r="K1573" s="3" t="b">
        <v>0</v>
      </c>
      <c r="L1573" s="3" t="s">
        <v>3713</v>
      </c>
      <c r="N1573" s="3" t="s">
        <v>3714</v>
      </c>
      <c r="S1573" s="4" t="str">
        <f t="shared" si="1"/>
        <v>2019</v>
      </c>
    </row>
    <row r="1574">
      <c r="A1574" s="3">
        <v>34.0</v>
      </c>
      <c r="B1574" s="3" t="b">
        <v>0</v>
      </c>
      <c r="C1574" s="3" t="s">
        <v>27</v>
      </c>
      <c r="G1574" s="3" t="s">
        <v>3715</v>
      </c>
      <c r="K1574" s="3" t="b">
        <v>0</v>
      </c>
      <c r="L1574" s="3" t="s">
        <v>3716</v>
      </c>
      <c r="N1574" s="3" t="s">
        <v>3717</v>
      </c>
      <c r="S1574" s="4" t="str">
        <f t="shared" si="1"/>
        <v>2019</v>
      </c>
    </row>
    <row r="1575">
      <c r="A1575" s="3">
        <v>33.0</v>
      </c>
      <c r="B1575" s="3" t="b">
        <v>0</v>
      </c>
      <c r="C1575" s="3" t="s">
        <v>240</v>
      </c>
      <c r="G1575" s="3" t="s">
        <v>3718</v>
      </c>
      <c r="K1575" s="3" t="b">
        <v>0</v>
      </c>
      <c r="L1575" s="3" t="s">
        <v>3719</v>
      </c>
      <c r="N1575" s="3" t="s">
        <v>3720</v>
      </c>
      <c r="S1575" s="4" t="str">
        <f t="shared" si="1"/>
        <v>2019</v>
      </c>
    </row>
    <row r="1576">
      <c r="A1576" s="3">
        <v>33.0</v>
      </c>
      <c r="B1576" s="3" t="b">
        <v>0</v>
      </c>
      <c r="C1576" s="3" t="s">
        <v>94</v>
      </c>
      <c r="G1576" s="3" t="s">
        <v>3721</v>
      </c>
      <c r="K1576" s="3" t="b">
        <v>0</v>
      </c>
      <c r="L1576" s="3" t="s">
        <v>3722</v>
      </c>
      <c r="N1576" s="3" t="s">
        <v>3723</v>
      </c>
      <c r="S1576" s="4" t="str">
        <f t="shared" si="1"/>
        <v>2019</v>
      </c>
    </row>
    <row r="1577">
      <c r="A1577" s="3">
        <v>30.0</v>
      </c>
      <c r="B1577" s="3" t="b">
        <v>0</v>
      </c>
      <c r="C1577" s="3" t="s">
        <v>149</v>
      </c>
      <c r="G1577" s="3" t="s">
        <v>3724</v>
      </c>
      <c r="K1577" s="3" t="b">
        <v>0</v>
      </c>
      <c r="L1577" s="3" t="s">
        <v>3569</v>
      </c>
      <c r="N1577" s="3" t="s">
        <v>3725</v>
      </c>
      <c r="S1577" s="4" t="str">
        <f t="shared" si="1"/>
        <v>2019</v>
      </c>
    </row>
    <row r="1578">
      <c r="A1578" s="3">
        <v>30.0</v>
      </c>
      <c r="B1578" s="3" t="b">
        <v>0</v>
      </c>
      <c r="C1578" s="3" t="s">
        <v>278</v>
      </c>
      <c r="K1578" s="3" t="b">
        <v>0</v>
      </c>
      <c r="L1578" s="3" t="s">
        <v>3726</v>
      </c>
      <c r="N1578" s="3" t="s">
        <v>3727</v>
      </c>
      <c r="S1578" s="4" t="str">
        <f t="shared" si="1"/>
        <v>2019</v>
      </c>
    </row>
    <row r="1579">
      <c r="A1579" s="3">
        <v>30.0</v>
      </c>
      <c r="B1579" s="3" t="b">
        <v>0</v>
      </c>
      <c r="C1579" s="3" t="s">
        <v>58</v>
      </c>
      <c r="K1579" s="3" t="b">
        <v>0</v>
      </c>
      <c r="L1579" s="3" t="s">
        <v>3728</v>
      </c>
      <c r="N1579" s="3" t="s">
        <v>3729</v>
      </c>
      <c r="S1579" s="4" t="str">
        <f t="shared" si="1"/>
        <v>2019</v>
      </c>
    </row>
    <row r="1580">
      <c r="A1580" s="3">
        <v>30.0</v>
      </c>
      <c r="B1580" s="3" t="b">
        <v>0</v>
      </c>
      <c r="C1580" s="3" t="s">
        <v>58</v>
      </c>
      <c r="G1580" s="3" t="s">
        <v>3730</v>
      </c>
      <c r="K1580" s="3" t="b">
        <v>0</v>
      </c>
      <c r="L1580" s="3" t="s">
        <v>758</v>
      </c>
      <c r="N1580" s="3" t="s">
        <v>3731</v>
      </c>
      <c r="S1580" s="4" t="str">
        <f t="shared" si="1"/>
        <v>2019</v>
      </c>
    </row>
    <row r="1581">
      <c r="A1581" s="3">
        <v>30.0</v>
      </c>
      <c r="B1581" s="3" t="b">
        <v>0</v>
      </c>
      <c r="C1581" s="3" t="s">
        <v>205</v>
      </c>
      <c r="G1581" s="3" t="s">
        <v>3732</v>
      </c>
      <c r="K1581" s="3" t="b">
        <v>0</v>
      </c>
      <c r="L1581" s="3" t="s">
        <v>29</v>
      </c>
      <c r="N1581" s="3" t="s">
        <v>3733</v>
      </c>
      <c r="S1581" s="4" t="str">
        <f t="shared" si="1"/>
        <v>2019</v>
      </c>
    </row>
    <row r="1582">
      <c r="A1582" s="3">
        <v>30.0</v>
      </c>
      <c r="B1582" s="3" t="b">
        <v>0</v>
      </c>
      <c r="C1582" s="3" t="s">
        <v>27</v>
      </c>
      <c r="G1582" s="3" t="s">
        <v>3734</v>
      </c>
      <c r="K1582" s="3" t="b">
        <v>0</v>
      </c>
      <c r="L1582" s="3" t="s">
        <v>3735</v>
      </c>
      <c r="N1582" s="3" t="s">
        <v>3736</v>
      </c>
      <c r="S1582" s="4" t="str">
        <f t="shared" si="1"/>
        <v>2019</v>
      </c>
    </row>
    <row r="1583">
      <c r="A1583" s="3">
        <v>30.0</v>
      </c>
      <c r="B1583" s="3" t="b">
        <v>0</v>
      </c>
      <c r="C1583" s="3" t="s">
        <v>50</v>
      </c>
      <c r="G1583" s="3" t="s">
        <v>3737</v>
      </c>
      <c r="K1583" s="3" t="b">
        <v>0</v>
      </c>
      <c r="L1583" s="3" t="s">
        <v>1281</v>
      </c>
      <c r="N1583" s="3" t="s">
        <v>3738</v>
      </c>
      <c r="S1583" s="4" t="str">
        <f t="shared" si="1"/>
        <v>2019</v>
      </c>
    </row>
    <row r="1584">
      <c r="A1584" s="3">
        <v>29.0</v>
      </c>
      <c r="B1584" s="3" t="b">
        <v>0</v>
      </c>
      <c r="C1584" s="3" t="s">
        <v>401</v>
      </c>
      <c r="G1584" s="3" t="s">
        <v>3739</v>
      </c>
      <c r="K1584" s="3" t="b">
        <v>0</v>
      </c>
      <c r="L1584" s="3" t="s">
        <v>1131</v>
      </c>
      <c r="N1584" s="3" t="s">
        <v>3740</v>
      </c>
      <c r="S1584" s="4" t="str">
        <f t="shared" si="1"/>
        <v>2019</v>
      </c>
    </row>
    <row r="1585">
      <c r="A1585" s="3">
        <v>29.0</v>
      </c>
      <c r="B1585" s="3" t="b">
        <v>0</v>
      </c>
      <c r="C1585" s="3" t="s">
        <v>69</v>
      </c>
      <c r="G1585" s="3" t="s">
        <v>3741</v>
      </c>
      <c r="K1585" s="3" t="b">
        <v>0</v>
      </c>
      <c r="L1585" s="3" t="s">
        <v>3416</v>
      </c>
      <c r="N1585" s="3" t="s">
        <v>3742</v>
      </c>
      <c r="S1585" s="4" t="str">
        <f t="shared" si="1"/>
        <v>2019</v>
      </c>
    </row>
    <row r="1586">
      <c r="A1586" s="3">
        <v>28.0</v>
      </c>
      <c r="B1586" s="3" t="b">
        <v>0</v>
      </c>
      <c r="C1586" s="3" t="s">
        <v>186</v>
      </c>
      <c r="D1586" s="7">
        <v>2.0</v>
      </c>
      <c r="E1586" s="7">
        <v>1.0</v>
      </c>
      <c r="F1586" s="7">
        <v>4.0</v>
      </c>
      <c r="G1586" s="3" t="s">
        <v>3743</v>
      </c>
      <c r="K1586" s="3" t="b">
        <v>1</v>
      </c>
      <c r="L1586" s="3" t="s">
        <v>3744</v>
      </c>
      <c r="M1586" s="7">
        <v>55.0</v>
      </c>
      <c r="N1586" s="3" t="s">
        <v>3745</v>
      </c>
      <c r="S1586" s="4" t="str">
        <f t="shared" si="1"/>
        <v>2019</v>
      </c>
    </row>
    <row r="1587">
      <c r="A1587" s="3">
        <v>28.0</v>
      </c>
      <c r="B1587" s="3" t="b">
        <v>0</v>
      </c>
      <c r="C1587" s="3" t="s">
        <v>62</v>
      </c>
      <c r="G1587" s="3" t="s">
        <v>3746</v>
      </c>
      <c r="K1587" s="3" t="b">
        <v>0</v>
      </c>
      <c r="L1587" s="3" t="s">
        <v>1089</v>
      </c>
      <c r="N1587" s="3" t="s">
        <v>3747</v>
      </c>
      <c r="S1587" s="4" t="str">
        <f t="shared" si="1"/>
        <v>2019</v>
      </c>
    </row>
    <row r="1588">
      <c r="A1588" s="3">
        <v>27.0</v>
      </c>
      <c r="B1588" s="3" t="b">
        <v>0</v>
      </c>
      <c r="C1588" s="3" t="s">
        <v>31</v>
      </c>
      <c r="G1588" s="3" t="s">
        <v>3748</v>
      </c>
      <c r="K1588" s="3" t="b">
        <v>0</v>
      </c>
      <c r="L1588" s="3" t="s">
        <v>3749</v>
      </c>
      <c r="N1588" s="3" t="s">
        <v>3750</v>
      </c>
      <c r="S1588" s="4" t="str">
        <f t="shared" si="1"/>
        <v>2019</v>
      </c>
    </row>
    <row r="1589">
      <c r="A1589" s="3">
        <v>26.0</v>
      </c>
      <c r="B1589" s="3" t="b">
        <v>0</v>
      </c>
      <c r="C1589" s="3" t="s">
        <v>27</v>
      </c>
      <c r="G1589" s="3" t="s">
        <v>3555</v>
      </c>
      <c r="K1589" s="3" t="b">
        <v>0</v>
      </c>
      <c r="L1589" s="3" t="s">
        <v>811</v>
      </c>
      <c r="N1589" s="3" t="s">
        <v>3751</v>
      </c>
      <c r="S1589" s="4" t="str">
        <f t="shared" si="1"/>
        <v>2019</v>
      </c>
    </row>
    <row r="1590">
      <c r="A1590" s="3">
        <v>25.0</v>
      </c>
      <c r="B1590" s="3" t="b">
        <v>0</v>
      </c>
      <c r="C1590" s="3" t="s">
        <v>186</v>
      </c>
      <c r="K1590" s="3" t="b">
        <v>0</v>
      </c>
      <c r="L1590" s="3" t="s">
        <v>3752</v>
      </c>
      <c r="N1590" s="3" t="s">
        <v>3753</v>
      </c>
      <c r="S1590" s="4" t="str">
        <f t="shared" si="1"/>
        <v>2019</v>
      </c>
    </row>
    <row r="1591">
      <c r="A1591" s="3">
        <v>25.0</v>
      </c>
      <c r="B1591" s="3" t="b">
        <v>0</v>
      </c>
      <c r="C1591" s="3" t="s">
        <v>39</v>
      </c>
      <c r="K1591" s="3" t="b">
        <v>0</v>
      </c>
      <c r="L1591" s="3" t="s">
        <v>1471</v>
      </c>
      <c r="N1591" s="3" t="s">
        <v>3754</v>
      </c>
      <c r="S1591" s="4" t="str">
        <f t="shared" si="1"/>
        <v>2019</v>
      </c>
    </row>
    <row r="1592">
      <c r="A1592" s="3">
        <v>25.0</v>
      </c>
      <c r="B1592" s="3" t="b">
        <v>0</v>
      </c>
      <c r="C1592" s="3" t="s">
        <v>3366</v>
      </c>
      <c r="G1592" s="3" t="s">
        <v>3755</v>
      </c>
      <c r="K1592" s="3" t="b">
        <v>0</v>
      </c>
      <c r="L1592" s="3" t="s">
        <v>3756</v>
      </c>
      <c r="N1592" s="3" t="s">
        <v>3757</v>
      </c>
      <c r="S1592" s="4" t="str">
        <f t="shared" si="1"/>
        <v>2019</v>
      </c>
    </row>
    <row r="1593">
      <c r="A1593" s="3">
        <v>25.0</v>
      </c>
      <c r="B1593" s="3" t="b">
        <v>0</v>
      </c>
      <c r="C1593" s="3" t="s">
        <v>62</v>
      </c>
      <c r="G1593" s="3" t="s">
        <v>3755</v>
      </c>
      <c r="K1593" s="3" t="b">
        <v>0</v>
      </c>
      <c r="L1593" s="3" t="s">
        <v>3756</v>
      </c>
      <c r="N1593" s="3" t="s">
        <v>3757</v>
      </c>
      <c r="S1593" s="4" t="str">
        <f t="shared" si="1"/>
        <v>2019</v>
      </c>
    </row>
    <row r="1594">
      <c r="A1594" s="3">
        <v>25.0</v>
      </c>
      <c r="B1594" s="3" t="b">
        <v>0</v>
      </c>
      <c r="C1594" s="3" t="s">
        <v>205</v>
      </c>
      <c r="G1594" s="3" t="s">
        <v>3758</v>
      </c>
      <c r="K1594" s="3" t="b">
        <v>0</v>
      </c>
      <c r="L1594" s="3" t="s">
        <v>3759</v>
      </c>
      <c r="N1594" s="3" t="s">
        <v>3760</v>
      </c>
      <c r="S1594" s="4" t="str">
        <f t="shared" si="1"/>
        <v>2019</v>
      </c>
    </row>
    <row r="1595">
      <c r="A1595" s="3">
        <v>25.0</v>
      </c>
      <c r="B1595" s="3" t="b">
        <v>0</v>
      </c>
      <c r="C1595" s="3" t="s">
        <v>94</v>
      </c>
      <c r="G1595" s="3" t="s">
        <v>3453</v>
      </c>
      <c r="K1595" s="3" t="b">
        <v>0</v>
      </c>
      <c r="L1595" s="3" t="s">
        <v>2039</v>
      </c>
      <c r="N1595" s="3" t="s">
        <v>3723</v>
      </c>
      <c r="S1595" s="4" t="str">
        <f t="shared" si="1"/>
        <v>2019</v>
      </c>
    </row>
    <row r="1596">
      <c r="A1596" s="3">
        <v>24.0</v>
      </c>
      <c r="B1596" s="3" t="b">
        <v>0</v>
      </c>
      <c r="C1596" s="3" t="s">
        <v>80</v>
      </c>
      <c r="G1596" s="3" t="s">
        <v>3761</v>
      </c>
      <c r="K1596" s="3" t="b">
        <v>0</v>
      </c>
      <c r="L1596" s="3" t="s">
        <v>3762</v>
      </c>
      <c r="N1596" s="3" t="s">
        <v>3763</v>
      </c>
      <c r="S1596" s="4" t="str">
        <f t="shared" si="1"/>
        <v>2019</v>
      </c>
    </row>
    <row r="1597">
      <c r="A1597" s="3">
        <v>24.0</v>
      </c>
      <c r="B1597" s="3" t="b">
        <v>0</v>
      </c>
      <c r="C1597" s="3" t="s">
        <v>278</v>
      </c>
      <c r="G1597" s="3" t="s">
        <v>3764</v>
      </c>
      <c r="K1597" s="3" t="b">
        <v>0</v>
      </c>
      <c r="L1597" s="3" t="s">
        <v>767</v>
      </c>
      <c r="N1597" s="3" t="s">
        <v>3750</v>
      </c>
      <c r="S1597" s="4" t="str">
        <f t="shared" si="1"/>
        <v>2019</v>
      </c>
    </row>
    <row r="1598">
      <c r="A1598" s="3">
        <v>23.0</v>
      </c>
      <c r="B1598" s="3" t="b">
        <v>0</v>
      </c>
      <c r="C1598" s="3" t="s">
        <v>80</v>
      </c>
      <c r="G1598" s="3" t="s">
        <v>3765</v>
      </c>
      <c r="K1598" s="3" t="b">
        <v>0</v>
      </c>
      <c r="L1598" s="3" t="s">
        <v>879</v>
      </c>
      <c r="N1598" s="3" t="s">
        <v>3766</v>
      </c>
      <c r="S1598" s="4" t="str">
        <f t="shared" si="1"/>
        <v>2019</v>
      </c>
    </row>
    <row r="1599">
      <c r="A1599" s="3">
        <v>22.0</v>
      </c>
      <c r="B1599" s="3" t="b">
        <v>0</v>
      </c>
      <c r="C1599" s="3" t="s">
        <v>62</v>
      </c>
      <c r="G1599" s="3" t="s">
        <v>3767</v>
      </c>
      <c r="K1599" s="3" t="b">
        <v>0</v>
      </c>
      <c r="L1599" s="3" t="s">
        <v>311</v>
      </c>
      <c r="N1599" s="3" t="s">
        <v>3768</v>
      </c>
      <c r="S1599" s="4" t="str">
        <f t="shared" si="1"/>
        <v>2019</v>
      </c>
    </row>
    <row r="1600">
      <c r="A1600" s="3">
        <v>21.0</v>
      </c>
      <c r="B1600" s="3" t="b">
        <v>0</v>
      </c>
      <c r="C1600" s="3" t="s">
        <v>19</v>
      </c>
      <c r="G1600" s="3" t="s">
        <v>3769</v>
      </c>
      <c r="K1600" s="3" t="b">
        <v>0</v>
      </c>
      <c r="L1600" s="3" t="s">
        <v>3770</v>
      </c>
      <c r="N1600" s="3" t="s">
        <v>3771</v>
      </c>
      <c r="S1600" s="4" t="str">
        <f t="shared" si="1"/>
        <v>2019</v>
      </c>
    </row>
    <row r="1601">
      <c r="A1601" s="3">
        <v>20.0</v>
      </c>
      <c r="B1601" s="3" t="b">
        <v>0</v>
      </c>
      <c r="C1601" s="3" t="s">
        <v>489</v>
      </c>
      <c r="D1601" s="7">
        <v>1.0</v>
      </c>
      <c r="E1601" s="7">
        <v>2.0</v>
      </c>
      <c r="F1601" s="7">
        <v>7.0</v>
      </c>
      <c r="G1601" s="3" t="s">
        <v>3772</v>
      </c>
      <c r="I1601" s="7">
        <v>1.0</v>
      </c>
      <c r="K1601" s="3" t="b">
        <v>1</v>
      </c>
      <c r="L1601" s="3" t="s">
        <v>1598</v>
      </c>
      <c r="M1601" s="7">
        <v>65.0</v>
      </c>
      <c r="N1601" s="3" t="s">
        <v>3773</v>
      </c>
      <c r="S1601" s="4" t="str">
        <f t="shared" si="1"/>
        <v>2019</v>
      </c>
    </row>
    <row r="1602">
      <c r="A1602" s="3">
        <v>20.0</v>
      </c>
      <c r="B1602" s="3" t="b">
        <v>0</v>
      </c>
      <c r="C1602" s="3" t="s">
        <v>27</v>
      </c>
      <c r="G1602" s="3" t="s">
        <v>3774</v>
      </c>
      <c r="K1602" s="3" t="b">
        <v>0</v>
      </c>
      <c r="L1602" s="3" t="s">
        <v>3775</v>
      </c>
      <c r="N1602" s="3" t="s">
        <v>3776</v>
      </c>
      <c r="S1602" s="4" t="str">
        <f t="shared" si="1"/>
        <v>2019</v>
      </c>
    </row>
    <row r="1603">
      <c r="A1603" s="3">
        <v>20.0</v>
      </c>
      <c r="B1603" s="3" t="b">
        <v>0</v>
      </c>
      <c r="C1603" s="3" t="s">
        <v>186</v>
      </c>
      <c r="G1603" s="3" t="s">
        <v>3777</v>
      </c>
      <c r="K1603" s="3" t="b">
        <v>0</v>
      </c>
      <c r="L1603" s="3" t="s">
        <v>3778</v>
      </c>
      <c r="N1603" s="3" t="s">
        <v>3779</v>
      </c>
      <c r="S1603" s="4" t="str">
        <f t="shared" si="1"/>
        <v>2019</v>
      </c>
    </row>
    <row r="1604">
      <c r="A1604" s="3">
        <v>20.0</v>
      </c>
      <c r="B1604" s="3" t="b">
        <v>0</v>
      </c>
      <c r="C1604" s="3" t="s">
        <v>27</v>
      </c>
      <c r="G1604" s="3" t="s">
        <v>3780</v>
      </c>
      <c r="K1604" s="3" t="b">
        <v>0</v>
      </c>
      <c r="L1604" s="3" t="s">
        <v>3781</v>
      </c>
      <c r="N1604" s="3" t="s">
        <v>3782</v>
      </c>
      <c r="S1604" s="4" t="str">
        <f t="shared" si="1"/>
        <v>2019</v>
      </c>
    </row>
    <row r="1605">
      <c r="A1605" s="3">
        <v>20.0</v>
      </c>
      <c r="B1605" s="3" t="b">
        <v>0</v>
      </c>
      <c r="C1605" s="3" t="s">
        <v>27</v>
      </c>
      <c r="G1605" s="3" t="s">
        <v>3783</v>
      </c>
      <c r="K1605" s="3" t="b">
        <v>0</v>
      </c>
      <c r="L1605" s="3" t="s">
        <v>2456</v>
      </c>
      <c r="N1605" s="3" t="s">
        <v>3784</v>
      </c>
      <c r="S1605" s="4" t="str">
        <f t="shared" si="1"/>
        <v>2019</v>
      </c>
    </row>
    <row r="1606">
      <c r="A1606" s="3">
        <v>19.0</v>
      </c>
      <c r="B1606" s="3" t="b">
        <v>0</v>
      </c>
      <c r="C1606" s="3" t="s">
        <v>27</v>
      </c>
      <c r="G1606" s="3" t="s">
        <v>3785</v>
      </c>
      <c r="K1606" s="3" t="b">
        <v>0</v>
      </c>
      <c r="L1606" s="3" t="s">
        <v>3120</v>
      </c>
      <c r="N1606" s="3" t="s">
        <v>3786</v>
      </c>
      <c r="S1606" s="4" t="str">
        <f t="shared" si="1"/>
        <v>2019</v>
      </c>
    </row>
    <row r="1607">
      <c r="A1607" s="3">
        <v>19.0</v>
      </c>
      <c r="B1607" s="3" t="b">
        <v>0</v>
      </c>
      <c r="C1607" s="3" t="s">
        <v>27</v>
      </c>
      <c r="G1607" s="3" t="s">
        <v>3787</v>
      </c>
      <c r="K1607" s="3" t="b">
        <v>0</v>
      </c>
      <c r="L1607" s="3" t="s">
        <v>3788</v>
      </c>
      <c r="N1607" s="3" t="s">
        <v>3789</v>
      </c>
      <c r="S1607" s="4" t="str">
        <f t="shared" si="1"/>
        <v>2019</v>
      </c>
    </row>
    <row r="1608">
      <c r="A1608" s="3">
        <v>19.0</v>
      </c>
      <c r="B1608" s="3" t="b">
        <v>0</v>
      </c>
      <c r="C1608" s="3" t="s">
        <v>205</v>
      </c>
      <c r="G1608" s="3" t="s">
        <v>3790</v>
      </c>
      <c r="K1608" s="3" t="b">
        <v>0</v>
      </c>
      <c r="L1608" s="3" t="s">
        <v>3791</v>
      </c>
      <c r="N1608" s="3" t="s">
        <v>3792</v>
      </c>
      <c r="S1608" s="4" t="str">
        <f t="shared" si="1"/>
        <v>2019</v>
      </c>
    </row>
    <row r="1609">
      <c r="A1609" s="3">
        <v>18.0</v>
      </c>
      <c r="B1609" s="3" t="b">
        <v>0</v>
      </c>
      <c r="C1609" s="3" t="s">
        <v>260</v>
      </c>
      <c r="G1609" s="3" t="s">
        <v>3793</v>
      </c>
      <c r="K1609" s="3" t="b">
        <v>0</v>
      </c>
      <c r="L1609" s="3" t="s">
        <v>3794</v>
      </c>
      <c r="N1609" s="3" t="s">
        <v>3795</v>
      </c>
      <c r="S1609" s="4" t="str">
        <f t="shared" si="1"/>
        <v>2019</v>
      </c>
    </row>
    <row r="1610">
      <c r="A1610" s="3">
        <v>17.0</v>
      </c>
      <c r="B1610" s="3" t="b">
        <v>0</v>
      </c>
      <c r="C1610" s="3" t="s">
        <v>170</v>
      </c>
      <c r="G1610" s="3" t="s">
        <v>3796</v>
      </c>
      <c r="K1610" s="3" t="b">
        <v>0</v>
      </c>
      <c r="L1610" s="3" t="s">
        <v>3797</v>
      </c>
      <c r="N1610" s="3" t="s">
        <v>3798</v>
      </c>
      <c r="S1610" s="4" t="str">
        <f t="shared" si="1"/>
        <v>2019</v>
      </c>
    </row>
    <row r="1611">
      <c r="A1611" s="3">
        <v>17.0</v>
      </c>
      <c r="B1611" s="3" t="b">
        <v>0</v>
      </c>
      <c r="C1611" s="3" t="s">
        <v>401</v>
      </c>
      <c r="G1611" s="3" t="s">
        <v>3799</v>
      </c>
      <c r="K1611" s="3" t="b">
        <v>0</v>
      </c>
      <c r="L1611" s="3" t="s">
        <v>2356</v>
      </c>
      <c r="N1611" s="3" t="s">
        <v>3800</v>
      </c>
      <c r="S1611" s="4" t="str">
        <f t="shared" si="1"/>
        <v>2019</v>
      </c>
    </row>
    <row r="1612">
      <c r="A1612" s="3">
        <v>17.0</v>
      </c>
      <c r="B1612" s="3" t="b">
        <v>0</v>
      </c>
      <c r="C1612" s="3" t="s">
        <v>87</v>
      </c>
      <c r="G1612" s="3" t="s">
        <v>3732</v>
      </c>
      <c r="K1612" s="3" t="b">
        <v>0</v>
      </c>
      <c r="L1612" s="3" t="s">
        <v>2451</v>
      </c>
      <c r="N1612" s="3" t="s">
        <v>3801</v>
      </c>
      <c r="S1612" s="4" t="str">
        <f t="shared" si="1"/>
        <v>2019</v>
      </c>
    </row>
    <row r="1613">
      <c r="A1613" s="3">
        <v>17.0</v>
      </c>
      <c r="B1613" s="3" t="b">
        <v>0</v>
      </c>
      <c r="C1613" s="3" t="s">
        <v>46</v>
      </c>
      <c r="G1613" s="3" t="s">
        <v>3802</v>
      </c>
      <c r="K1613" s="3" t="b">
        <v>0</v>
      </c>
      <c r="L1613" s="3" t="s">
        <v>849</v>
      </c>
      <c r="N1613" s="3" t="s">
        <v>3803</v>
      </c>
      <c r="S1613" s="4" t="str">
        <f t="shared" si="1"/>
        <v>2019</v>
      </c>
    </row>
    <row r="1614">
      <c r="A1614" s="3">
        <v>16.0</v>
      </c>
      <c r="B1614" s="3" t="b">
        <v>0</v>
      </c>
      <c r="C1614" s="3" t="s">
        <v>58</v>
      </c>
      <c r="G1614" s="3" t="s">
        <v>3804</v>
      </c>
      <c r="K1614" s="3" t="b">
        <v>0</v>
      </c>
      <c r="L1614" s="3" t="s">
        <v>1506</v>
      </c>
      <c r="N1614" s="3" t="s">
        <v>3805</v>
      </c>
      <c r="S1614" s="4" t="str">
        <f t="shared" si="1"/>
        <v>2019</v>
      </c>
    </row>
    <row r="1615">
      <c r="A1615" s="3">
        <v>16.0</v>
      </c>
      <c r="B1615" s="3" t="b">
        <v>0</v>
      </c>
      <c r="C1615" s="3" t="s">
        <v>130</v>
      </c>
      <c r="G1615" s="3" t="s">
        <v>3806</v>
      </c>
      <c r="K1615" s="3" t="b">
        <v>0</v>
      </c>
      <c r="L1615" s="3" t="s">
        <v>3807</v>
      </c>
      <c r="N1615" s="3" t="s">
        <v>3808</v>
      </c>
      <c r="S1615" s="4" t="str">
        <f t="shared" si="1"/>
        <v>2019</v>
      </c>
    </row>
    <row r="1616">
      <c r="A1616" s="3">
        <v>15.0</v>
      </c>
      <c r="B1616" s="3" t="b">
        <v>0</v>
      </c>
      <c r="C1616" s="3" t="s">
        <v>46</v>
      </c>
      <c r="G1616" s="3" t="s">
        <v>3809</v>
      </c>
      <c r="K1616" s="3" t="b">
        <v>0</v>
      </c>
      <c r="L1616" s="3" t="s">
        <v>3810</v>
      </c>
      <c r="N1616" s="3" t="s">
        <v>3811</v>
      </c>
      <c r="S1616" s="4" t="str">
        <f t="shared" si="1"/>
        <v>2019</v>
      </c>
    </row>
    <row r="1617">
      <c r="A1617" s="3">
        <v>15.0</v>
      </c>
      <c r="B1617" s="3" t="b">
        <v>0</v>
      </c>
      <c r="C1617" s="3" t="s">
        <v>134</v>
      </c>
      <c r="G1617" s="3" t="s">
        <v>3812</v>
      </c>
      <c r="K1617" s="3" t="b">
        <v>0</v>
      </c>
      <c r="L1617" s="3" t="s">
        <v>3813</v>
      </c>
      <c r="N1617" s="3" t="s">
        <v>3814</v>
      </c>
      <c r="S1617" s="4" t="str">
        <f t="shared" si="1"/>
        <v>2019</v>
      </c>
    </row>
    <row r="1618">
      <c r="A1618" s="3">
        <v>15.0</v>
      </c>
      <c r="B1618" s="3" t="b">
        <v>0</v>
      </c>
      <c r="C1618" s="3" t="s">
        <v>62</v>
      </c>
      <c r="G1618" s="3" t="s">
        <v>3815</v>
      </c>
      <c r="K1618" s="3" t="b">
        <v>0</v>
      </c>
      <c r="L1618" s="3" t="s">
        <v>3816</v>
      </c>
      <c r="N1618" s="3" t="s">
        <v>3817</v>
      </c>
      <c r="S1618" s="4" t="str">
        <f t="shared" si="1"/>
        <v>2019</v>
      </c>
    </row>
    <row r="1619">
      <c r="A1619" s="3">
        <v>13.0</v>
      </c>
      <c r="B1619" s="3" t="b">
        <v>0</v>
      </c>
      <c r="C1619" s="3" t="s">
        <v>130</v>
      </c>
      <c r="G1619" s="3" t="s">
        <v>3818</v>
      </c>
      <c r="K1619" s="3" t="b">
        <v>0</v>
      </c>
      <c r="L1619" s="3" t="s">
        <v>3819</v>
      </c>
      <c r="N1619" s="3" t="s">
        <v>3820</v>
      </c>
      <c r="S1619" s="4" t="str">
        <f t="shared" si="1"/>
        <v>2019</v>
      </c>
    </row>
    <row r="1620">
      <c r="A1620" s="3">
        <v>12.0</v>
      </c>
      <c r="B1620" s="3" t="b">
        <v>0</v>
      </c>
      <c r="C1620" s="3" t="s">
        <v>205</v>
      </c>
      <c r="G1620" s="3" t="s">
        <v>3821</v>
      </c>
      <c r="K1620" s="3" t="b">
        <v>0</v>
      </c>
      <c r="L1620" s="3" t="s">
        <v>318</v>
      </c>
      <c r="N1620" s="3" t="s">
        <v>3822</v>
      </c>
      <c r="S1620" s="4" t="str">
        <f t="shared" si="1"/>
        <v>2019</v>
      </c>
    </row>
    <row r="1621">
      <c r="A1621" s="3">
        <v>12.0</v>
      </c>
      <c r="B1621" s="3" t="b">
        <v>0</v>
      </c>
      <c r="C1621" s="3" t="s">
        <v>87</v>
      </c>
      <c r="G1621" s="3" t="s">
        <v>3823</v>
      </c>
      <c r="K1621" s="3" t="b">
        <v>0</v>
      </c>
      <c r="L1621" s="3" t="s">
        <v>3824</v>
      </c>
      <c r="N1621" s="3" t="s">
        <v>3825</v>
      </c>
      <c r="S1621" s="4" t="str">
        <f t="shared" si="1"/>
        <v>2019</v>
      </c>
    </row>
    <row r="1622">
      <c r="A1622" s="3">
        <v>11.0</v>
      </c>
      <c r="B1622" s="3" t="b">
        <v>0</v>
      </c>
      <c r="C1622" s="3" t="s">
        <v>134</v>
      </c>
      <c r="G1622" s="3" t="s">
        <v>3826</v>
      </c>
      <c r="K1622" s="3" t="b">
        <v>0</v>
      </c>
      <c r="L1622" s="3" t="s">
        <v>3827</v>
      </c>
      <c r="N1622" s="3" t="s">
        <v>3828</v>
      </c>
      <c r="S1622" s="4" t="str">
        <f t="shared" si="1"/>
        <v>2019</v>
      </c>
    </row>
    <row r="1623">
      <c r="A1623" s="3">
        <v>11.0</v>
      </c>
      <c r="B1623" s="3" t="b">
        <v>0</v>
      </c>
      <c r="C1623" s="3" t="s">
        <v>54</v>
      </c>
      <c r="G1623" s="3" t="s">
        <v>3829</v>
      </c>
      <c r="K1623" s="3" t="b">
        <v>0</v>
      </c>
      <c r="L1623" s="3" t="s">
        <v>3830</v>
      </c>
      <c r="N1623" s="3" t="s">
        <v>3831</v>
      </c>
      <c r="S1623" s="4" t="str">
        <f t="shared" si="1"/>
        <v>2019</v>
      </c>
    </row>
    <row r="1624">
      <c r="A1624" s="3">
        <v>11.0</v>
      </c>
      <c r="B1624" s="3" t="b">
        <v>0</v>
      </c>
      <c r="C1624" s="3" t="s">
        <v>260</v>
      </c>
      <c r="G1624" s="3" t="s">
        <v>3832</v>
      </c>
      <c r="K1624" s="3" t="b">
        <v>0</v>
      </c>
      <c r="L1624" s="3" t="s">
        <v>667</v>
      </c>
      <c r="N1624" s="3" t="s">
        <v>3833</v>
      </c>
      <c r="S1624" s="4" t="str">
        <f t="shared" si="1"/>
        <v>2019</v>
      </c>
    </row>
    <row r="1625">
      <c r="A1625" s="3">
        <v>11.0</v>
      </c>
      <c r="B1625" s="3" t="b">
        <v>0</v>
      </c>
      <c r="C1625" s="3" t="s">
        <v>205</v>
      </c>
      <c r="G1625" s="3" t="s">
        <v>3834</v>
      </c>
      <c r="K1625" s="3" t="b">
        <v>0</v>
      </c>
      <c r="L1625" s="3" t="s">
        <v>2356</v>
      </c>
      <c r="N1625" s="3" t="s">
        <v>3835</v>
      </c>
      <c r="S1625" s="4" t="str">
        <f t="shared" si="1"/>
        <v>2019</v>
      </c>
    </row>
    <row r="1626">
      <c r="A1626" s="3">
        <v>10.0</v>
      </c>
      <c r="B1626" s="3" t="b">
        <v>0</v>
      </c>
      <c r="C1626" s="3" t="s">
        <v>62</v>
      </c>
      <c r="G1626" s="3" t="s">
        <v>3836</v>
      </c>
      <c r="K1626" s="3" t="b">
        <v>0</v>
      </c>
      <c r="L1626" s="3" t="s">
        <v>3837</v>
      </c>
      <c r="N1626" s="3" t="s">
        <v>3838</v>
      </c>
      <c r="S1626" s="4" t="str">
        <f t="shared" si="1"/>
        <v>2019</v>
      </c>
    </row>
    <row r="1627">
      <c r="A1627" s="3">
        <v>10.0</v>
      </c>
      <c r="B1627" s="3" t="b">
        <v>0</v>
      </c>
      <c r="C1627" s="3" t="s">
        <v>54</v>
      </c>
      <c r="G1627" s="3" t="s">
        <v>3839</v>
      </c>
      <c r="K1627" s="3" t="b">
        <v>0</v>
      </c>
      <c r="L1627" s="3" t="s">
        <v>3840</v>
      </c>
      <c r="N1627" s="3" t="s">
        <v>3841</v>
      </c>
      <c r="P1627" s="7">
        <v>1.0</v>
      </c>
      <c r="S1627" s="4" t="str">
        <f t="shared" si="1"/>
        <v>2019</v>
      </c>
    </row>
    <row r="1628">
      <c r="A1628" s="3">
        <v>10.0</v>
      </c>
      <c r="B1628" s="3" t="b">
        <v>0</v>
      </c>
      <c r="C1628" s="3" t="s">
        <v>324</v>
      </c>
      <c r="D1628" s="7">
        <v>2.0</v>
      </c>
      <c r="F1628" s="7">
        <v>5.0</v>
      </c>
      <c r="G1628" s="3" t="s">
        <v>3842</v>
      </c>
      <c r="J1628" s="7">
        <v>1.0</v>
      </c>
      <c r="K1628" s="3" t="b">
        <v>1</v>
      </c>
      <c r="L1628" s="3" t="s">
        <v>3843</v>
      </c>
      <c r="M1628" s="7">
        <v>45.0</v>
      </c>
      <c r="N1628" s="3" t="s">
        <v>3844</v>
      </c>
      <c r="S1628" s="4" t="str">
        <f t="shared" si="1"/>
        <v>2019</v>
      </c>
    </row>
    <row r="1629">
      <c r="A1629" s="3">
        <v>10.0</v>
      </c>
      <c r="B1629" s="3" t="b">
        <v>0</v>
      </c>
      <c r="C1629" s="3" t="s">
        <v>27</v>
      </c>
      <c r="G1629" s="3" t="s">
        <v>3845</v>
      </c>
      <c r="K1629" s="3" t="b">
        <v>0</v>
      </c>
      <c r="L1629" s="3" t="s">
        <v>1509</v>
      </c>
      <c r="N1629" s="3" t="s">
        <v>3846</v>
      </c>
      <c r="S1629" s="4" t="str">
        <f t="shared" si="1"/>
        <v>2019</v>
      </c>
    </row>
    <row r="1630">
      <c r="A1630" s="3">
        <v>10.0</v>
      </c>
      <c r="B1630" s="3" t="b">
        <v>0</v>
      </c>
      <c r="C1630" s="3" t="s">
        <v>87</v>
      </c>
      <c r="K1630" s="3" t="b">
        <v>0</v>
      </c>
      <c r="L1630" s="3" t="s">
        <v>3847</v>
      </c>
      <c r="N1630" s="3" t="s">
        <v>3848</v>
      </c>
      <c r="S1630" s="4" t="str">
        <f t="shared" si="1"/>
        <v>2019</v>
      </c>
    </row>
    <row r="1631">
      <c r="A1631" s="3">
        <v>10.0</v>
      </c>
      <c r="B1631" s="3" t="b">
        <v>0</v>
      </c>
      <c r="C1631" s="3" t="s">
        <v>46</v>
      </c>
      <c r="G1631" s="3" t="s">
        <v>3849</v>
      </c>
      <c r="K1631" s="3" t="b">
        <v>0</v>
      </c>
      <c r="L1631" s="3" t="s">
        <v>3850</v>
      </c>
      <c r="N1631" s="3" t="s">
        <v>3851</v>
      </c>
      <c r="S1631" s="4" t="str">
        <f t="shared" si="1"/>
        <v>2019</v>
      </c>
    </row>
    <row r="1632">
      <c r="A1632" s="3">
        <v>10.0</v>
      </c>
      <c r="B1632" s="3" t="b">
        <v>0</v>
      </c>
      <c r="C1632" s="3" t="s">
        <v>87</v>
      </c>
      <c r="G1632" s="3" t="s">
        <v>3571</v>
      </c>
      <c r="K1632" s="3" t="b">
        <v>0</v>
      </c>
      <c r="L1632" s="3" t="s">
        <v>3852</v>
      </c>
      <c r="N1632" s="3" t="s">
        <v>3853</v>
      </c>
      <c r="S1632" s="4" t="str">
        <f t="shared" si="1"/>
        <v>2019</v>
      </c>
    </row>
    <row r="1633">
      <c r="A1633" s="3">
        <v>9.0</v>
      </c>
      <c r="B1633" s="3" t="b">
        <v>0</v>
      </c>
      <c r="C1633" s="3" t="s">
        <v>27</v>
      </c>
      <c r="G1633" s="3" t="s">
        <v>3854</v>
      </c>
      <c r="K1633" s="3" t="b">
        <v>0</v>
      </c>
      <c r="L1633" s="3" t="s">
        <v>2090</v>
      </c>
      <c r="N1633" s="3" t="s">
        <v>3855</v>
      </c>
      <c r="S1633" s="4" t="str">
        <f t="shared" si="1"/>
        <v>2019</v>
      </c>
    </row>
    <row r="1634">
      <c r="A1634" s="3">
        <v>2.0</v>
      </c>
      <c r="B1634" s="3" t="b">
        <v>0</v>
      </c>
      <c r="C1634" s="3" t="s">
        <v>388</v>
      </c>
      <c r="G1634" s="3" t="s">
        <v>3856</v>
      </c>
      <c r="K1634" s="3" t="b">
        <v>0</v>
      </c>
      <c r="L1634" s="3" t="s">
        <v>2197</v>
      </c>
      <c r="N1634" s="3" t="s">
        <v>3857</v>
      </c>
      <c r="S1634" s="4" t="str">
        <f t="shared" si="1"/>
        <v>2019</v>
      </c>
    </row>
    <row r="1635">
      <c r="B1635" s="3" t="b">
        <v>0</v>
      </c>
      <c r="C1635" s="3" t="s">
        <v>240</v>
      </c>
      <c r="K1635" s="3" t="b">
        <v>0</v>
      </c>
      <c r="L1635" s="3" t="s">
        <v>3858</v>
      </c>
      <c r="N1635" s="3" t="s">
        <v>3859</v>
      </c>
      <c r="S1635" s="4" t="str">
        <f t="shared" si="1"/>
        <v>2019</v>
      </c>
    </row>
    <row r="1636">
      <c r="B1636" s="3" t="b">
        <v>0</v>
      </c>
      <c r="C1636" s="3" t="s">
        <v>62</v>
      </c>
      <c r="K1636" s="3" t="b">
        <v>0</v>
      </c>
      <c r="L1636" s="3" t="s">
        <v>730</v>
      </c>
      <c r="N1636" s="3" t="s">
        <v>3860</v>
      </c>
      <c r="S1636" s="4" t="str">
        <f t="shared" si="1"/>
        <v>2019</v>
      </c>
    </row>
    <row r="1637">
      <c r="B1637" s="3" t="b">
        <v>0</v>
      </c>
      <c r="C1637" s="3" t="s">
        <v>27</v>
      </c>
      <c r="K1637" s="3" t="b">
        <v>0</v>
      </c>
      <c r="L1637" s="3" t="s">
        <v>3168</v>
      </c>
      <c r="N1637" s="3" t="s">
        <v>3861</v>
      </c>
      <c r="S1637" s="4" t="str">
        <f t="shared" si="1"/>
        <v>2019</v>
      </c>
    </row>
    <row r="1638">
      <c r="S1638" s="4" t="str">
        <f t="shared" si="1"/>
        <v/>
      </c>
    </row>
    <row r="1639">
      <c r="S1639" s="4" t="str">
        <f t="shared" si="1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57"/>
    <col customWidth="1" min="3" max="3" width="23.43"/>
    <col customWidth="1" min="4" max="4" width="24.29"/>
    <col customWidth="1" min="15" max="15" width="15.43"/>
  </cols>
  <sheetData>
    <row r="1">
      <c r="A1" s="8" t="s">
        <v>2</v>
      </c>
      <c r="B1" s="8" t="s">
        <v>6</v>
      </c>
      <c r="C1" s="8" t="s">
        <v>11</v>
      </c>
      <c r="D1" s="8" t="s">
        <v>13</v>
      </c>
      <c r="E1" s="9" t="s">
        <v>3862</v>
      </c>
      <c r="F1" s="2"/>
      <c r="G1" s="1" t="s">
        <v>3863</v>
      </c>
      <c r="H1" s="1" t="s">
        <v>3864</v>
      </c>
      <c r="I1" s="2"/>
      <c r="J1" s="1" t="s">
        <v>3865</v>
      </c>
      <c r="K1" s="9" t="s">
        <v>3866</v>
      </c>
      <c r="L1" s="1" t="s">
        <v>3867</v>
      </c>
      <c r="M1" s="1" t="s">
        <v>3868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idden="1">
      <c r="A2" s="4" t="s">
        <v>2397</v>
      </c>
      <c r="B2" s="4" t="s">
        <v>2928</v>
      </c>
      <c r="C2" s="4" t="s">
        <v>667</v>
      </c>
      <c r="D2" s="4" t="s">
        <v>1148</v>
      </c>
      <c r="E2" s="10">
        <f>IFERROR(__xludf.DUMMYFUNCTION("SPLIT(B2,""T"")"),43469.0)</f>
        <v>43469</v>
      </c>
      <c r="F2" s="4" t="str">
        <f>IFERROR(__xludf.DUMMYFUNCTION("""COMPUTED_VALUE"""),"09:22:00Z")</f>
        <v>09:22:00Z</v>
      </c>
      <c r="G2" s="11" t="str">
        <f t="shared" ref="G2:G1450" si="1">MID(F2,1,LEN(F2)-1)</f>
        <v>09:22:00</v>
      </c>
      <c r="H2" s="10">
        <f>IFERROR(__xludf.DUMMYFUNCTION("SPLIT(D2,""T"")"),25568.0)</f>
        <v>25568</v>
      </c>
      <c r="I2" s="4" t="str">
        <f>IFERROR(__xludf.DUMMYFUNCTION("""COMPUTED_VALUE"""),"16:00:00Z")</f>
        <v>16:00:00Z</v>
      </c>
      <c r="J2" s="4" t="str">
        <f t="shared" ref="J2:J1450" si="2">MID(I2,1,LEN(I2)-1)</f>
        <v>16:00:00</v>
      </c>
      <c r="K2" s="4">
        <f t="shared" ref="K2:K1450" si="3">E2-H2</f>
        <v>17901</v>
      </c>
      <c r="L2" s="4">
        <f t="shared" ref="L2:L1450" si="4">G2-J2</f>
        <v>-0.2763888889</v>
      </c>
      <c r="M2" s="4">
        <f t="shared" ref="M2:M1450" si="5">K2+L2</f>
        <v>17900.72361</v>
      </c>
    </row>
    <row r="3" hidden="1">
      <c r="A3" s="4" t="s">
        <v>282</v>
      </c>
      <c r="B3" s="4" t="s">
        <v>2268</v>
      </c>
      <c r="C3" s="4" t="s">
        <v>1678</v>
      </c>
      <c r="D3" s="4" t="s">
        <v>1148</v>
      </c>
      <c r="E3" s="10">
        <f>IFERROR(__xludf.DUMMYFUNCTION("SPLIT(B3,""T"")"),43109.0)</f>
        <v>43109</v>
      </c>
      <c r="F3" s="4" t="str">
        <f>IFERROR(__xludf.DUMMYFUNCTION("""COMPUTED_VALUE"""),"10:05:00Z")</f>
        <v>10:05:00Z</v>
      </c>
      <c r="G3" s="11" t="str">
        <f t="shared" si="1"/>
        <v>10:05:00</v>
      </c>
      <c r="H3" s="10">
        <f>IFERROR(__xludf.DUMMYFUNCTION("SPLIT(D3,""T"")"),25568.0)</f>
        <v>25568</v>
      </c>
      <c r="I3" s="4" t="str">
        <f>IFERROR(__xludf.DUMMYFUNCTION("""COMPUTED_VALUE"""),"16:00:00Z")</f>
        <v>16:00:00Z</v>
      </c>
      <c r="J3" s="4" t="str">
        <f t="shared" si="2"/>
        <v>16:00:00</v>
      </c>
      <c r="K3" s="4">
        <f t="shared" si="3"/>
        <v>17541</v>
      </c>
      <c r="L3" s="4">
        <f t="shared" si="4"/>
        <v>-0.2465277778</v>
      </c>
      <c r="M3" s="4">
        <f t="shared" si="5"/>
        <v>17540.75347</v>
      </c>
    </row>
    <row r="4">
      <c r="A4" s="4" t="s">
        <v>23</v>
      </c>
      <c r="B4" s="4" t="s">
        <v>1300</v>
      </c>
      <c r="C4" s="4" t="s">
        <v>1301</v>
      </c>
      <c r="D4" s="4" t="s">
        <v>1302</v>
      </c>
      <c r="E4" s="10">
        <f>IFERROR(__xludf.DUMMYFUNCTION("SPLIT(B4,""T"")"),43213.0)</f>
        <v>43213</v>
      </c>
      <c r="F4" s="4" t="str">
        <f>IFERROR(__xludf.DUMMYFUNCTION("""COMPUTED_VALUE"""),"15:07:00Z")</f>
        <v>15:07:00Z</v>
      </c>
      <c r="G4" s="11" t="str">
        <f t="shared" si="1"/>
        <v>15:07:00</v>
      </c>
      <c r="H4" s="10">
        <f>IFERROR(__xludf.DUMMYFUNCTION("SPLIT(D4,""T"")"),42541.0)</f>
        <v>42541</v>
      </c>
      <c r="I4" s="4" t="str">
        <f>IFERROR(__xludf.DUMMYFUNCTION("""COMPUTED_VALUE"""),"13:59:00Z")</f>
        <v>13:59:00Z</v>
      </c>
      <c r="J4" s="4" t="str">
        <f t="shared" si="2"/>
        <v>13:59:00</v>
      </c>
      <c r="K4" s="4">
        <f t="shared" si="3"/>
        <v>672</v>
      </c>
      <c r="L4" s="4">
        <f t="shared" si="4"/>
        <v>0.04722222222</v>
      </c>
      <c r="M4" s="4">
        <f t="shared" si="5"/>
        <v>672.0472222</v>
      </c>
    </row>
    <row r="5">
      <c r="A5" s="4" t="s">
        <v>97</v>
      </c>
      <c r="B5" s="4" t="s">
        <v>1747</v>
      </c>
      <c r="C5" s="4" t="s">
        <v>1748</v>
      </c>
      <c r="D5" s="4" t="s">
        <v>1749</v>
      </c>
      <c r="E5" s="10">
        <f>IFERROR(__xludf.DUMMYFUNCTION("SPLIT(B5,""T"")"),43538.0)</f>
        <v>43538</v>
      </c>
      <c r="F5" s="4" t="str">
        <f>IFERROR(__xludf.DUMMYFUNCTION("""COMPUTED_VALUE"""),"11:24:00Z")</f>
        <v>11:24:00Z</v>
      </c>
      <c r="G5" s="11" t="str">
        <f t="shared" si="1"/>
        <v>11:24:00</v>
      </c>
      <c r="H5" s="10">
        <f>IFERROR(__xludf.DUMMYFUNCTION("SPLIT(D5,""T"")"),43073.0)</f>
        <v>43073</v>
      </c>
      <c r="I5" s="4" t="str">
        <f>IFERROR(__xludf.DUMMYFUNCTION("""COMPUTED_VALUE"""),"18:28:00Z")</f>
        <v>18:28:00Z</v>
      </c>
      <c r="J5" s="4" t="str">
        <f t="shared" si="2"/>
        <v>18:28:00</v>
      </c>
      <c r="K5" s="4">
        <f t="shared" si="3"/>
        <v>465</v>
      </c>
      <c r="L5" s="4">
        <f t="shared" si="4"/>
        <v>-0.2944444444</v>
      </c>
      <c r="M5" s="4">
        <f t="shared" si="5"/>
        <v>464.7055556</v>
      </c>
    </row>
    <row r="6">
      <c r="A6" s="4" t="s">
        <v>35</v>
      </c>
      <c r="B6" s="4" t="s">
        <v>1747</v>
      </c>
      <c r="C6" s="4" t="s">
        <v>1748</v>
      </c>
      <c r="D6" s="4" t="s">
        <v>1749</v>
      </c>
      <c r="E6" s="10">
        <f>IFERROR(__xludf.DUMMYFUNCTION("SPLIT(B6,""T"")"),43538.0)</f>
        <v>43538</v>
      </c>
      <c r="F6" s="4" t="str">
        <f>IFERROR(__xludf.DUMMYFUNCTION("""COMPUTED_VALUE"""),"11:24:00Z")</f>
        <v>11:24:00Z</v>
      </c>
      <c r="G6" s="11" t="str">
        <f t="shared" si="1"/>
        <v>11:24:00</v>
      </c>
      <c r="H6" s="10">
        <f>IFERROR(__xludf.DUMMYFUNCTION("SPLIT(D6,""T"")"),43073.0)</f>
        <v>43073</v>
      </c>
      <c r="I6" s="4" t="str">
        <f>IFERROR(__xludf.DUMMYFUNCTION("""COMPUTED_VALUE"""),"18:28:00Z")</f>
        <v>18:28:00Z</v>
      </c>
      <c r="J6" s="4" t="str">
        <f t="shared" si="2"/>
        <v>18:28:00</v>
      </c>
      <c r="K6" s="4">
        <f t="shared" si="3"/>
        <v>465</v>
      </c>
      <c r="L6" s="4">
        <f t="shared" si="4"/>
        <v>-0.2944444444</v>
      </c>
      <c r="M6" s="4">
        <f t="shared" si="5"/>
        <v>464.7055556</v>
      </c>
      <c r="O6" s="1" t="s">
        <v>3869</v>
      </c>
    </row>
    <row r="7">
      <c r="A7" s="4" t="s">
        <v>87</v>
      </c>
      <c r="B7" s="4" t="s">
        <v>1866</v>
      </c>
      <c r="C7" s="4" t="s">
        <v>1867</v>
      </c>
      <c r="D7" s="4" t="s">
        <v>1868</v>
      </c>
      <c r="E7" s="10">
        <f>IFERROR(__xludf.DUMMYFUNCTION("SPLIT(B7,""T"")"),43342.0)</f>
        <v>43342</v>
      </c>
      <c r="F7" s="4" t="str">
        <f>IFERROR(__xludf.DUMMYFUNCTION("""COMPUTED_VALUE"""),"15:27:00Z")</f>
        <v>15:27:00Z</v>
      </c>
      <c r="G7" s="11" t="str">
        <f t="shared" si="1"/>
        <v>15:27:00</v>
      </c>
      <c r="H7" s="10">
        <f>IFERROR(__xludf.DUMMYFUNCTION("SPLIT(D7,""T"")"),42976.0)</f>
        <v>42976</v>
      </c>
      <c r="I7" s="4" t="str">
        <f>IFERROR(__xludf.DUMMYFUNCTION("""COMPUTED_VALUE"""),"13:16:00Z")</f>
        <v>13:16:00Z</v>
      </c>
      <c r="J7" s="4" t="str">
        <f t="shared" si="2"/>
        <v>13:16:00</v>
      </c>
      <c r="K7" s="4">
        <f t="shared" si="3"/>
        <v>366</v>
      </c>
      <c r="L7" s="4">
        <f t="shared" si="4"/>
        <v>0.09097222222</v>
      </c>
      <c r="M7" s="4">
        <f t="shared" si="5"/>
        <v>366.0909722</v>
      </c>
      <c r="O7" s="4">
        <f>AVERAGE(M:M)</f>
        <v>84.89496356</v>
      </c>
    </row>
    <row r="8">
      <c r="A8" s="4" t="s">
        <v>114</v>
      </c>
      <c r="B8" s="4" t="s">
        <v>2806</v>
      </c>
      <c r="C8" s="4" t="s">
        <v>2807</v>
      </c>
      <c r="D8" s="4" t="s">
        <v>2808</v>
      </c>
      <c r="E8" s="10">
        <f>IFERROR(__xludf.DUMMYFUNCTION("SPLIT(B8,""T"")"),43637.0)</f>
        <v>43637</v>
      </c>
      <c r="F8" s="4" t="str">
        <f>IFERROR(__xludf.DUMMYFUNCTION("""COMPUTED_VALUE"""),"08:51:41Z")</f>
        <v>08:51:41Z</v>
      </c>
      <c r="G8" s="11" t="str">
        <f t="shared" si="1"/>
        <v>08:51:41</v>
      </c>
      <c r="H8" s="10">
        <f>IFERROR(__xludf.DUMMYFUNCTION("SPLIT(D8,""T"")"),43277.0)</f>
        <v>43277</v>
      </c>
      <c r="I8" s="4" t="str">
        <f>IFERROR(__xludf.DUMMYFUNCTION("""COMPUTED_VALUE"""),"07:11:00Z")</f>
        <v>07:11:00Z</v>
      </c>
      <c r="J8" s="4" t="str">
        <f t="shared" si="2"/>
        <v>07:11:00</v>
      </c>
      <c r="K8" s="4">
        <f t="shared" si="3"/>
        <v>360</v>
      </c>
      <c r="L8" s="4">
        <f t="shared" si="4"/>
        <v>0.06991898148</v>
      </c>
      <c r="M8" s="4">
        <f t="shared" si="5"/>
        <v>360.069919</v>
      </c>
    </row>
    <row r="9">
      <c r="A9" s="4" t="s">
        <v>97</v>
      </c>
      <c r="B9" s="4" t="s">
        <v>2737</v>
      </c>
      <c r="C9" s="4" t="s">
        <v>3250</v>
      </c>
      <c r="D9" s="4" t="s">
        <v>3251</v>
      </c>
      <c r="E9" s="10">
        <f>IFERROR(__xludf.DUMMYFUNCTION("SPLIT(B9,""T"")"),43468.0)</f>
        <v>43468</v>
      </c>
      <c r="F9" s="4" t="str">
        <f>IFERROR(__xludf.DUMMYFUNCTION("""COMPUTED_VALUE"""),"09:43:00Z")</f>
        <v>09:43:00Z</v>
      </c>
      <c r="G9" s="11" t="str">
        <f t="shared" si="1"/>
        <v>09:43:00</v>
      </c>
      <c r="H9" s="10">
        <f>IFERROR(__xludf.DUMMYFUNCTION("SPLIT(D9,""T"")"),43109.0)</f>
        <v>43109</v>
      </c>
      <c r="I9" s="4" t="str">
        <f>IFERROR(__xludf.DUMMYFUNCTION("""COMPUTED_VALUE"""),"04:00:00Z")</f>
        <v>04:00:00Z</v>
      </c>
      <c r="J9" s="4" t="str">
        <f t="shared" si="2"/>
        <v>04:00:00</v>
      </c>
      <c r="K9" s="4">
        <f t="shared" si="3"/>
        <v>359</v>
      </c>
      <c r="L9" s="4">
        <f t="shared" si="4"/>
        <v>0.2381944444</v>
      </c>
      <c r="M9" s="4">
        <f t="shared" si="5"/>
        <v>359.2381944</v>
      </c>
    </row>
    <row r="10">
      <c r="A10" s="4" t="s">
        <v>35</v>
      </c>
      <c r="B10" s="4" t="s">
        <v>2737</v>
      </c>
      <c r="C10" s="4" t="s">
        <v>3250</v>
      </c>
      <c r="D10" s="4" t="s">
        <v>3251</v>
      </c>
      <c r="E10" s="10">
        <f>IFERROR(__xludf.DUMMYFUNCTION("SPLIT(B10,""T"")"),43468.0)</f>
        <v>43468</v>
      </c>
      <c r="F10" s="4" t="str">
        <f>IFERROR(__xludf.DUMMYFUNCTION("""COMPUTED_VALUE"""),"09:43:00Z")</f>
        <v>09:43:00Z</v>
      </c>
      <c r="G10" s="11" t="str">
        <f t="shared" si="1"/>
        <v>09:43:00</v>
      </c>
      <c r="H10" s="10">
        <f>IFERROR(__xludf.DUMMYFUNCTION("SPLIT(D10,""T"")"),43109.0)</f>
        <v>43109</v>
      </c>
      <c r="I10" s="4" t="str">
        <f>IFERROR(__xludf.DUMMYFUNCTION("""COMPUTED_VALUE"""),"04:00:00Z")</f>
        <v>04:00:00Z</v>
      </c>
      <c r="J10" s="4" t="str">
        <f t="shared" si="2"/>
        <v>04:00:00</v>
      </c>
      <c r="K10" s="4">
        <f t="shared" si="3"/>
        <v>359</v>
      </c>
      <c r="L10" s="4">
        <f t="shared" si="4"/>
        <v>0.2381944444</v>
      </c>
      <c r="M10" s="4">
        <f t="shared" si="5"/>
        <v>359.2381944</v>
      </c>
    </row>
    <row r="11">
      <c r="A11" s="4" t="s">
        <v>401</v>
      </c>
      <c r="B11" s="4" t="s">
        <v>1306</v>
      </c>
      <c r="C11" s="4" t="s">
        <v>1307</v>
      </c>
      <c r="D11" s="4" t="s">
        <v>1308</v>
      </c>
      <c r="E11" s="10">
        <f>IFERROR(__xludf.DUMMYFUNCTION("SPLIT(B11,""T"")"),42997.0)</f>
        <v>42997</v>
      </c>
      <c r="F11" s="4" t="str">
        <f>IFERROR(__xludf.DUMMYFUNCTION("""COMPUTED_VALUE"""),"10:30:00Z")</f>
        <v>10:30:00Z</v>
      </c>
      <c r="G11" s="11" t="str">
        <f t="shared" si="1"/>
        <v>10:30:00</v>
      </c>
      <c r="H11" s="10">
        <f>IFERROR(__xludf.DUMMYFUNCTION("SPLIT(D11,""T"")"),42639.0)</f>
        <v>42639</v>
      </c>
      <c r="I11" s="4" t="str">
        <f>IFERROR(__xludf.DUMMYFUNCTION("""COMPUTED_VALUE"""),"14:42:00Z")</f>
        <v>14:42:00Z</v>
      </c>
      <c r="J11" s="4" t="str">
        <f t="shared" si="2"/>
        <v>14:42:00</v>
      </c>
      <c r="K11" s="4">
        <f t="shared" si="3"/>
        <v>358</v>
      </c>
      <c r="L11" s="4">
        <f t="shared" si="4"/>
        <v>-0.175</v>
      </c>
      <c r="M11" s="4">
        <f t="shared" si="5"/>
        <v>357.825</v>
      </c>
    </row>
    <row r="12">
      <c r="A12" s="4" t="s">
        <v>87</v>
      </c>
      <c r="B12" s="4" t="s">
        <v>2642</v>
      </c>
      <c r="C12" s="4" t="s">
        <v>2643</v>
      </c>
      <c r="D12" s="4" t="s">
        <v>2644</v>
      </c>
      <c r="E12" s="10">
        <f>IFERROR(__xludf.DUMMYFUNCTION("SPLIT(B12,""T"")"),43109.0)</f>
        <v>43109</v>
      </c>
      <c r="F12" s="4" t="str">
        <f>IFERROR(__xludf.DUMMYFUNCTION("""COMPUTED_VALUE"""),"09:24:00Z")</f>
        <v>09:24:00Z</v>
      </c>
      <c r="G12" s="11" t="str">
        <f t="shared" si="1"/>
        <v>09:24:00</v>
      </c>
      <c r="H12" s="10">
        <f>IFERROR(__xludf.DUMMYFUNCTION("SPLIT(D12,""T"")"),42773.0)</f>
        <v>42773</v>
      </c>
      <c r="I12" s="4" t="str">
        <f>IFERROR(__xludf.DUMMYFUNCTION("""COMPUTED_VALUE"""),"14:00:00Z")</f>
        <v>14:00:00Z</v>
      </c>
      <c r="J12" s="4" t="str">
        <f t="shared" si="2"/>
        <v>14:00:00</v>
      </c>
      <c r="K12" s="4">
        <f t="shared" si="3"/>
        <v>336</v>
      </c>
      <c r="L12" s="4">
        <f t="shared" si="4"/>
        <v>-0.1916666667</v>
      </c>
      <c r="M12" s="4">
        <f t="shared" si="5"/>
        <v>335.8083333</v>
      </c>
    </row>
    <row r="13">
      <c r="A13" s="4" t="s">
        <v>114</v>
      </c>
      <c r="B13" s="4" t="s">
        <v>2737</v>
      </c>
      <c r="C13" s="4" t="s">
        <v>3059</v>
      </c>
      <c r="D13" s="4" t="s">
        <v>3060</v>
      </c>
      <c r="E13" s="10">
        <f>IFERROR(__xludf.DUMMYFUNCTION("SPLIT(B13,""T"")"),43468.0)</f>
        <v>43468</v>
      </c>
      <c r="F13" s="4" t="str">
        <f>IFERROR(__xludf.DUMMYFUNCTION("""COMPUTED_VALUE"""),"09:43:00Z")</f>
        <v>09:43:00Z</v>
      </c>
      <c r="G13" s="11" t="str">
        <f t="shared" si="1"/>
        <v>09:43:00</v>
      </c>
      <c r="H13" s="10">
        <f>IFERROR(__xludf.DUMMYFUNCTION("SPLIT(D13,""T"")"),43138.0)</f>
        <v>43138</v>
      </c>
      <c r="I13" s="4" t="str">
        <f>IFERROR(__xludf.DUMMYFUNCTION("""COMPUTED_VALUE"""),"15:53:00Z")</f>
        <v>15:53:00Z</v>
      </c>
      <c r="J13" s="4" t="str">
        <f t="shared" si="2"/>
        <v>15:53:00</v>
      </c>
      <c r="K13" s="4">
        <f t="shared" si="3"/>
        <v>330</v>
      </c>
      <c r="L13" s="4">
        <f t="shared" si="4"/>
        <v>-0.2569444444</v>
      </c>
      <c r="M13" s="4">
        <f t="shared" si="5"/>
        <v>329.7430556</v>
      </c>
    </row>
    <row r="14">
      <c r="A14" s="4" t="s">
        <v>94</v>
      </c>
      <c r="B14" s="4" t="s">
        <v>2850</v>
      </c>
      <c r="C14" s="4" t="s">
        <v>3105</v>
      </c>
      <c r="D14" s="4" t="s">
        <v>3106</v>
      </c>
      <c r="E14" s="10">
        <f>IFERROR(__xludf.DUMMYFUNCTION("SPLIT(B14,""T"")"),43468.0)</f>
        <v>43468</v>
      </c>
      <c r="F14" s="4" t="str">
        <f>IFERROR(__xludf.DUMMYFUNCTION("""COMPUTED_VALUE"""),"09:44:00Z")</f>
        <v>09:44:00Z</v>
      </c>
      <c r="G14" s="11" t="str">
        <f t="shared" si="1"/>
        <v>09:44:00</v>
      </c>
      <c r="H14" s="10">
        <f>IFERROR(__xludf.DUMMYFUNCTION("SPLIT(D14,""T"")"),43149.0)</f>
        <v>43149</v>
      </c>
      <c r="I14" s="4" t="str">
        <f>IFERROR(__xludf.DUMMYFUNCTION("""COMPUTED_VALUE"""),"13:45:00Z")</f>
        <v>13:45:00Z</v>
      </c>
      <c r="J14" s="4" t="str">
        <f t="shared" si="2"/>
        <v>13:45:00</v>
      </c>
      <c r="K14" s="4">
        <f t="shared" si="3"/>
        <v>319</v>
      </c>
      <c r="L14" s="4">
        <f t="shared" si="4"/>
        <v>-0.1673611111</v>
      </c>
      <c r="M14" s="4">
        <f t="shared" si="5"/>
        <v>318.8326389</v>
      </c>
    </row>
    <row r="15">
      <c r="A15" s="4" t="s">
        <v>162</v>
      </c>
      <c r="B15" s="4" t="s">
        <v>2737</v>
      </c>
      <c r="C15" s="4" t="s">
        <v>2036</v>
      </c>
      <c r="D15" s="4" t="s">
        <v>2738</v>
      </c>
      <c r="E15" s="10">
        <f>IFERROR(__xludf.DUMMYFUNCTION("SPLIT(B15,""T"")"),43468.0)</f>
        <v>43468</v>
      </c>
      <c r="F15" s="4" t="str">
        <f>IFERROR(__xludf.DUMMYFUNCTION("""COMPUTED_VALUE"""),"09:43:00Z")</f>
        <v>09:43:00Z</v>
      </c>
      <c r="G15" s="11" t="str">
        <f t="shared" si="1"/>
        <v>09:43:00</v>
      </c>
      <c r="H15" s="10">
        <f>IFERROR(__xludf.DUMMYFUNCTION("SPLIT(D15,""T"")"),43149.0)</f>
        <v>43149</v>
      </c>
      <c r="I15" s="4" t="str">
        <f>IFERROR(__xludf.DUMMYFUNCTION("""COMPUTED_VALUE"""),"14:12:00Z")</f>
        <v>14:12:00Z</v>
      </c>
      <c r="J15" s="4" t="str">
        <f t="shared" si="2"/>
        <v>14:12:00</v>
      </c>
      <c r="K15" s="4">
        <f t="shared" si="3"/>
        <v>319</v>
      </c>
      <c r="L15" s="4">
        <f t="shared" si="4"/>
        <v>-0.1868055556</v>
      </c>
      <c r="M15" s="4">
        <f t="shared" si="5"/>
        <v>318.8131944</v>
      </c>
    </row>
    <row r="16">
      <c r="A16" s="4" t="s">
        <v>97</v>
      </c>
      <c r="B16" s="4" t="s">
        <v>2850</v>
      </c>
      <c r="C16" s="4" t="s">
        <v>2851</v>
      </c>
      <c r="D16" s="4" t="s">
        <v>2852</v>
      </c>
      <c r="E16" s="10">
        <f>IFERROR(__xludf.DUMMYFUNCTION("SPLIT(B16,""T"")"),43468.0)</f>
        <v>43468</v>
      </c>
      <c r="F16" s="4" t="str">
        <f>IFERROR(__xludf.DUMMYFUNCTION("""COMPUTED_VALUE"""),"09:44:00Z")</f>
        <v>09:44:00Z</v>
      </c>
      <c r="G16" s="11" t="str">
        <f t="shared" si="1"/>
        <v>09:44:00</v>
      </c>
      <c r="H16" s="10">
        <f>IFERROR(__xludf.DUMMYFUNCTION("SPLIT(D16,""T"")"),43186.0)</f>
        <v>43186</v>
      </c>
      <c r="I16" s="4" t="str">
        <f>IFERROR(__xludf.DUMMYFUNCTION("""COMPUTED_VALUE"""),"14:45:00Z")</f>
        <v>14:45:00Z</v>
      </c>
      <c r="J16" s="4" t="str">
        <f t="shared" si="2"/>
        <v>14:45:00</v>
      </c>
      <c r="K16" s="4">
        <f t="shared" si="3"/>
        <v>282</v>
      </c>
      <c r="L16" s="4">
        <f t="shared" si="4"/>
        <v>-0.2090277778</v>
      </c>
      <c r="M16" s="4">
        <f t="shared" si="5"/>
        <v>281.7909722</v>
      </c>
    </row>
    <row r="17">
      <c r="A17" s="4" t="s">
        <v>58</v>
      </c>
      <c r="B17" s="4" t="s">
        <v>3217</v>
      </c>
      <c r="C17" s="4" t="s">
        <v>1683</v>
      </c>
      <c r="D17" s="4" t="s">
        <v>3218</v>
      </c>
      <c r="E17" s="10">
        <f>IFERROR(__xludf.DUMMYFUNCTION("SPLIT(B17,""T"")"),43468.0)</f>
        <v>43468</v>
      </c>
      <c r="F17" s="4" t="str">
        <f>IFERROR(__xludf.DUMMYFUNCTION("""COMPUTED_VALUE"""),"09:45:00Z")</f>
        <v>09:45:00Z</v>
      </c>
      <c r="G17" s="11" t="str">
        <f t="shared" si="1"/>
        <v>09:45:00</v>
      </c>
      <c r="H17" s="10">
        <f>IFERROR(__xludf.DUMMYFUNCTION("SPLIT(D17,""T"")"),43186.0)</f>
        <v>43186</v>
      </c>
      <c r="I17" s="4" t="str">
        <f>IFERROR(__xludf.DUMMYFUNCTION("""COMPUTED_VALUE"""),"16:20:00Z")</f>
        <v>16:20:00Z</v>
      </c>
      <c r="J17" s="4" t="str">
        <f t="shared" si="2"/>
        <v>16:20:00</v>
      </c>
      <c r="K17" s="4">
        <f t="shared" si="3"/>
        <v>282</v>
      </c>
      <c r="L17" s="4">
        <f t="shared" si="4"/>
        <v>-0.2743055556</v>
      </c>
      <c r="M17" s="4">
        <f t="shared" si="5"/>
        <v>281.7256944</v>
      </c>
    </row>
    <row r="18">
      <c r="A18" s="4" t="s">
        <v>58</v>
      </c>
      <c r="B18" s="4" t="s">
        <v>2354</v>
      </c>
      <c r="C18" s="4" t="s">
        <v>2355</v>
      </c>
      <c r="D18" s="4" t="s">
        <v>2042</v>
      </c>
      <c r="E18" s="10">
        <f>IFERROR(__xludf.DUMMYFUNCTION("SPLIT(B18,""T"")"),43109.0)</f>
        <v>43109</v>
      </c>
      <c r="F18" s="4" t="str">
        <f>IFERROR(__xludf.DUMMYFUNCTION("""COMPUTED_VALUE"""),"09:41:00Z")</f>
        <v>09:41:00Z</v>
      </c>
      <c r="G18" s="11" t="str">
        <f t="shared" si="1"/>
        <v>09:41:00</v>
      </c>
      <c r="H18" s="10">
        <f>IFERROR(__xludf.DUMMYFUNCTION("SPLIT(D18,""T"")"),42828.0)</f>
        <v>42828</v>
      </c>
      <c r="I18" s="4" t="str">
        <f>IFERROR(__xludf.DUMMYFUNCTION("""COMPUTED_VALUE"""),"16:00:00Z")</f>
        <v>16:00:00Z</v>
      </c>
      <c r="J18" s="4" t="str">
        <f t="shared" si="2"/>
        <v>16:00:00</v>
      </c>
      <c r="K18" s="4">
        <f t="shared" si="3"/>
        <v>281</v>
      </c>
      <c r="L18" s="4">
        <f t="shared" si="4"/>
        <v>-0.2631944444</v>
      </c>
      <c r="M18" s="4">
        <f t="shared" si="5"/>
        <v>280.7368056</v>
      </c>
    </row>
    <row r="19">
      <c r="A19" s="4" t="s">
        <v>145</v>
      </c>
      <c r="B19" s="4" t="s">
        <v>2041</v>
      </c>
      <c r="C19" s="4" t="s">
        <v>826</v>
      </c>
      <c r="D19" s="4" t="s">
        <v>2042</v>
      </c>
      <c r="E19" s="10">
        <f>IFERROR(__xludf.DUMMYFUNCTION("SPLIT(B19,""T"")"),43109.0)</f>
        <v>43109</v>
      </c>
      <c r="F19" s="4" t="str">
        <f>IFERROR(__xludf.DUMMYFUNCTION("""COMPUTED_VALUE"""),"09:40:00Z")</f>
        <v>09:40:00Z</v>
      </c>
      <c r="G19" s="11" t="str">
        <f t="shared" si="1"/>
        <v>09:40:00</v>
      </c>
      <c r="H19" s="10">
        <f>IFERROR(__xludf.DUMMYFUNCTION("SPLIT(D19,""T"")"),42828.0)</f>
        <v>42828</v>
      </c>
      <c r="I19" s="4" t="str">
        <f>IFERROR(__xludf.DUMMYFUNCTION("""COMPUTED_VALUE"""),"16:00:00Z")</f>
        <v>16:00:00Z</v>
      </c>
      <c r="J19" s="4" t="str">
        <f t="shared" si="2"/>
        <v>16:00:00</v>
      </c>
      <c r="K19" s="4">
        <f t="shared" si="3"/>
        <v>281</v>
      </c>
      <c r="L19" s="4">
        <f t="shared" si="4"/>
        <v>-0.2638888889</v>
      </c>
      <c r="M19" s="4">
        <f t="shared" si="5"/>
        <v>280.7361111</v>
      </c>
    </row>
    <row r="20">
      <c r="A20" s="4" t="s">
        <v>134</v>
      </c>
      <c r="B20" s="4" t="s">
        <v>2011</v>
      </c>
      <c r="C20" s="4" t="s">
        <v>667</v>
      </c>
      <c r="D20" s="4" t="s">
        <v>2012</v>
      </c>
      <c r="E20" s="10">
        <f>IFERROR(__xludf.DUMMYFUNCTION("SPLIT(B20,""T"")"),43202.0)</f>
        <v>43202</v>
      </c>
      <c r="F20" s="4" t="str">
        <f>IFERROR(__xludf.DUMMYFUNCTION("""COMPUTED_VALUE"""),"14:52:00Z")</f>
        <v>14:52:00Z</v>
      </c>
      <c r="G20" s="11" t="str">
        <f t="shared" si="1"/>
        <v>14:52:00</v>
      </c>
      <c r="H20" s="10">
        <f>IFERROR(__xludf.DUMMYFUNCTION("SPLIT(D20,""T"")"),42930.0)</f>
        <v>42930</v>
      </c>
      <c r="I20" s="4" t="str">
        <f>IFERROR(__xludf.DUMMYFUNCTION("""COMPUTED_VALUE"""),"14:23:00Z")</f>
        <v>14:23:00Z</v>
      </c>
      <c r="J20" s="4" t="str">
        <f t="shared" si="2"/>
        <v>14:23:00</v>
      </c>
      <c r="K20" s="4">
        <f t="shared" si="3"/>
        <v>272</v>
      </c>
      <c r="L20" s="4">
        <f t="shared" si="4"/>
        <v>0.02013888889</v>
      </c>
      <c r="M20" s="4">
        <f t="shared" si="5"/>
        <v>272.0201389</v>
      </c>
    </row>
    <row r="21">
      <c r="A21" s="4" t="s">
        <v>27</v>
      </c>
      <c r="B21" s="4" t="s">
        <v>2557</v>
      </c>
      <c r="C21" s="4" t="s">
        <v>2558</v>
      </c>
      <c r="D21" s="4" t="s">
        <v>2559</v>
      </c>
      <c r="E21" s="10">
        <f>IFERROR(__xludf.DUMMYFUNCTION("SPLIT(B21,""T"")"),43109.0)</f>
        <v>43109</v>
      </c>
      <c r="F21" s="4" t="str">
        <f>IFERROR(__xludf.DUMMYFUNCTION("""COMPUTED_VALUE"""),"09:50:00Z")</f>
        <v>09:50:00Z</v>
      </c>
      <c r="G21" s="11" t="str">
        <f t="shared" si="1"/>
        <v>09:50:00</v>
      </c>
      <c r="H21" s="10">
        <f>IFERROR(__xludf.DUMMYFUNCTION("SPLIT(D21,""T"")"),42838.0)</f>
        <v>42838</v>
      </c>
      <c r="I21" s="4" t="str">
        <f>IFERROR(__xludf.DUMMYFUNCTION("""COMPUTED_VALUE"""),"02:30:00Z")</f>
        <v>02:30:00Z</v>
      </c>
      <c r="J21" s="4" t="str">
        <f t="shared" si="2"/>
        <v>02:30:00</v>
      </c>
      <c r="K21" s="4">
        <f t="shared" si="3"/>
        <v>271</v>
      </c>
      <c r="L21" s="4">
        <f t="shared" si="4"/>
        <v>0.3055555556</v>
      </c>
      <c r="M21" s="4">
        <f t="shared" si="5"/>
        <v>271.3055556</v>
      </c>
    </row>
    <row r="22">
      <c r="A22" s="4" t="s">
        <v>27</v>
      </c>
      <c r="B22" s="4" t="s">
        <v>3124</v>
      </c>
      <c r="C22" s="4" t="s">
        <v>569</v>
      </c>
      <c r="D22" s="4" t="s">
        <v>3147</v>
      </c>
      <c r="E22" s="10">
        <f>IFERROR(__xludf.DUMMYFUNCTION("SPLIT(B22,""T"")"),43468.0)</f>
        <v>43468</v>
      </c>
      <c r="F22" s="4" t="str">
        <f>IFERROR(__xludf.DUMMYFUNCTION("""COMPUTED_VALUE"""),"09:46:00Z")</f>
        <v>09:46:00Z</v>
      </c>
      <c r="G22" s="11" t="str">
        <f t="shared" si="1"/>
        <v>09:46:00</v>
      </c>
      <c r="H22" s="10">
        <f>IFERROR(__xludf.DUMMYFUNCTION("SPLIT(D22,""T"")"),43199.0)</f>
        <v>43199</v>
      </c>
      <c r="I22" s="4" t="str">
        <f>IFERROR(__xludf.DUMMYFUNCTION("""COMPUTED_VALUE"""),"18:18:00Z")</f>
        <v>18:18:00Z</v>
      </c>
      <c r="J22" s="4" t="str">
        <f t="shared" si="2"/>
        <v>18:18:00</v>
      </c>
      <c r="K22" s="4">
        <f t="shared" si="3"/>
        <v>269</v>
      </c>
      <c r="L22" s="4">
        <f t="shared" si="4"/>
        <v>-0.3555555556</v>
      </c>
      <c r="M22" s="4">
        <f t="shared" si="5"/>
        <v>268.6444444</v>
      </c>
    </row>
    <row r="23">
      <c r="A23" s="4" t="s">
        <v>87</v>
      </c>
      <c r="B23" s="4" t="s">
        <v>2011</v>
      </c>
      <c r="C23" s="4" t="s">
        <v>2184</v>
      </c>
      <c r="D23" s="4" t="s">
        <v>2185</v>
      </c>
      <c r="E23" s="10">
        <f>IFERROR(__xludf.DUMMYFUNCTION("SPLIT(B23,""T"")"),43202.0)</f>
        <v>43202</v>
      </c>
      <c r="F23" s="4" t="str">
        <f>IFERROR(__xludf.DUMMYFUNCTION("""COMPUTED_VALUE"""),"14:52:00Z")</f>
        <v>14:52:00Z</v>
      </c>
      <c r="G23" s="11" t="str">
        <f t="shared" si="1"/>
        <v>14:52:00</v>
      </c>
      <c r="H23" s="10">
        <f>IFERROR(__xludf.DUMMYFUNCTION("SPLIT(D23,""T"")"),42935.0)</f>
        <v>42935</v>
      </c>
      <c r="I23" s="4" t="str">
        <f>IFERROR(__xludf.DUMMYFUNCTION("""COMPUTED_VALUE"""),"16:02:00Z")</f>
        <v>16:02:00Z</v>
      </c>
      <c r="J23" s="4" t="str">
        <f t="shared" si="2"/>
        <v>16:02:00</v>
      </c>
      <c r="K23" s="4">
        <f t="shared" si="3"/>
        <v>267</v>
      </c>
      <c r="L23" s="4">
        <f t="shared" si="4"/>
        <v>-0.04861111111</v>
      </c>
      <c r="M23" s="4">
        <f t="shared" si="5"/>
        <v>266.9513889</v>
      </c>
    </row>
    <row r="24">
      <c r="A24" s="4" t="s">
        <v>39</v>
      </c>
      <c r="B24" s="4" t="s">
        <v>3124</v>
      </c>
      <c r="C24" s="4" t="s">
        <v>3125</v>
      </c>
      <c r="D24" s="4" t="s">
        <v>3126</v>
      </c>
      <c r="E24" s="10">
        <f>IFERROR(__xludf.DUMMYFUNCTION("SPLIT(B24,""T"")"),43468.0)</f>
        <v>43468</v>
      </c>
      <c r="F24" s="4" t="str">
        <f>IFERROR(__xludf.DUMMYFUNCTION("""COMPUTED_VALUE"""),"09:46:00Z")</f>
        <v>09:46:00Z</v>
      </c>
      <c r="G24" s="11" t="str">
        <f t="shared" si="1"/>
        <v>09:46:00</v>
      </c>
      <c r="H24" s="10">
        <f>IFERROR(__xludf.DUMMYFUNCTION("SPLIT(D24,""T"")"),43202.0)</f>
        <v>43202</v>
      </c>
      <c r="I24" s="4" t="str">
        <f>IFERROR(__xludf.DUMMYFUNCTION("""COMPUTED_VALUE"""),"14:30:00Z")</f>
        <v>14:30:00Z</v>
      </c>
      <c r="J24" s="4" t="str">
        <f t="shared" si="2"/>
        <v>14:30:00</v>
      </c>
      <c r="K24" s="4">
        <f t="shared" si="3"/>
        <v>266</v>
      </c>
      <c r="L24" s="4">
        <f t="shared" si="4"/>
        <v>-0.1972222222</v>
      </c>
      <c r="M24" s="4">
        <f t="shared" si="5"/>
        <v>265.8027778</v>
      </c>
    </row>
    <row r="25">
      <c r="A25" s="4" t="s">
        <v>62</v>
      </c>
      <c r="B25" s="4" t="s">
        <v>2011</v>
      </c>
      <c r="C25" s="4" t="s">
        <v>2069</v>
      </c>
      <c r="D25" s="4" t="s">
        <v>2070</v>
      </c>
      <c r="E25" s="10">
        <f>IFERROR(__xludf.DUMMYFUNCTION("SPLIT(B25,""T"")"),43202.0)</f>
        <v>43202</v>
      </c>
      <c r="F25" s="4" t="str">
        <f>IFERROR(__xludf.DUMMYFUNCTION("""COMPUTED_VALUE"""),"14:52:00Z")</f>
        <v>14:52:00Z</v>
      </c>
      <c r="G25" s="11" t="str">
        <f t="shared" si="1"/>
        <v>14:52:00</v>
      </c>
      <c r="H25" s="10">
        <f>IFERROR(__xludf.DUMMYFUNCTION("SPLIT(D25,""T"")"),42938.0)</f>
        <v>42938</v>
      </c>
      <c r="I25" s="4" t="str">
        <f>IFERROR(__xludf.DUMMYFUNCTION("""COMPUTED_VALUE"""),"15:00:00Z")</f>
        <v>15:00:00Z</v>
      </c>
      <c r="J25" s="4" t="str">
        <f t="shared" si="2"/>
        <v>15:00:00</v>
      </c>
      <c r="K25" s="4">
        <f t="shared" si="3"/>
        <v>264</v>
      </c>
      <c r="L25" s="4">
        <f t="shared" si="4"/>
        <v>-0.005555555556</v>
      </c>
      <c r="M25" s="4">
        <f t="shared" si="5"/>
        <v>263.9944444</v>
      </c>
    </row>
    <row r="26">
      <c r="A26" s="4" t="s">
        <v>39</v>
      </c>
      <c r="B26" s="4" t="s">
        <v>1851</v>
      </c>
      <c r="C26" s="4" t="s">
        <v>1852</v>
      </c>
      <c r="D26" s="4" t="s">
        <v>1853</v>
      </c>
      <c r="E26" s="10">
        <f>IFERROR(__xludf.DUMMYFUNCTION("SPLIT(B26,""T"")"),43109.0)</f>
        <v>43109</v>
      </c>
      <c r="F26" s="4" t="str">
        <f>IFERROR(__xludf.DUMMYFUNCTION("""COMPUTED_VALUE"""),"09:51:00Z")</f>
        <v>09:51:00Z</v>
      </c>
      <c r="G26" s="11" t="str">
        <f t="shared" si="1"/>
        <v>09:51:00</v>
      </c>
      <c r="H26" s="10">
        <f>IFERROR(__xludf.DUMMYFUNCTION("SPLIT(D26,""T"")"),42845.0)</f>
        <v>42845</v>
      </c>
      <c r="I26" s="4" t="str">
        <f>IFERROR(__xludf.DUMMYFUNCTION("""COMPUTED_VALUE"""),"15:40:00Z")</f>
        <v>15:40:00Z</v>
      </c>
      <c r="J26" s="4" t="str">
        <f t="shared" si="2"/>
        <v>15:40:00</v>
      </c>
      <c r="K26" s="4">
        <f t="shared" si="3"/>
        <v>264</v>
      </c>
      <c r="L26" s="4">
        <f t="shared" si="4"/>
        <v>-0.2423611111</v>
      </c>
      <c r="M26" s="4">
        <f t="shared" si="5"/>
        <v>263.7576389</v>
      </c>
    </row>
    <row r="27">
      <c r="A27" s="4" t="s">
        <v>27</v>
      </c>
      <c r="B27" s="4" t="s">
        <v>3124</v>
      </c>
      <c r="C27" s="4" t="s">
        <v>390</v>
      </c>
      <c r="D27" s="4" t="s">
        <v>3178</v>
      </c>
      <c r="E27" s="10">
        <f>IFERROR(__xludf.DUMMYFUNCTION("SPLIT(B27,""T"")"),43468.0)</f>
        <v>43468</v>
      </c>
      <c r="F27" s="4" t="str">
        <f>IFERROR(__xludf.DUMMYFUNCTION("""COMPUTED_VALUE"""),"09:46:00Z")</f>
        <v>09:46:00Z</v>
      </c>
      <c r="G27" s="11" t="str">
        <f t="shared" si="1"/>
        <v>09:46:00</v>
      </c>
      <c r="H27" s="10">
        <f>IFERROR(__xludf.DUMMYFUNCTION("SPLIT(D27,""T"")"),43205.0)</f>
        <v>43205</v>
      </c>
      <c r="I27" s="4" t="str">
        <f>IFERROR(__xludf.DUMMYFUNCTION("""COMPUTED_VALUE"""),"04:38:00Z")</f>
        <v>04:38:00Z</v>
      </c>
      <c r="J27" s="4" t="str">
        <f t="shared" si="2"/>
        <v>04:38:00</v>
      </c>
      <c r="K27" s="4">
        <f t="shared" si="3"/>
        <v>263</v>
      </c>
      <c r="L27" s="4">
        <f t="shared" si="4"/>
        <v>0.2138888889</v>
      </c>
      <c r="M27" s="4">
        <f t="shared" si="5"/>
        <v>263.2138889</v>
      </c>
    </row>
    <row r="28">
      <c r="A28" s="4" t="s">
        <v>114</v>
      </c>
      <c r="B28" s="4" t="s">
        <v>1851</v>
      </c>
      <c r="C28" s="4" t="s">
        <v>2619</v>
      </c>
      <c r="D28" s="4" t="s">
        <v>2620</v>
      </c>
      <c r="E28" s="10">
        <f>IFERROR(__xludf.DUMMYFUNCTION("SPLIT(B28,""T"")"),43109.0)</f>
        <v>43109</v>
      </c>
      <c r="F28" s="4" t="str">
        <f>IFERROR(__xludf.DUMMYFUNCTION("""COMPUTED_VALUE"""),"09:51:00Z")</f>
        <v>09:51:00Z</v>
      </c>
      <c r="G28" s="11" t="str">
        <f t="shared" si="1"/>
        <v>09:51:00</v>
      </c>
      <c r="H28" s="10">
        <f>IFERROR(__xludf.DUMMYFUNCTION("SPLIT(D28,""T"")"),42849.0)</f>
        <v>42849</v>
      </c>
      <c r="I28" s="4" t="str">
        <f>IFERROR(__xludf.DUMMYFUNCTION("""COMPUTED_VALUE"""),"12:06:00Z")</f>
        <v>12:06:00Z</v>
      </c>
      <c r="J28" s="4" t="str">
        <f t="shared" si="2"/>
        <v>12:06:00</v>
      </c>
      <c r="K28" s="4">
        <f t="shared" si="3"/>
        <v>260</v>
      </c>
      <c r="L28" s="4">
        <f t="shared" si="4"/>
        <v>-0.09375</v>
      </c>
      <c r="M28" s="4">
        <f t="shared" si="5"/>
        <v>259.90625</v>
      </c>
    </row>
    <row r="29">
      <c r="A29" s="4" t="s">
        <v>162</v>
      </c>
      <c r="B29" s="4" t="s">
        <v>2757</v>
      </c>
      <c r="C29" s="4" t="s">
        <v>2758</v>
      </c>
      <c r="D29" s="4" t="s">
        <v>2759</v>
      </c>
      <c r="E29" s="10">
        <f>IFERROR(__xludf.DUMMYFUNCTION("SPLIT(B29,""T"")"),43468.0)</f>
        <v>43468</v>
      </c>
      <c r="F29" s="4" t="str">
        <f>IFERROR(__xludf.DUMMYFUNCTION("""COMPUTED_VALUE"""),"13:09:00Z")</f>
        <v>13:09:00Z</v>
      </c>
      <c r="G29" s="11" t="str">
        <f t="shared" si="1"/>
        <v>13:09:00</v>
      </c>
      <c r="H29" s="10">
        <f>IFERROR(__xludf.DUMMYFUNCTION("SPLIT(D29,""T"")"),43209.0)</f>
        <v>43209</v>
      </c>
      <c r="I29" s="4" t="str">
        <f>IFERROR(__xludf.DUMMYFUNCTION("""COMPUTED_VALUE"""),"10:28:00Z")</f>
        <v>10:28:00Z</v>
      </c>
      <c r="J29" s="4" t="str">
        <f t="shared" si="2"/>
        <v>10:28:00</v>
      </c>
      <c r="K29" s="4">
        <f t="shared" si="3"/>
        <v>259</v>
      </c>
      <c r="L29" s="4">
        <f t="shared" si="4"/>
        <v>0.1118055556</v>
      </c>
      <c r="M29" s="4">
        <f t="shared" si="5"/>
        <v>259.1118056</v>
      </c>
    </row>
    <row r="30">
      <c r="A30" s="4" t="s">
        <v>27</v>
      </c>
      <c r="B30" s="4" t="s">
        <v>3161</v>
      </c>
      <c r="C30" s="4" t="s">
        <v>2334</v>
      </c>
      <c r="D30" s="4" t="s">
        <v>3162</v>
      </c>
      <c r="E30" s="10">
        <f>IFERROR(__xludf.DUMMYFUNCTION("SPLIT(B30,""T"")"),43468.0)</f>
        <v>43468</v>
      </c>
      <c r="F30" s="4" t="str">
        <f>IFERROR(__xludf.DUMMYFUNCTION("""COMPUTED_VALUE"""),"13:10:00Z")</f>
        <v>13:10:00Z</v>
      </c>
      <c r="G30" s="11" t="str">
        <f t="shared" si="1"/>
        <v>13:10:00</v>
      </c>
      <c r="H30" s="10">
        <f>IFERROR(__xludf.DUMMYFUNCTION("SPLIT(D30,""T"")"),43212.0)</f>
        <v>43212</v>
      </c>
      <c r="I30" s="4" t="str">
        <f>IFERROR(__xludf.DUMMYFUNCTION("""COMPUTED_VALUE"""),"13:35:00Z")</f>
        <v>13:35:00Z</v>
      </c>
      <c r="J30" s="4" t="str">
        <f t="shared" si="2"/>
        <v>13:35:00</v>
      </c>
      <c r="K30" s="4">
        <f t="shared" si="3"/>
        <v>256</v>
      </c>
      <c r="L30" s="4">
        <f t="shared" si="4"/>
        <v>-0.01736111111</v>
      </c>
      <c r="M30" s="4">
        <f t="shared" si="5"/>
        <v>255.9826389</v>
      </c>
    </row>
    <row r="31">
      <c r="A31" s="4" t="s">
        <v>39</v>
      </c>
      <c r="B31" s="4" t="s">
        <v>1959</v>
      </c>
      <c r="C31" s="4" t="s">
        <v>1960</v>
      </c>
      <c r="D31" s="4" t="s">
        <v>1961</v>
      </c>
      <c r="E31" s="10">
        <f>IFERROR(__xludf.DUMMYFUNCTION("SPLIT(B31,""T"")"),43109.0)</f>
        <v>43109</v>
      </c>
      <c r="F31" s="4" t="str">
        <f>IFERROR(__xludf.DUMMYFUNCTION("""COMPUTED_VALUE"""),"09:52:00Z")</f>
        <v>09:52:00Z</v>
      </c>
      <c r="G31" s="11" t="str">
        <f t="shared" si="1"/>
        <v>09:52:00</v>
      </c>
      <c r="H31" s="10">
        <f>IFERROR(__xludf.DUMMYFUNCTION("SPLIT(D31,""T"")"),42853.0)</f>
        <v>42853</v>
      </c>
      <c r="I31" s="4" t="str">
        <f>IFERROR(__xludf.DUMMYFUNCTION("""COMPUTED_VALUE"""),"15:40:00Z")</f>
        <v>15:40:00Z</v>
      </c>
      <c r="J31" s="4" t="str">
        <f t="shared" si="2"/>
        <v>15:40:00</v>
      </c>
      <c r="K31" s="4">
        <f t="shared" si="3"/>
        <v>256</v>
      </c>
      <c r="L31" s="4">
        <f t="shared" si="4"/>
        <v>-0.2416666667</v>
      </c>
      <c r="M31" s="4">
        <f t="shared" si="5"/>
        <v>255.7583333</v>
      </c>
    </row>
    <row r="32">
      <c r="A32" s="4" t="s">
        <v>39</v>
      </c>
      <c r="B32" s="4" t="s">
        <v>1959</v>
      </c>
      <c r="C32" s="4" t="s">
        <v>2157</v>
      </c>
      <c r="D32" s="4" t="s">
        <v>2158</v>
      </c>
      <c r="E32" s="10">
        <f>IFERROR(__xludf.DUMMYFUNCTION("SPLIT(B32,""T"")"),43109.0)</f>
        <v>43109</v>
      </c>
      <c r="F32" s="4" t="str">
        <f>IFERROR(__xludf.DUMMYFUNCTION("""COMPUTED_VALUE"""),"09:52:00Z")</f>
        <v>09:52:00Z</v>
      </c>
      <c r="G32" s="11" t="str">
        <f t="shared" si="1"/>
        <v>09:52:00</v>
      </c>
      <c r="H32" s="10">
        <f>IFERROR(__xludf.DUMMYFUNCTION("SPLIT(D32,""T"")"),42854.0)</f>
        <v>42854</v>
      </c>
      <c r="I32" s="4" t="str">
        <f>IFERROR(__xludf.DUMMYFUNCTION("""COMPUTED_VALUE"""),"17:15:00Z")</f>
        <v>17:15:00Z</v>
      </c>
      <c r="J32" s="4" t="str">
        <f t="shared" si="2"/>
        <v>17:15:00</v>
      </c>
      <c r="K32" s="4">
        <f t="shared" si="3"/>
        <v>255</v>
      </c>
      <c r="L32" s="4">
        <f t="shared" si="4"/>
        <v>-0.3076388889</v>
      </c>
      <c r="M32" s="4">
        <f t="shared" si="5"/>
        <v>254.6923611</v>
      </c>
    </row>
    <row r="33">
      <c r="A33" s="4" t="s">
        <v>50</v>
      </c>
      <c r="B33" s="4" t="s">
        <v>3248</v>
      </c>
      <c r="C33" s="4" t="s">
        <v>2142</v>
      </c>
      <c r="D33" s="4" t="s">
        <v>3249</v>
      </c>
      <c r="E33" s="10">
        <f>IFERROR(__xludf.DUMMYFUNCTION("SPLIT(B33,""T"")"),43468.0)</f>
        <v>43468</v>
      </c>
      <c r="F33" s="4" t="str">
        <f>IFERROR(__xludf.DUMMYFUNCTION("""COMPUTED_VALUE"""),"15:23:00Z")</f>
        <v>15:23:00Z</v>
      </c>
      <c r="G33" s="11" t="str">
        <f t="shared" si="1"/>
        <v>15:23:00</v>
      </c>
      <c r="H33" s="10">
        <f>IFERROR(__xludf.DUMMYFUNCTION("SPLIT(D33,""T"")"),43214.0)</f>
        <v>43214</v>
      </c>
      <c r="I33" s="4" t="str">
        <f>IFERROR(__xludf.DUMMYFUNCTION("""COMPUTED_VALUE"""),"16:59:00Z")</f>
        <v>16:59:00Z</v>
      </c>
      <c r="J33" s="4" t="str">
        <f t="shared" si="2"/>
        <v>16:59:00</v>
      </c>
      <c r="K33" s="4">
        <f t="shared" si="3"/>
        <v>254</v>
      </c>
      <c r="L33" s="4">
        <f t="shared" si="4"/>
        <v>-0.06666666667</v>
      </c>
      <c r="M33" s="4">
        <f t="shared" si="5"/>
        <v>253.9333333</v>
      </c>
    </row>
    <row r="34">
      <c r="A34" s="4" t="s">
        <v>27</v>
      </c>
      <c r="B34" s="4" t="s">
        <v>1930</v>
      </c>
      <c r="C34" s="4" t="s">
        <v>1931</v>
      </c>
      <c r="D34" s="4" t="s">
        <v>1932</v>
      </c>
      <c r="E34" s="10">
        <f>IFERROR(__xludf.DUMMYFUNCTION("SPLIT(B34,""T"")"),43109.0)</f>
        <v>43109</v>
      </c>
      <c r="F34" s="4" t="str">
        <f>IFERROR(__xludf.DUMMYFUNCTION("""COMPUTED_VALUE"""),"09:53:00Z")</f>
        <v>09:53:00Z</v>
      </c>
      <c r="G34" s="11" t="str">
        <f t="shared" si="1"/>
        <v>09:53:00</v>
      </c>
      <c r="H34" s="10">
        <f>IFERROR(__xludf.DUMMYFUNCTION("SPLIT(D34,""T"")"),42855.0)</f>
        <v>42855</v>
      </c>
      <c r="I34" s="4" t="str">
        <f>IFERROR(__xludf.DUMMYFUNCTION("""COMPUTED_VALUE"""),"15:23:00Z")</f>
        <v>15:23:00Z</v>
      </c>
      <c r="J34" s="4" t="str">
        <f t="shared" si="2"/>
        <v>15:23:00</v>
      </c>
      <c r="K34" s="4">
        <f t="shared" si="3"/>
        <v>254</v>
      </c>
      <c r="L34" s="4">
        <f t="shared" si="4"/>
        <v>-0.2291666667</v>
      </c>
      <c r="M34" s="4">
        <f t="shared" si="5"/>
        <v>253.7708333</v>
      </c>
    </row>
    <row r="35">
      <c r="A35" s="4" t="s">
        <v>134</v>
      </c>
      <c r="B35" s="4" t="s">
        <v>1930</v>
      </c>
      <c r="C35" s="4" t="s">
        <v>2138</v>
      </c>
      <c r="D35" s="4" t="s">
        <v>2139</v>
      </c>
      <c r="E35" s="10">
        <f>IFERROR(__xludf.DUMMYFUNCTION("SPLIT(B35,""T"")"),43109.0)</f>
        <v>43109</v>
      </c>
      <c r="F35" s="4" t="str">
        <f>IFERROR(__xludf.DUMMYFUNCTION("""COMPUTED_VALUE"""),"09:53:00Z")</f>
        <v>09:53:00Z</v>
      </c>
      <c r="G35" s="11" t="str">
        <f t="shared" si="1"/>
        <v>09:53:00</v>
      </c>
      <c r="H35" s="10">
        <f>IFERROR(__xludf.DUMMYFUNCTION("SPLIT(D35,""T"")"),42855.0)</f>
        <v>42855</v>
      </c>
      <c r="I35" s="4" t="str">
        <f>IFERROR(__xludf.DUMMYFUNCTION("""COMPUTED_VALUE"""),"16:03:00Z")</f>
        <v>16:03:00Z</v>
      </c>
      <c r="J35" s="4" t="str">
        <f t="shared" si="2"/>
        <v>16:03:00</v>
      </c>
      <c r="K35" s="4">
        <f t="shared" si="3"/>
        <v>254</v>
      </c>
      <c r="L35" s="4">
        <f t="shared" si="4"/>
        <v>-0.2569444444</v>
      </c>
      <c r="M35" s="4">
        <f t="shared" si="5"/>
        <v>253.7430556</v>
      </c>
    </row>
    <row r="36">
      <c r="A36" s="4" t="s">
        <v>27</v>
      </c>
      <c r="B36" s="4" t="s">
        <v>2154</v>
      </c>
      <c r="C36" s="4" t="s">
        <v>2582</v>
      </c>
      <c r="D36" s="4" t="s">
        <v>2583</v>
      </c>
      <c r="E36" s="10">
        <f>IFERROR(__xludf.DUMMYFUNCTION("SPLIT(B36,""T"")"),43109.0)</f>
        <v>43109</v>
      </c>
      <c r="F36" s="4" t="str">
        <f>IFERROR(__xludf.DUMMYFUNCTION("""COMPUTED_VALUE"""),"09:54:00Z")</f>
        <v>09:54:00Z</v>
      </c>
      <c r="G36" s="11" t="str">
        <f t="shared" si="1"/>
        <v>09:54:00</v>
      </c>
      <c r="H36" s="10">
        <f>IFERROR(__xludf.DUMMYFUNCTION("SPLIT(D36,""T"")"),42855.0)</f>
        <v>42855</v>
      </c>
      <c r="I36" s="4" t="str">
        <f>IFERROR(__xludf.DUMMYFUNCTION("""COMPUTED_VALUE"""),"19:43:00Z")</f>
        <v>19:43:00Z</v>
      </c>
      <c r="J36" s="4" t="str">
        <f t="shared" si="2"/>
        <v>19:43:00</v>
      </c>
      <c r="K36" s="4">
        <f t="shared" si="3"/>
        <v>254</v>
      </c>
      <c r="L36" s="4">
        <f t="shared" si="4"/>
        <v>-0.4090277778</v>
      </c>
      <c r="M36" s="4">
        <f t="shared" si="5"/>
        <v>253.5909722</v>
      </c>
    </row>
    <row r="37">
      <c r="A37" s="4" t="s">
        <v>69</v>
      </c>
      <c r="B37" s="4" t="s">
        <v>2154</v>
      </c>
      <c r="C37" s="4" t="s">
        <v>2008</v>
      </c>
      <c r="D37" s="4" t="s">
        <v>2526</v>
      </c>
      <c r="E37" s="10">
        <f>IFERROR(__xludf.DUMMYFUNCTION("SPLIT(B37,""T"")"),43109.0)</f>
        <v>43109</v>
      </c>
      <c r="F37" s="4" t="str">
        <f>IFERROR(__xludf.DUMMYFUNCTION("""COMPUTED_VALUE"""),"09:54:00Z")</f>
        <v>09:54:00Z</v>
      </c>
      <c r="G37" s="11" t="str">
        <f t="shared" si="1"/>
        <v>09:54:00</v>
      </c>
      <c r="H37" s="10">
        <f>IFERROR(__xludf.DUMMYFUNCTION("SPLIT(D37,""T"")"),42856.0)</f>
        <v>42856</v>
      </c>
      <c r="I37" s="4" t="str">
        <f>IFERROR(__xludf.DUMMYFUNCTION("""COMPUTED_VALUE"""),"12:44:00Z")</f>
        <v>12:44:00Z</v>
      </c>
      <c r="J37" s="4" t="str">
        <f t="shared" si="2"/>
        <v>12:44:00</v>
      </c>
      <c r="K37" s="4">
        <f t="shared" si="3"/>
        <v>253</v>
      </c>
      <c r="L37" s="4">
        <f t="shared" si="4"/>
        <v>-0.1180555556</v>
      </c>
      <c r="M37" s="4">
        <f t="shared" si="5"/>
        <v>252.8819444</v>
      </c>
    </row>
    <row r="38">
      <c r="A38" s="4" t="s">
        <v>138</v>
      </c>
      <c r="B38" s="4" t="s">
        <v>3157</v>
      </c>
      <c r="C38" s="4" t="s">
        <v>542</v>
      </c>
      <c r="D38" s="4" t="s">
        <v>3158</v>
      </c>
      <c r="E38" s="10">
        <f>IFERROR(__xludf.DUMMYFUNCTION("SPLIT(B38,""T"")"),43469.0)</f>
        <v>43469</v>
      </c>
      <c r="F38" s="4" t="str">
        <f>IFERROR(__xludf.DUMMYFUNCTION("""COMPUTED_VALUE"""),"10:27:00Z")</f>
        <v>10:27:00Z</v>
      </c>
      <c r="G38" s="11" t="str">
        <f t="shared" si="1"/>
        <v>10:27:00</v>
      </c>
      <c r="H38" s="10">
        <f>IFERROR(__xludf.DUMMYFUNCTION("SPLIT(D38,""T"")"),43216.0)</f>
        <v>43216</v>
      </c>
      <c r="I38" s="4" t="str">
        <f>IFERROR(__xludf.DUMMYFUNCTION("""COMPUTED_VALUE"""),"15:00:00Z")</f>
        <v>15:00:00Z</v>
      </c>
      <c r="J38" s="4" t="str">
        <f t="shared" si="2"/>
        <v>15:00:00</v>
      </c>
      <c r="K38" s="4">
        <f t="shared" si="3"/>
        <v>253</v>
      </c>
      <c r="L38" s="4">
        <f t="shared" si="4"/>
        <v>-0.1895833333</v>
      </c>
      <c r="M38" s="4">
        <f t="shared" si="5"/>
        <v>252.8104167</v>
      </c>
    </row>
    <row r="39">
      <c r="A39" s="4" t="s">
        <v>149</v>
      </c>
      <c r="B39" s="4" t="s">
        <v>2154</v>
      </c>
      <c r="C39" s="4" t="s">
        <v>238</v>
      </c>
      <c r="D39" s="4" t="s">
        <v>2155</v>
      </c>
      <c r="E39" s="10">
        <f>IFERROR(__xludf.DUMMYFUNCTION("SPLIT(B39,""T"")"),43109.0)</f>
        <v>43109</v>
      </c>
      <c r="F39" s="4" t="str">
        <f>IFERROR(__xludf.DUMMYFUNCTION("""COMPUTED_VALUE"""),"09:54:00Z")</f>
        <v>09:54:00Z</v>
      </c>
      <c r="G39" s="11" t="str">
        <f t="shared" si="1"/>
        <v>09:54:00</v>
      </c>
      <c r="H39" s="10">
        <f>IFERROR(__xludf.DUMMYFUNCTION("SPLIT(D39,""T"")"),42857.0)</f>
        <v>42857</v>
      </c>
      <c r="I39" s="4" t="str">
        <f>IFERROR(__xludf.DUMMYFUNCTION("""COMPUTED_VALUE"""),"14:32:00Z")</f>
        <v>14:32:00Z</v>
      </c>
      <c r="J39" s="4" t="str">
        <f t="shared" si="2"/>
        <v>14:32:00</v>
      </c>
      <c r="K39" s="4">
        <f t="shared" si="3"/>
        <v>252</v>
      </c>
      <c r="L39" s="4">
        <f t="shared" si="4"/>
        <v>-0.1930555556</v>
      </c>
      <c r="M39" s="4">
        <f t="shared" si="5"/>
        <v>251.8069444</v>
      </c>
    </row>
    <row r="40">
      <c r="A40" s="4" t="s">
        <v>27</v>
      </c>
      <c r="B40" s="4" t="s">
        <v>2741</v>
      </c>
      <c r="C40" s="4" t="s">
        <v>2987</v>
      </c>
      <c r="D40" s="4" t="s">
        <v>2988</v>
      </c>
      <c r="E40" s="10">
        <f>IFERROR(__xludf.DUMMYFUNCTION("SPLIT(B40,""T"")"),43469.0)</f>
        <v>43469</v>
      </c>
      <c r="F40" s="4" t="str">
        <f>IFERROR(__xludf.DUMMYFUNCTION("""COMPUTED_VALUE"""),"10:26:00Z")</f>
        <v>10:26:00Z</v>
      </c>
      <c r="G40" s="11" t="str">
        <f t="shared" si="1"/>
        <v>10:26:00</v>
      </c>
      <c r="H40" s="10">
        <f>IFERROR(__xludf.DUMMYFUNCTION("SPLIT(D40,""T"")"),43218.0)</f>
        <v>43218</v>
      </c>
      <c r="I40" s="4" t="str">
        <f>IFERROR(__xludf.DUMMYFUNCTION("""COMPUTED_VALUE"""),"14:26:00Z")</f>
        <v>14:26:00Z</v>
      </c>
      <c r="J40" s="4" t="str">
        <f t="shared" si="2"/>
        <v>14:26:00</v>
      </c>
      <c r="K40" s="4">
        <f t="shared" si="3"/>
        <v>251</v>
      </c>
      <c r="L40" s="4">
        <f t="shared" si="4"/>
        <v>-0.1666666667</v>
      </c>
      <c r="M40" s="4">
        <f t="shared" si="5"/>
        <v>250.8333333</v>
      </c>
    </row>
    <row r="41">
      <c r="A41" s="4" t="s">
        <v>282</v>
      </c>
      <c r="B41" s="4" t="s">
        <v>2741</v>
      </c>
      <c r="C41" s="4" t="s">
        <v>2742</v>
      </c>
      <c r="D41" s="4" t="s">
        <v>2743</v>
      </c>
      <c r="E41" s="10">
        <f>IFERROR(__xludf.DUMMYFUNCTION("SPLIT(B41,""T"")"),43469.0)</f>
        <v>43469</v>
      </c>
      <c r="F41" s="4" t="str">
        <f>IFERROR(__xludf.DUMMYFUNCTION("""COMPUTED_VALUE"""),"10:26:00Z")</f>
        <v>10:26:00Z</v>
      </c>
      <c r="G41" s="11" t="str">
        <f t="shared" si="1"/>
        <v>10:26:00</v>
      </c>
      <c r="H41" s="10">
        <f>IFERROR(__xludf.DUMMYFUNCTION("SPLIT(D41,""T"")"),43222.0)</f>
        <v>43222</v>
      </c>
      <c r="I41" s="4" t="str">
        <f>IFERROR(__xludf.DUMMYFUNCTION("""COMPUTED_VALUE"""),"16:00:00Z")</f>
        <v>16:00:00Z</v>
      </c>
      <c r="J41" s="4" t="str">
        <f t="shared" si="2"/>
        <v>16:00:00</v>
      </c>
      <c r="K41" s="4">
        <f t="shared" si="3"/>
        <v>247</v>
      </c>
      <c r="L41" s="4">
        <f t="shared" si="4"/>
        <v>-0.2319444444</v>
      </c>
      <c r="M41" s="4">
        <f t="shared" si="5"/>
        <v>246.7680556</v>
      </c>
    </row>
    <row r="42" hidden="1">
      <c r="A42" s="4" t="s">
        <v>134</v>
      </c>
      <c r="B42" s="4" t="s">
        <v>160</v>
      </c>
      <c r="C42" s="4" t="s">
        <v>161</v>
      </c>
      <c r="D42" s="4" t="s">
        <v>160</v>
      </c>
      <c r="E42" s="10">
        <f>IFERROR(__xludf.DUMMYFUNCTION("SPLIT(B42,""T"")"),41506.0)</f>
        <v>41506</v>
      </c>
      <c r="F42" s="4" t="str">
        <f>IFERROR(__xludf.DUMMYFUNCTION("""COMPUTED_VALUE"""),"13:32:00Z")</f>
        <v>13:32:00Z</v>
      </c>
      <c r="G42" s="11" t="str">
        <f t="shared" si="1"/>
        <v>13:32:00</v>
      </c>
      <c r="H42" s="10">
        <f>IFERROR(__xludf.DUMMYFUNCTION("SPLIT(D42,""T"")"),41506.0)</f>
        <v>41506</v>
      </c>
      <c r="I42" s="4" t="str">
        <f>IFERROR(__xludf.DUMMYFUNCTION("""COMPUTED_VALUE"""),"13:32:00Z")</f>
        <v>13:32:00Z</v>
      </c>
      <c r="J42" s="4" t="str">
        <f t="shared" si="2"/>
        <v>13:32:00</v>
      </c>
      <c r="K42" s="4">
        <f t="shared" si="3"/>
        <v>0</v>
      </c>
      <c r="L42" s="4">
        <f t="shared" si="4"/>
        <v>0</v>
      </c>
      <c r="M42" s="4">
        <f t="shared" si="5"/>
        <v>0</v>
      </c>
    </row>
    <row r="43">
      <c r="A43" s="4" t="s">
        <v>149</v>
      </c>
      <c r="B43" s="4" t="s">
        <v>2033</v>
      </c>
      <c r="C43" s="4" t="s">
        <v>2580</v>
      </c>
      <c r="D43" s="4" t="s">
        <v>2581</v>
      </c>
      <c r="E43" s="10">
        <f>IFERROR(__xludf.DUMMYFUNCTION("SPLIT(B43,""T"")"),43109.0)</f>
        <v>43109</v>
      </c>
      <c r="F43" s="4" t="str">
        <f>IFERROR(__xludf.DUMMYFUNCTION("""COMPUTED_VALUE"""),"09:55:00Z")</f>
        <v>09:55:00Z</v>
      </c>
      <c r="G43" s="11" t="str">
        <f t="shared" si="1"/>
        <v>09:55:00</v>
      </c>
      <c r="H43" s="10">
        <f>IFERROR(__xludf.DUMMYFUNCTION("SPLIT(D43,""T"")"),42862.0)</f>
        <v>42862</v>
      </c>
      <c r="I43" s="4" t="str">
        <f>IFERROR(__xludf.DUMMYFUNCTION("""COMPUTED_VALUE"""),"16:41:00Z")</f>
        <v>16:41:00Z</v>
      </c>
      <c r="J43" s="4" t="str">
        <f t="shared" si="2"/>
        <v>16:41:00</v>
      </c>
      <c r="K43" s="4">
        <f t="shared" si="3"/>
        <v>247</v>
      </c>
      <c r="L43" s="4">
        <f t="shared" si="4"/>
        <v>-0.2819444444</v>
      </c>
      <c r="M43" s="4">
        <f t="shared" si="5"/>
        <v>246.7180556</v>
      </c>
    </row>
    <row r="44">
      <c r="A44" s="4" t="s">
        <v>62</v>
      </c>
      <c r="B44" s="4" t="s">
        <v>2741</v>
      </c>
      <c r="C44" s="4" t="s">
        <v>2826</v>
      </c>
      <c r="D44" s="4" t="s">
        <v>2827</v>
      </c>
      <c r="E44" s="10">
        <f>IFERROR(__xludf.DUMMYFUNCTION("SPLIT(B44,""T"")"),43469.0)</f>
        <v>43469</v>
      </c>
      <c r="F44" s="4" t="str">
        <f>IFERROR(__xludf.DUMMYFUNCTION("""COMPUTED_VALUE"""),"10:26:00Z")</f>
        <v>10:26:00Z</v>
      </c>
      <c r="G44" s="11" t="str">
        <f t="shared" si="1"/>
        <v>10:26:00</v>
      </c>
      <c r="H44" s="10">
        <f>IFERROR(__xludf.DUMMYFUNCTION("SPLIT(D44,""T"")"),43224.0)</f>
        <v>43224</v>
      </c>
      <c r="I44" s="4" t="str">
        <f>IFERROR(__xludf.DUMMYFUNCTION("""COMPUTED_VALUE"""),"11:44:00Z")</f>
        <v>11:44:00Z</v>
      </c>
      <c r="J44" s="4" t="str">
        <f t="shared" si="2"/>
        <v>11:44:00</v>
      </c>
      <c r="K44" s="4">
        <f t="shared" si="3"/>
        <v>245</v>
      </c>
      <c r="L44" s="4">
        <f t="shared" si="4"/>
        <v>-0.05416666667</v>
      </c>
      <c r="M44" s="4">
        <f t="shared" si="5"/>
        <v>244.9458333</v>
      </c>
    </row>
    <row r="45">
      <c r="A45" s="4" t="s">
        <v>27</v>
      </c>
      <c r="B45" s="4" t="s">
        <v>2741</v>
      </c>
      <c r="C45" s="4" t="s">
        <v>2993</v>
      </c>
      <c r="D45" s="4" t="s">
        <v>2994</v>
      </c>
      <c r="E45" s="10">
        <f>IFERROR(__xludf.DUMMYFUNCTION("SPLIT(B45,""T"")"),43469.0)</f>
        <v>43469</v>
      </c>
      <c r="F45" s="4" t="str">
        <f>IFERROR(__xludf.DUMMYFUNCTION("""COMPUTED_VALUE"""),"10:26:00Z")</f>
        <v>10:26:00Z</v>
      </c>
      <c r="G45" s="11" t="str">
        <f t="shared" si="1"/>
        <v>10:26:00</v>
      </c>
      <c r="H45" s="10">
        <f>IFERROR(__xludf.DUMMYFUNCTION("SPLIT(D45,""T"")"),43224.0)</f>
        <v>43224</v>
      </c>
      <c r="I45" s="4" t="str">
        <f>IFERROR(__xludf.DUMMYFUNCTION("""COMPUTED_VALUE"""),"14:48:00Z")</f>
        <v>14:48:00Z</v>
      </c>
      <c r="J45" s="4" t="str">
        <f t="shared" si="2"/>
        <v>14:48:00</v>
      </c>
      <c r="K45" s="4">
        <f t="shared" si="3"/>
        <v>245</v>
      </c>
      <c r="L45" s="4">
        <f t="shared" si="4"/>
        <v>-0.1819444444</v>
      </c>
      <c r="M45" s="4">
        <f t="shared" si="5"/>
        <v>244.8180556</v>
      </c>
    </row>
    <row r="46">
      <c r="A46" s="4" t="s">
        <v>27</v>
      </c>
      <c r="B46" s="4" t="s">
        <v>2741</v>
      </c>
      <c r="C46" s="4" t="s">
        <v>3176</v>
      </c>
      <c r="D46" s="4" t="s">
        <v>3177</v>
      </c>
      <c r="E46" s="10">
        <f>IFERROR(__xludf.DUMMYFUNCTION("SPLIT(B46,""T"")"),43469.0)</f>
        <v>43469</v>
      </c>
      <c r="F46" s="4" t="str">
        <f>IFERROR(__xludf.DUMMYFUNCTION("""COMPUTED_VALUE"""),"10:26:00Z")</f>
        <v>10:26:00Z</v>
      </c>
      <c r="G46" s="11" t="str">
        <f t="shared" si="1"/>
        <v>10:26:00</v>
      </c>
      <c r="H46" s="10">
        <f>IFERROR(__xludf.DUMMYFUNCTION("SPLIT(D46,""T"")"),43224.0)</f>
        <v>43224</v>
      </c>
      <c r="I46" s="4" t="str">
        <f>IFERROR(__xludf.DUMMYFUNCTION("""COMPUTED_VALUE"""),"18:53:00Z")</f>
        <v>18:53:00Z</v>
      </c>
      <c r="J46" s="4" t="str">
        <f t="shared" si="2"/>
        <v>18:53:00</v>
      </c>
      <c r="K46" s="4">
        <f t="shared" si="3"/>
        <v>245</v>
      </c>
      <c r="L46" s="4">
        <f t="shared" si="4"/>
        <v>-0.3520833333</v>
      </c>
      <c r="M46" s="4">
        <f t="shared" si="5"/>
        <v>244.6479167</v>
      </c>
    </row>
    <row r="47">
      <c r="A47" s="4" t="s">
        <v>23</v>
      </c>
      <c r="B47" s="4" t="s">
        <v>1807</v>
      </c>
      <c r="C47" s="4" t="s">
        <v>329</v>
      </c>
      <c r="D47" s="4" t="s">
        <v>1808</v>
      </c>
      <c r="E47" s="10">
        <f>IFERROR(__xludf.DUMMYFUNCTION("SPLIT(B47,""T"")"),43318.0)</f>
        <v>43318</v>
      </c>
      <c r="F47" s="4" t="str">
        <f>IFERROR(__xludf.DUMMYFUNCTION("""COMPUTED_VALUE"""),"10:52:00Z")</f>
        <v>10:52:00Z</v>
      </c>
      <c r="G47" s="11" t="str">
        <f t="shared" si="1"/>
        <v>10:52:00</v>
      </c>
      <c r="H47" s="10">
        <f>IFERROR(__xludf.DUMMYFUNCTION("SPLIT(D47,""T"")"),43074.0)</f>
        <v>43074</v>
      </c>
      <c r="I47" s="4" t="str">
        <f>IFERROR(__xludf.DUMMYFUNCTION("""COMPUTED_VALUE"""),"03:44:00Z")</f>
        <v>03:44:00Z</v>
      </c>
      <c r="J47" s="4" t="str">
        <f t="shared" si="2"/>
        <v>03:44:00</v>
      </c>
      <c r="K47" s="4">
        <f t="shared" si="3"/>
        <v>244</v>
      </c>
      <c r="L47" s="4">
        <f t="shared" si="4"/>
        <v>0.2972222222</v>
      </c>
      <c r="M47" s="4">
        <f t="shared" si="5"/>
        <v>244.2972222</v>
      </c>
    </row>
    <row r="48">
      <c r="A48" s="4" t="s">
        <v>39</v>
      </c>
      <c r="B48" s="4" t="s">
        <v>2033</v>
      </c>
      <c r="C48" s="4" t="s">
        <v>2034</v>
      </c>
      <c r="D48" s="4" t="s">
        <v>2035</v>
      </c>
      <c r="E48" s="10">
        <f>IFERROR(__xludf.DUMMYFUNCTION("SPLIT(B48,""T"")"),43109.0)</f>
        <v>43109</v>
      </c>
      <c r="F48" s="4" t="str">
        <f>IFERROR(__xludf.DUMMYFUNCTION("""COMPUTED_VALUE"""),"09:55:00Z")</f>
        <v>09:55:00Z</v>
      </c>
      <c r="G48" s="11" t="str">
        <f t="shared" si="1"/>
        <v>09:55:00</v>
      </c>
      <c r="H48" s="10">
        <f>IFERROR(__xludf.DUMMYFUNCTION("SPLIT(D48,""T"")"),42865.0)</f>
        <v>42865</v>
      </c>
      <c r="I48" s="4" t="str">
        <f>IFERROR(__xludf.DUMMYFUNCTION("""COMPUTED_VALUE"""),"15:27:00Z")</f>
        <v>15:27:00Z</v>
      </c>
      <c r="J48" s="4" t="str">
        <f t="shared" si="2"/>
        <v>15:27:00</v>
      </c>
      <c r="K48" s="4">
        <f t="shared" si="3"/>
        <v>244</v>
      </c>
      <c r="L48" s="4">
        <f t="shared" si="4"/>
        <v>-0.2305555556</v>
      </c>
      <c r="M48" s="4">
        <f t="shared" si="5"/>
        <v>243.7694444</v>
      </c>
    </row>
    <row r="49">
      <c r="A49" s="4" t="s">
        <v>69</v>
      </c>
      <c r="B49" s="4" t="s">
        <v>2033</v>
      </c>
      <c r="C49" s="4" t="s">
        <v>2436</v>
      </c>
      <c r="D49" s="4" t="s">
        <v>2437</v>
      </c>
      <c r="E49" s="10">
        <f>IFERROR(__xludf.DUMMYFUNCTION("SPLIT(B49,""T"")"),43109.0)</f>
        <v>43109</v>
      </c>
      <c r="F49" s="4" t="str">
        <f>IFERROR(__xludf.DUMMYFUNCTION("""COMPUTED_VALUE"""),"09:55:00Z")</f>
        <v>09:55:00Z</v>
      </c>
      <c r="G49" s="11" t="str">
        <f t="shared" si="1"/>
        <v>09:55:00</v>
      </c>
      <c r="H49" s="10">
        <f>IFERROR(__xludf.DUMMYFUNCTION("SPLIT(D49,""T"")"),42867.0)</f>
        <v>42867</v>
      </c>
      <c r="I49" s="4" t="str">
        <f>IFERROR(__xludf.DUMMYFUNCTION("""COMPUTED_VALUE"""),"05:05:00Z")</f>
        <v>05:05:00Z</v>
      </c>
      <c r="J49" s="4" t="str">
        <f t="shared" si="2"/>
        <v>05:05:00</v>
      </c>
      <c r="K49" s="4">
        <f t="shared" si="3"/>
        <v>242</v>
      </c>
      <c r="L49" s="4">
        <f t="shared" si="4"/>
        <v>0.2013888889</v>
      </c>
      <c r="M49" s="4">
        <f t="shared" si="5"/>
        <v>242.2013889</v>
      </c>
    </row>
    <row r="50">
      <c r="A50" s="4" t="s">
        <v>282</v>
      </c>
      <c r="B50" s="4" t="s">
        <v>1903</v>
      </c>
      <c r="C50" s="4" t="s">
        <v>1904</v>
      </c>
      <c r="D50" s="4" t="s">
        <v>1905</v>
      </c>
      <c r="E50" s="10">
        <f>IFERROR(__xludf.DUMMYFUNCTION("SPLIT(B50,""T"")"),43109.0)</f>
        <v>43109</v>
      </c>
      <c r="F50" s="4" t="str">
        <f>IFERROR(__xludf.DUMMYFUNCTION("""COMPUTED_VALUE"""),"09:56:00Z")</f>
        <v>09:56:00Z</v>
      </c>
      <c r="G50" s="11" t="str">
        <f t="shared" si="1"/>
        <v>09:56:00</v>
      </c>
      <c r="H50" s="10">
        <f>IFERROR(__xludf.DUMMYFUNCTION("SPLIT(D50,""T"")"),42867.0)</f>
        <v>42867</v>
      </c>
      <c r="I50" s="4" t="str">
        <f>IFERROR(__xludf.DUMMYFUNCTION("""COMPUTED_VALUE"""),"15:30:00Z")</f>
        <v>15:30:00Z</v>
      </c>
      <c r="J50" s="4" t="str">
        <f t="shared" si="2"/>
        <v>15:30:00</v>
      </c>
      <c r="K50" s="4">
        <f t="shared" si="3"/>
        <v>242</v>
      </c>
      <c r="L50" s="4">
        <f t="shared" si="4"/>
        <v>-0.2319444444</v>
      </c>
      <c r="M50" s="4">
        <f t="shared" si="5"/>
        <v>241.7680556</v>
      </c>
    </row>
    <row r="51">
      <c r="A51" s="4" t="s">
        <v>114</v>
      </c>
      <c r="B51" s="4" t="s">
        <v>1903</v>
      </c>
      <c r="C51" s="4" t="s">
        <v>2515</v>
      </c>
      <c r="D51" s="4" t="s">
        <v>2516</v>
      </c>
      <c r="E51" s="10">
        <f>IFERROR(__xludf.DUMMYFUNCTION("SPLIT(B51,""T"")"),43109.0)</f>
        <v>43109</v>
      </c>
      <c r="F51" s="4" t="str">
        <f>IFERROR(__xludf.DUMMYFUNCTION("""COMPUTED_VALUE"""),"09:56:00Z")</f>
        <v>09:56:00Z</v>
      </c>
      <c r="G51" s="11" t="str">
        <f t="shared" si="1"/>
        <v>09:56:00</v>
      </c>
      <c r="H51" s="10">
        <f>IFERROR(__xludf.DUMMYFUNCTION("SPLIT(D51,""T"")"),42869.0)</f>
        <v>42869</v>
      </c>
      <c r="I51" s="4" t="str">
        <f>IFERROR(__xludf.DUMMYFUNCTION("""COMPUTED_VALUE"""),"12:00:00Z")</f>
        <v>12:00:00Z</v>
      </c>
      <c r="J51" s="4" t="str">
        <f t="shared" si="2"/>
        <v>12:00:00</v>
      </c>
      <c r="K51" s="4">
        <f t="shared" si="3"/>
        <v>240</v>
      </c>
      <c r="L51" s="4">
        <f t="shared" si="4"/>
        <v>-0.08611111111</v>
      </c>
      <c r="M51" s="4">
        <f t="shared" si="5"/>
        <v>239.9138889</v>
      </c>
    </row>
    <row r="52">
      <c r="A52" s="4" t="s">
        <v>27</v>
      </c>
      <c r="B52" s="4" t="s">
        <v>1903</v>
      </c>
      <c r="C52" s="4" t="s">
        <v>1278</v>
      </c>
      <c r="D52" s="4" t="s">
        <v>2543</v>
      </c>
      <c r="E52" s="10">
        <f>IFERROR(__xludf.DUMMYFUNCTION("SPLIT(B52,""T"")"),43109.0)</f>
        <v>43109</v>
      </c>
      <c r="F52" s="4" t="str">
        <f>IFERROR(__xludf.DUMMYFUNCTION("""COMPUTED_VALUE"""),"09:56:00Z")</f>
        <v>09:56:00Z</v>
      </c>
      <c r="G52" s="11" t="str">
        <f t="shared" si="1"/>
        <v>09:56:00</v>
      </c>
      <c r="H52" s="10">
        <f>IFERROR(__xludf.DUMMYFUNCTION("SPLIT(D52,""T"")"),42869.0)</f>
        <v>42869</v>
      </c>
      <c r="I52" s="4" t="str">
        <f>IFERROR(__xludf.DUMMYFUNCTION("""COMPUTED_VALUE"""),"12:51:00Z")</f>
        <v>12:51:00Z</v>
      </c>
      <c r="J52" s="4" t="str">
        <f t="shared" si="2"/>
        <v>12:51:00</v>
      </c>
      <c r="K52" s="4">
        <f t="shared" si="3"/>
        <v>240</v>
      </c>
      <c r="L52" s="4">
        <f t="shared" si="4"/>
        <v>-0.1215277778</v>
      </c>
      <c r="M52" s="4">
        <f t="shared" si="5"/>
        <v>239.8784722</v>
      </c>
    </row>
    <row r="53">
      <c r="A53" s="4" t="s">
        <v>69</v>
      </c>
      <c r="B53" s="4" t="s">
        <v>2084</v>
      </c>
      <c r="C53" s="4" t="s">
        <v>2372</v>
      </c>
      <c r="D53" s="4" t="s">
        <v>2373</v>
      </c>
      <c r="E53" s="10">
        <f>IFERROR(__xludf.DUMMYFUNCTION("SPLIT(B53,""T"")"),43109.0)</f>
        <v>43109</v>
      </c>
      <c r="F53" s="4" t="str">
        <f>IFERROR(__xludf.DUMMYFUNCTION("""COMPUTED_VALUE"""),"09:57:00Z")</f>
        <v>09:57:00Z</v>
      </c>
      <c r="G53" s="11" t="str">
        <f t="shared" si="1"/>
        <v>09:57:00</v>
      </c>
      <c r="H53" s="10">
        <f>IFERROR(__xludf.DUMMYFUNCTION("SPLIT(D53,""T"")"),42869.0)</f>
        <v>42869</v>
      </c>
      <c r="I53" s="4" t="str">
        <f>IFERROR(__xludf.DUMMYFUNCTION("""COMPUTED_VALUE"""),"14:00:00Z")</f>
        <v>14:00:00Z</v>
      </c>
      <c r="J53" s="4" t="str">
        <f t="shared" si="2"/>
        <v>14:00:00</v>
      </c>
      <c r="K53" s="4">
        <f t="shared" si="3"/>
        <v>240</v>
      </c>
      <c r="L53" s="4">
        <f t="shared" si="4"/>
        <v>-0.16875</v>
      </c>
      <c r="M53" s="4">
        <f t="shared" si="5"/>
        <v>239.83125</v>
      </c>
    </row>
    <row r="54">
      <c r="A54" s="4" t="s">
        <v>46</v>
      </c>
      <c r="B54" s="4" t="s">
        <v>2828</v>
      </c>
      <c r="C54" s="4" t="s">
        <v>2921</v>
      </c>
      <c r="D54" s="4" t="s">
        <v>2922</v>
      </c>
      <c r="E54" s="10">
        <f>IFERROR(__xludf.DUMMYFUNCTION("SPLIT(B54,""T"")"),43469.0)</f>
        <v>43469</v>
      </c>
      <c r="F54" s="4" t="str">
        <f>IFERROR(__xludf.DUMMYFUNCTION("""COMPUTED_VALUE"""),"10:25:00Z")</f>
        <v>10:25:00Z</v>
      </c>
      <c r="G54" s="11" t="str">
        <f t="shared" si="1"/>
        <v>10:25:00</v>
      </c>
      <c r="H54" s="10">
        <f>IFERROR(__xludf.DUMMYFUNCTION("SPLIT(D54,""T"")"),43229.0)</f>
        <v>43229</v>
      </c>
      <c r="I54" s="4" t="str">
        <f>IFERROR(__xludf.DUMMYFUNCTION("""COMPUTED_VALUE"""),"18:11:00Z")</f>
        <v>18:11:00Z</v>
      </c>
      <c r="J54" s="4" t="str">
        <f t="shared" si="2"/>
        <v>18:11:00</v>
      </c>
      <c r="K54" s="4">
        <f t="shared" si="3"/>
        <v>240</v>
      </c>
      <c r="L54" s="4">
        <f t="shared" si="4"/>
        <v>-0.3236111111</v>
      </c>
      <c r="M54" s="4">
        <f t="shared" si="5"/>
        <v>239.6763889</v>
      </c>
    </row>
    <row r="55">
      <c r="A55" s="4" t="s">
        <v>62</v>
      </c>
      <c r="B55" s="4" t="s">
        <v>2741</v>
      </c>
      <c r="C55" s="4" t="s">
        <v>3159</v>
      </c>
      <c r="D55" s="4" t="s">
        <v>3160</v>
      </c>
      <c r="E55" s="10">
        <f>IFERROR(__xludf.DUMMYFUNCTION("SPLIT(B55,""T"")"),43469.0)</f>
        <v>43469</v>
      </c>
      <c r="F55" s="4" t="str">
        <f>IFERROR(__xludf.DUMMYFUNCTION("""COMPUTED_VALUE"""),"10:26:00Z")</f>
        <v>10:26:00Z</v>
      </c>
      <c r="G55" s="11" t="str">
        <f t="shared" si="1"/>
        <v>10:26:00</v>
      </c>
      <c r="H55" s="10">
        <f>IFERROR(__xludf.DUMMYFUNCTION("SPLIT(D55,""T"")"),43229.0)</f>
        <v>43229</v>
      </c>
      <c r="I55" s="4" t="str">
        <f>IFERROR(__xludf.DUMMYFUNCTION("""COMPUTED_VALUE"""),"22:00:00Z")</f>
        <v>22:00:00Z</v>
      </c>
      <c r="J55" s="4" t="str">
        <f t="shared" si="2"/>
        <v>22:00:00</v>
      </c>
      <c r="K55" s="4">
        <f t="shared" si="3"/>
        <v>240</v>
      </c>
      <c r="L55" s="4">
        <f t="shared" si="4"/>
        <v>-0.4819444444</v>
      </c>
      <c r="M55" s="4">
        <f t="shared" si="5"/>
        <v>239.5180556</v>
      </c>
    </row>
    <row r="56">
      <c r="A56" s="4" t="s">
        <v>149</v>
      </c>
      <c r="B56" s="4" t="s">
        <v>2084</v>
      </c>
      <c r="C56" s="4" t="s">
        <v>2085</v>
      </c>
      <c r="D56" s="4" t="s">
        <v>2086</v>
      </c>
      <c r="E56" s="10">
        <f>IFERROR(__xludf.DUMMYFUNCTION("SPLIT(B56,""T"")"),43109.0)</f>
        <v>43109</v>
      </c>
      <c r="F56" s="4" t="str">
        <f>IFERROR(__xludf.DUMMYFUNCTION("""COMPUTED_VALUE"""),"09:57:00Z")</f>
        <v>09:57:00Z</v>
      </c>
      <c r="G56" s="11" t="str">
        <f t="shared" si="1"/>
        <v>09:57:00</v>
      </c>
      <c r="H56" s="10">
        <f>IFERROR(__xludf.DUMMYFUNCTION("SPLIT(D56,""T"")"),42870.0)</f>
        <v>42870</v>
      </c>
      <c r="I56" s="4" t="str">
        <f>IFERROR(__xludf.DUMMYFUNCTION("""COMPUTED_VALUE"""),"13:58:00Z")</f>
        <v>13:58:00Z</v>
      </c>
      <c r="J56" s="4" t="str">
        <f t="shared" si="2"/>
        <v>13:58:00</v>
      </c>
      <c r="K56" s="4">
        <f t="shared" si="3"/>
        <v>239</v>
      </c>
      <c r="L56" s="4">
        <f t="shared" si="4"/>
        <v>-0.1673611111</v>
      </c>
      <c r="M56" s="4">
        <f t="shared" si="5"/>
        <v>238.8326389</v>
      </c>
    </row>
    <row r="57">
      <c r="A57" s="4" t="s">
        <v>69</v>
      </c>
      <c r="B57" s="4" t="s">
        <v>2064</v>
      </c>
      <c r="C57" s="4" t="s">
        <v>2065</v>
      </c>
      <c r="D57" s="4" t="s">
        <v>2066</v>
      </c>
      <c r="E57" s="10">
        <f>IFERROR(__xludf.DUMMYFUNCTION("SPLIT(B57,""T"")"),43109.0)</f>
        <v>43109</v>
      </c>
      <c r="F57" s="4" t="str">
        <f>IFERROR(__xludf.DUMMYFUNCTION("""COMPUTED_VALUE"""),"09:58:00Z")</f>
        <v>09:58:00Z</v>
      </c>
      <c r="G57" s="11" t="str">
        <f t="shared" si="1"/>
        <v>09:58:00</v>
      </c>
      <c r="H57" s="10">
        <f>IFERROR(__xludf.DUMMYFUNCTION("SPLIT(D57,""T"")"),42870.0)</f>
        <v>42870</v>
      </c>
      <c r="I57" s="4" t="str">
        <f>IFERROR(__xludf.DUMMYFUNCTION("""COMPUTED_VALUE"""),"14:05:00Z")</f>
        <v>14:05:00Z</v>
      </c>
      <c r="J57" s="4" t="str">
        <f t="shared" si="2"/>
        <v>14:05:00</v>
      </c>
      <c r="K57" s="4">
        <f t="shared" si="3"/>
        <v>239</v>
      </c>
      <c r="L57" s="4">
        <f t="shared" si="4"/>
        <v>-0.1715277778</v>
      </c>
      <c r="M57" s="4">
        <f t="shared" si="5"/>
        <v>238.8284722</v>
      </c>
    </row>
    <row r="58">
      <c r="A58" s="4" t="s">
        <v>62</v>
      </c>
      <c r="B58" s="4" t="s">
        <v>2828</v>
      </c>
      <c r="C58" s="4" t="s">
        <v>3209</v>
      </c>
      <c r="D58" s="4" t="s">
        <v>3210</v>
      </c>
      <c r="E58" s="10">
        <f>IFERROR(__xludf.DUMMYFUNCTION("SPLIT(B58,""T"")"),43469.0)</f>
        <v>43469</v>
      </c>
      <c r="F58" s="4" t="str">
        <f>IFERROR(__xludf.DUMMYFUNCTION("""COMPUTED_VALUE"""),"10:25:00Z")</f>
        <v>10:25:00Z</v>
      </c>
      <c r="G58" s="11" t="str">
        <f t="shared" si="1"/>
        <v>10:25:00</v>
      </c>
      <c r="H58" s="10">
        <f>IFERROR(__xludf.DUMMYFUNCTION("SPLIT(D58,""T"")"),43230.0)</f>
        <v>43230</v>
      </c>
      <c r="I58" s="4" t="str">
        <f>IFERROR(__xludf.DUMMYFUNCTION("""COMPUTED_VALUE"""),"20:41:00Z")</f>
        <v>20:41:00Z</v>
      </c>
      <c r="J58" s="4" t="str">
        <f t="shared" si="2"/>
        <v>20:41:00</v>
      </c>
      <c r="K58" s="4">
        <f t="shared" si="3"/>
        <v>239</v>
      </c>
      <c r="L58" s="4">
        <f t="shared" si="4"/>
        <v>-0.4277777778</v>
      </c>
      <c r="M58" s="4">
        <f t="shared" si="5"/>
        <v>238.5722222</v>
      </c>
    </row>
    <row r="59">
      <c r="A59" s="4" t="s">
        <v>114</v>
      </c>
      <c r="B59" s="4" t="s">
        <v>2064</v>
      </c>
      <c r="C59" s="4" t="s">
        <v>1338</v>
      </c>
      <c r="D59" s="4" t="s">
        <v>2533</v>
      </c>
      <c r="E59" s="10">
        <f>IFERROR(__xludf.DUMMYFUNCTION("SPLIT(B59,""T"")"),43109.0)</f>
        <v>43109</v>
      </c>
      <c r="F59" s="4" t="str">
        <f>IFERROR(__xludf.DUMMYFUNCTION("""COMPUTED_VALUE"""),"09:58:00Z")</f>
        <v>09:58:00Z</v>
      </c>
      <c r="G59" s="11" t="str">
        <f t="shared" si="1"/>
        <v>09:58:00</v>
      </c>
      <c r="H59" s="10">
        <f>IFERROR(__xludf.DUMMYFUNCTION("SPLIT(D59,""T"")"),42871.0)</f>
        <v>42871</v>
      </c>
      <c r="I59" s="4" t="str">
        <f>IFERROR(__xludf.DUMMYFUNCTION("""COMPUTED_VALUE"""),"16:10:00Z")</f>
        <v>16:10:00Z</v>
      </c>
      <c r="J59" s="4" t="str">
        <f t="shared" si="2"/>
        <v>16:10:00</v>
      </c>
      <c r="K59" s="4">
        <f t="shared" si="3"/>
        <v>238</v>
      </c>
      <c r="L59" s="4">
        <f t="shared" si="4"/>
        <v>-0.2583333333</v>
      </c>
      <c r="M59" s="4">
        <f t="shared" si="5"/>
        <v>237.7416667</v>
      </c>
    </row>
    <row r="60">
      <c r="A60" s="4" t="s">
        <v>114</v>
      </c>
      <c r="B60" s="4" t="s">
        <v>2540</v>
      </c>
      <c r="C60" s="4" t="s">
        <v>2541</v>
      </c>
      <c r="D60" s="4" t="s">
        <v>2542</v>
      </c>
      <c r="E60" s="10">
        <f>IFERROR(__xludf.DUMMYFUNCTION("SPLIT(B60,""T"")"),43109.0)</f>
        <v>43109</v>
      </c>
      <c r="F60" s="4" t="str">
        <f>IFERROR(__xludf.DUMMYFUNCTION("""COMPUTED_VALUE"""),"09:59:00Z")</f>
        <v>09:59:00Z</v>
      </c>
      <c r="G60" s="11" t="str">
        <f t="shared" si="1"/>
        <v>09:59:00</v>
      </c>
      <c r="H60" s="10">
        <f>IFERROR(__xludf.DUMMYFUNCTION("SPLIT(D60,""T"")"),42872.0)</f>
        <v>42872</v>
      </c>
      <c r="I60" s="4" t="str">
        <f>IFERROR(__xludf.DUMMYFUNCTION("""COMPUTED_VALUE"""),"15:18:00Z")</f>
        <v>15:18:00Z</v>
      </c>
      <c r="J60" s="4" t="str">
        <f t="shared" si="2"/>
        <v>15:18:00</v>
      </c>
      <c r="K60" s="4">
        <f t="shared" si="3"/>
        <v>237</v>
      </c>
      <c r="L60" s="4">
        <f t="shared" si="4"/>
        <v>-0.2215277778</v>
      </c>
      <c r="M60" s="4">
        <f t="shared" si="5"/>
        <v>236.7784722</v>
      </c>
    </row>
    <row r="61">
      <c r="A61" s="4" t="s">
        <v>156</v>
      </c>
      <c r="B61" s="4" t="s">
        <v>2135</v>
      </c>
      <c r="C61" s="4" t="s">
        <v>2136</v>
      </c>
      <c r="D61" s="4" t="s">
        <v>2137</v>
      </c>
      <c r="E61" s="10">
        <f>IFERROR(__xludf.DUMMYFUNCTION("SPLIT(B61,""T"")"),43109.0)</f>
        <v>43109</v>
      </c>
      <c r="F61" s="4" t="str">
        <f>IFERROR(__xludf.DUMMYFUNCTION("""COMPUTED_VALUE"""),"10:01:00Z")</f>
        <v>10:01:00Z</v>
      </c>
      <c r="G61" s="11" t="str">
        <f t="shared" si="1"/>
        <v>10:01:00</v>
      </c>
      <c r="H61" s="10">
        <f>IFERROR(__xludf.DUMMYFUNCTION("SPLIT(D61,""T"")"),42872.0)</f>
        <v>42872</v>
      </c>
      <c r="I61" s="4" t="str">
        <f>IFERROR(__xludf.DUMMYFUNCTION("""COMPUTED_VALUE"""),"15:30:00Z")</f>
        <v>15:30:00Z</v>
      </c>
      <c r="J61" s="4" t="str">
        <f t="shared" si="2"/>
        <v>15:30:00</v>
      </c>
      <c r="K61" s="4">
        <f t="shared" si="3"/>
        <v>237</v>
      </c>
      <c r="L61" s="4">
        <f t="shared" si="4"/>
        <v>-0.2284722222</v>
      </c>
      <c r="M61" s="4">
        <f t="shared" si="5"/>
        <v>236.7715278</v>
      </c>
    </row>
    <row r="62">
      <c r="A62" s="4" t="s">
        <v>149</v>
      </c>
      <c r="B62" s="4" t="s">
        <v>2081</v>
      </c>
      <c r="C62" s="4" t="s">
        <v>2082</v>
      </c>
      <c r="D62" s="4" t="s">
        <v>2083</v>
      </c>
      <c r="E62" s="10">
        <f>IFERROR(__xludf.DUMMYFUNCTION("SPLIT(B62,""T"")"),43109.0)</f>
        <v>43109</v>
      </c>
      <c r="F62" s="4" t="str">
        <f>IFERROR(__xludf.DUMMYFUNCTION("""COMPUTED_VALUE"""),"10:03:00Z")</f>
        <v>10:03:00Z</v>
      </c>
      <c r="G62" s="11" t="str">
        <f t="shared" si="1"/>
        <v>10:03:00</v>
      </c>
      <c r="H62" s="10">
        <f>IFERROR(__xludf.DUMMYFUNCTION("SPLIT(D62,""T"")"),42873.0)</f>
        <v>42873</v>
      </c>
      <c r="I62" s="4" t="str">
        <f>IFERROR(__xludf.DUMMYFUNCTION("""COMPUTED_VALUE"""),"08:48:00Z")</f>
        <v>08:48:00Z</v>
      </c>
      <c r="J62" s="4" t="str">
        <f t="shared" si="2"/>
        <v>08:48:00</v>
      </c>
      <c r="K62" s="4">
        <f t="shared" si="3"/>
        <v>236</v>
      </c>
      <c r="L62" s="4">
        <f t="shared" si="4"/>
        <v>0.05208333333</v>
      </c>
      <c r="M62" s="4">
        <f t="shared" si="5"/>
        <v>236.0520833</v>
      </c>
    </row>
    <row r="63">
      <c r="A63" s="4" t="s">
        <v>1768</v>
      </c>
      <c r="B63" s="4" t="s">
        <v>1814</v>
      </c>
      <c r="C63" s="4" t="s">
        <v>2513</v>
      </c>
      <c r="D63" s="4" t="s">
        <v>2514</v>
      </c>
      <c r="E63" s="10">
        <f>IFERROR(__xludf.DUMMYFUNCTION("SPLIT(B63,""T"")"),43109.0)</f>
        <v>43109</v>
      </c>
      <c r="F63" s="4" t="str">
        <f>IFERROR(__xludf.DUMMYFUNCTION("""COMPUTED_VALUE"""),"10:04:00Z")</f>
        <v>10:04:00Z</v>
      </c>
      <c r="G63" s="11" t="str">
        <f t="shared" si="1"/>
        <v>10:04:00</v>
      </c>
      <c r="H63" s="10">
        <f>IFERROR(__xludf.DUMMYFUNCTION("SPLIT(D63,""T"")"),42873.0)</f>
        <v>42873</v>
      </c>
      <c r="I63" s="4" t="str">
        <f>IFERROR(__xludf.DUMMYFUNCTION("""COMPUTED_VALUE"""),"12:54:00Z")</f>
        <v>12:54:00Z</v>
      </c>
      <c r="J63" s="4" t="str">
        <f t="shared" si="2"/>
        <v>12:54:00</v>
      </c>
      <c r="K63" s="4">
        <f t="shared" si="3"/>
        <v>236</v>
      </c>
      <c r="L63" s="4">
        <f t="shared" si="4"/>
        <v>-0.1180555556</v>
      </c>
      <c r="M63" s="4">
        <f t="shared" si="5"/>
        <v>235.8819444</v>
      </c>
    </row>
    <row r="64">
      <c r="A64" s="4" t="s">
        <v>39</v>
      </c>
      <c r="B64" s="4" t="s">
        <v>1814</v>
      </c>
      <c r="C64" s="4" t="s">
        <v>1815</v>
      </c>
      <c r="D64" s="4" t="s">
        <v>1816</v>
      </c>
      <c r="E64" s="10">
        <f>IFERROR(__xludf.DUMMYFUNCTION("SPLIT(B64,""T"")"),43109.0)</f>
        <v>43109</v>
      </c>
      <c r="F64" s="4" t="str">
        <f>IFERROR(__xludf.DUMMYFUNCTION("""COMPUTED_VALUE"""),"10:04:00Z")</f>
        <v>10:04:00Z</v>
      </c>
      <c r="G64" s="11" t="str">
        <f t="shared" si="1"/>
        <v>10:04:00</v>
      </c>
      <c r="H64" s="10">
        <f>IFERROR(__xludf.DUMMYFUNCTION("SPLIT(D64,""T"")"),42873.0)</f>
        <v>42873</v>
      </c>
      <c r="I64" s="4" t="str">
        <f>IFERROR(__xludf.DUMMYFUNCTION("""COMPUTED_VALUE"""),"13:11:00Z")</f>
        <v>13:11:00Z</v>
      </c>
      <c r="J64" s="4" t="str">
        <f t="shared" si="2"/>
        <v>13:11:00</v>
      </c>
      <c r="K64" s="4">
        <f t="shared" si="3"/>
        <v>236</v>
      </c>
      <c r="L64" s="4">
        <f t="shared" si="4"/>
        <v>-0.1298611111</v>
      </c>
      <c r="M64" s="4">
        <f t="shared" si="5"/>
        <v>235.8701389</v>
      </c>
    </row>
    <row r="65">
      <c r="A65" s="4" t="s">
        <v>27</v>
      </c>
      <c r="B65" s="4" t="s">
        <v>2268</v>
      </c>
      <c r="C65" s="4" t="s">
        <v>2567</v>
      </c>
      <c r="D65" s="4" t="s">
        <v>2568</v>
      </c>
      <c r="E65" s="10">
        <f>IFERROR(__xludf.DUMMYFUNCTION("SPLIT(B65,""T"")"),43109.0)</f>
        <v>43109</v>
      </c>
      <c r="F65" s="4" t="str">
        <f>IFERROR(__xludf.DUMMYFUNCTION("""COMPUTED_VALUE"""),"10:05:00Z")</f>
        <v>10:05:00Z</v>
      </c>
      <c r="G65" s="11" t="str">
        <f t="shared" si="1"/>
        <v>10:05:00</v>
      </c>
      <c r="H65" s="10">
        <f>IFERROR(__xludf.DUMMYFUNCTION("SPLIT(D65,""T"")"),42873.0)</f>
        <v>42873</v>
      </c>
      <c r="I65" s="4" t="str">
        <f>IFERROR(__xludf.DUMMYFUNCTION("""COMPUTED_VALUE"""),"17:25:00Z")</f>
        <v>17:25:00Z</v>
      </c>
      <c r="J65" s="4" t="str">
        <f t="shared" si="2"/>
        <v>17:25:00</v>
      </c>
      <c r="K65" s="4">
        <f t="shared" si="3"/>
        <v>236</v>
      </c>
      <c r="L65" s="4">
        <f t="shared" si="4"/>
        <v>-0.3055555556</v>
      </c>
      <c r="M65" s="4">
        <f t="shared" si="5"/>
        <v>235.6944444</v>
      </c>
    </row>
    <row r="66">
      <c r="A66" s="4" t="s">
        <v>205</v>
      </c>
      <c r="B66" s="4" t="s">
        <v>2828</v>
      </c>
      <c r="C66" s="4" t="s">
        <v>406</v>
      </c>
      <c r="D66" s="4" t="s">
        <v>3208</v>
      </c>
      <c r="E66" s="10">
        <f>IFERROR(__xludf.DUMMYFUNCTION("SPLIT(B66,""T"")"),43469.0)</f>
        <v>43469</v>
      </c>
      <c r="F66" s="4" t="str">
        <f>IFERROR(__xludf.DUMMYFUNCTION("""COMPUTED_VALUE"""),"10:25:00Z")</f>
        <v>10:25:00Z</v>
      </c>
      <c r="G66" s="11" t="str">
        <f t="shared" si="1"/>
        <v>10:25:00</v>
      </c>
      <c r="H66" s="10">
        <f>IFERROR(__xludf.DUMMYFUNCTION("SPLIT(D66,""T"")"),43234.0)</f>
        <v>43234</v>
      </c>
      <c r="I66" s="4" t="str">
        <f>IFERROR(__xludf.DUMMYFUNCTION("""COMPUTED_VALUE"""),"13:06:00Z")</f>
        <v>13:06:00Z</v>
      </c>
      <c r="J66" s="4" t="str">
        <f t="shared" si="2"/>
        <v>13:06:00</v>
      </c>
      <c r="K66" s="4">
        <f t="shared" si="3"/>
        <v>235</v>
      </c>
      <c r="L66" s="4">
        <f t="shared" si="4"/>
        <v>-0.1118055556</v>
      </c>
      <c r="M66" s="4">
        <f t="shared" si="5"/>
        <v>234.8881944</v>
      </c>
    </row>
    <row r="67">
      <c r="A67" s="4" t="s">
        <v>149</v>
      </c>
      <c r="B67" s="4" t="s">
        <v>2268</v>
      </c>
      <c r="C67" s="4" t="s">
        <v>1381</v>
      </c>
      <c r="D67" s="4" t="s">
        <v>2641</v>
      </c>
      <c r="E67" s="10">
        <f>IFERROR(__xludf.DUMMYFUNCTION("SPLIT(B67,""T"")"),43109.0)</f>
        <v>43109</v>
      </c>
      <c r="F67" s="4" t="str">
        <f>IFERROR(__xludf.DUMMYFUNCTION("""COMPUTED_VALUE"""),"10:05:00Z")</f>
        <v>10:05:00Z</v>
      </c>
      <c r="G67" s="11" t="str">
        <f t="shared" si="1"/>
        <v>10:05:00</v>
      </c>
      <c r="H67" s="10">
        <f>IFERROR(__xludf.DUMMYFUNCTION("SPLIT(D67,""T"")"),42874.0)</f>
        <v>42874</v>
      </c>
      <c r="I67" s="4" t="str">
        <f>IFERROR(__xludf.DUMMYFUNCTION("""COMPUTED_VALUE"""),"13:10:00Z")</f>
        <v>13:10:00Z</v>
      </c>
      <c r="J67" s="4" t="str">
        <f t="shared" si="2"/>
        <v>13:10:00</v>
      </c>
      <c r="K67" s="4">
        <f t="shared" si="3"/>
        <v>235</v>
      </c>
      <c r="L67" s="4">
        <f t="shared" si="4"/>
        <v>-0.1284722222</v>
      </c>
      <c r="M67" s="4">
        <f t="shared" si="5"/>
        <v>234.8715278</v>
      </c>
    </row>
    <row r="68">
      <c r="A68" s="4" t="s">
        <v>62</v>
      </c>
      <c r="B68" s="4" t="s">
        <v>1894</v>
      </c>
      <c r="C68" s="4" t="s">
        <v>2005</v>
      </c>
      <c r="D68" s="4" t="s">
        <v>2006</v>
      </c>
      <c r="E68" s="10">
        <f>IFERROR(__xludf.DUMMYFUNCTION("SPLIT(B68,""T"")"),43109.0)</f>
        <v>43109</v>
      </c>
      <c r="F68" s="4" t="str">
        <f>IFERROR(__xludf.DUMMYFUNCTION("""COMPUTED_VALUE"""),"10:06:00Z")</f>
        <v>10:06:00Z</v>
      </c>
      <c r="G68" s="11" t="str">
        <f t="shared" si="1"/>
        <v>10:06:00</v>
      </c>
      <c r="H68" s="10">
        <f>IFERROR(__xludf.DUMMYFUNCTION("SPLIT(D68,""T"")"),42874.0)</f>
        <v>42874</v>
      </c>
      <c r="I68" s="4" t="str">
        <f>IFERROR(__xludf.DUMMYFUNCTION("""COMPUTED_VALUE"""),"14:45:00Z")</f>
        <v>14:45:00Z</v>
      </c>
      <c r="J68" s="4" t="str">
        <f t="shared" si="2"/>
        <v>14:45:00</v>
      </c>
      <c r="K68" s="4">
        <f t="shared" si="3"/>
        <v>235</v>
      </c>
      <c r="L68" s="4">
        <f t="shared" si="4"/>
        <v>-0.19375</v>
      </c>
      <c r="M68" s="4">
        <f t="shared" si="5"/>
        <v>234.80625</v>
      </c>
    </row>
    <row r="69">
      <c r="A69" s="4" t="s">
        <v>39</v>
      </c>
      <c r="B69" s="4" t="s">
        <v>2268</v>
      </c>
      <c r="C69" s="4" t="s">
        <v>2269</v>
      </c>
      <c r="D69" s="4" t="s">
        <v>2270</v>
      </c>
      <c r="E69" s="10">
        <f>IFERROR(__xludf.DUMMYFUNCTION("SPLIT(B69,""T"")"),43109.0)</f>
        <v>43109</v>
      </c>
      <c r="F69" s="4" t="str">
        <f>IFERROR(__xludf.DUMMYFUNCTION("""COMPUTED_VALUE"""),"10:05:00Z")</f>
        <v>10:05:00Z</v>
      </c>
      <c r="G69" s="11" t="str">
        <f t="shared" si="1"/>
        <v>10:05:00</v>
      </c>
      <c r="H69" s="10">
        <f>IFERROR(__xludf.DUMMYFUNCTION("SPLIT(D69,""T"")"),42874.0)</f>
        <v>42874</v>
      </c>
      <c r="I69" s="4" t="str">
        <f>IFERROR(__xludf.DUMMYFUNCTION("""COMPUTED_VALUE"""),"23:28:00Z")</f>
        <v>23:28:00Z</v>
      </c>
      <c r="J69" s="4" t="str">
        <f t="shared" si="2"/>
        <v>23:28:00</v>
      </c>
      <c r="K69" s="4">
        <f t="shared" si="3"/>
        <v>235</v>
      </c>
      <c r="L69" s="4">
        <f t="shared" si="4"/>
        <v>-0.5576388889</v>
      </c>
      <c r="M69" s="4">
        <f t="shared" si="5"/>
        <v>234.4423611</v>
      </c>
    </row>
    <row r="70">
      <c r="A70" s="4" t="s">
        <v>149</v>
      </c>
      <c r="B70" s="4" t="s">
        <v>1894</v>
      </c>
      <c r="C70" s="4" t="s">
        <v>849</v>
      </c>
      <c r="D70" s="4" t="s">
        <v>2539</v>
      </c>
      <c r="E70" s="10">
        <f>IFERROR(__xludf.DUMMYFUNCTION("SPLIT(B70,""T"")"),43109.0)</f>
        <v>43109</v>
      </c>
      <c r="F70" s="4" t="str">
        <f>IFERROR(__xludf.DUMMYFUNCTION("""COMPUTED_VALUE"""),"10:06:00Z")</f>
        <v>10:06:00Z</v>
      </c>
      <c r="G70" s="11" t="str">
        <f t="shared" si="1"/>
        <v>10:06:00</v>
      </c>
      <c r="H70" s="10">
        <f>IFERROR(__xludf.DUMMYFUNCTION("SPLIT(D70,""T"")"),42875.0)</f>
        <v>42875</v>
      </c>
      <c r="I70" s="4" t="str">
        <f>IFERROR(__xludf.DUMMYFUNCTION("""COMPUTED_VALUE"""),"13:11:00Z")</f>
        <v>13:11:00Z</v>
      </c>
      <c r="J70" s="4" t="str">
        <f t="shared" si="2"/>
        <v>13:11:00</v>
      </c>
      <c r="K70" s="4">
        <f t="shared" si="3"/>
        <v>234</v>
      </c>
      <c r="L70" s="4">
        <f t="shared" si="4"/>
        <v>-0.1284722222</v>
      </c>
      <c r="M70" s="4">
        <f t="shared" si="5"/>
        <v>233.8715278</v>
      </c>
    </row>
    <row r="71">
      <c r="A71" s="4" t="s">
        <v>69</v>
      </c>
      <c r="B71" s="4" t="s">
        <v>2002</v>
      </c>
      <c r="C71" s="4" t="s">
        <v>2003</v>
      </c>
      <c r="D71" s="4" t="s">
        <v>2004</v>
      </c>
      <c r="E71" s="10">
        <f>IFERROR(__xludf.DUMMYFUNCTION("SPLIT(B71,""T"")"),43109.0)</f>
        <v>43109</v>
      </c>
      <c r="F71" s="4" t="str">
        <f>IFERROR(__xludf.DUMMYFUNCTION("""COMPUTED_VALUE"""),"10:07:00Z")</f>
        <v>10:07:00Z</v>
      </c>
      <c r="G71" s="11" t="str">
        <f t="shared" si="1"/>
        <v>10:07:00</v>
      </c>
      <c r="H71" s="10">
        <f>IFERROR(__xludf.DUMMYFUNCTION("SPLIT(D71,""T"")"),42875.0)</f>
        <v>42875</v>
      </c>
      <c r="I71" s="4" t="str">
        <f>IFERROR(__xludf.DUMMYFUNCTION("""COMPUTED_VALUE"""),"14:23:00Z")</f>
        <v>14:23:00Z</v>
      </c>
      <c r="J71" s="4" t="str">
        <f t="shared" si="2"/>
        <v>14:23:00</v>
      </c>
      <c r="K71" s="4">
        <f t="shared" si="3"/>
        <v>234</v>
      </c>
      <c r="L71" s="4">
        <f t="shared" si="4"/>
        <v>-0.1777777778</v>
      </c>
      <c r="M71" s="4">
        <f t="shared" si="5"/>
        <v>233.8222222</v>
      </c>
    </row>
    <row r="72">
      <c r="A72" s="4" t="s">
        <v>97</v>
      </c>
      <c r="B72" s="4" t="s">
        <v>2002</v>
      </c>
      <c r="C72" s="4" t="s">
        <v>2100</v>
      </c>
      <c r="D72" s="4" t="s">
        <v>2101</v>
      </c>
      <c r="E72" s="10">
        <f>IFERROR(__xludf.DUMMYFUNCTION("SPLIT(B72,""T"")"),43109.0)</f>
        <v>43109</v>
      </c>
      <c r="F72" s="4" t="str">
        <f>IFERROR(__xludf.DUMMYFUNCTION("""COMPUTED_VALUE"""),"10:07:00Z")</f>
        <v>10:07:00Z</v>
      </c>
      <c r="G72" s="11" t="str">
        <f t="shared" si="1"/>
        <v>10:07:00</v>
      </c>
      <c r="H72" s="10">
        <f>IFERROR(__xludf.DUMMYFUNCTION("SPLIT(D72,""T"")"),42875.0)</f>
        <v>42875</v>
      </c>
      <c r="I72" s="4" t="str">
        <f>IFERROR(__xludf.DUMMYFUNCTION("""COMPUTED_VALUE"""),"17:54:00Z")</f>
        <v>17:54:00Z</v>
      </c>
      <c r="J72" s="4" t="str">
        <f t="shared" si="2"/>
        <v>17:54:00</v>
      </c>
      <c r="K72" s="4">
        <f t="shared" si="3"/>
        <v>234</v>
      </c>
      <c r="L72" s="4">
        <f t="shared" si="4"/>
        <v>-0.3243055556</v>
      </c>
      <c r="M72" s="4">
        <f t="shared" si="5"/>
        <v>233.6756944</v>
      </c>
    </row>
    <row r="73">
      <c r="A73" s="4" t="s">
        <v>62</v>
      </c>
      <c r="B73" s="4" t="s">
        <v>1894</v>
      </c>
      <c r="C73" s="4" t="s">
        <v>1895</v>
      </c>
      <c r="D73" s="4" t="s">
        <v>1896</v>
      </c>
      <c r="E73" s="10">
        <f>IFERROR(__xludf.DUMMYFUNCTION("SPLIT(B73,""T"")"),43109.0)</f>
        <v>43109</v>
      </c>
      <c r="F73" s="4" t="str">
        <f>IFERROR(__xludf.DUMMYFUNCTION("""COMPUTED_VALUE"""),"10:06:00Z")</f>
        <v>10:06:00Z</v>
      </c>
      <c r="G73" s="11" t="str">
        <f t="shared" si="1"/>
        <v>10:06:00</v>
      </c>
      <c r="H73" s="10">
        <f>IFERROR(__xludf.DUMMYFUNCTION("SPLIT(D73,""T"")"),42875.0)</f>
        <v>42875</v>
      </c>
      <c r="I73" s="4" t="str">
        <f>IFERROR(__xludf.DUMMYFUNCTION("""COMPUTED_VALUE"""),"23:19:00Z")</f>
        <v>23:19:00Z</v>
      </c>
      <c r="J73" s="4" t="str">
        <f t="shared" si="2"/>
        <v>23:19:00</v>
      </c>
      <c r="K73" s="4">
        <f t="shared" si="3"/>
        <v>234</v>
      </c>
      <c r="L73" s="4">
        <f t="shared" si="4"/>
        <v>-0.5506944444</v>
      </c>
      <c r="M73" s="4">
        <f t="shared" si="5"/>
        <v>233.4493056</v>
      </c>
    </row>
    <row r="74">
      <c r="A74" s="4" t="s">
        <v>69</v>
      </c>
      <c r="B74" s="4" t="s">
        <v>2828</v>
      </c>
      <c r="C74" s="4" t="s">
        <v>2829</v>
      </c>
      <c r="D74" s="4" t="s">
        <v>2830</v>
      </c>
      <c r="E74" s="10">
        <f>IFERROR(__xludf.DUMMYFUNCTION("SPLIT(B74,""T"")"),43469.0)</f>
        <v>43469</v>
      </c>
      <c r="F74" s="4" t="str">
        <f>IFERROR(__xludf.DUMMYFUNCTION("""COMPUTED_VALUE"""),"10:25:00Z")</f>
        <v>10:25:00Z</v>
      </c>
      <c r="G74" s="11" t="str">
        <f t="shared" si="1"/>
        <v>10:25:00</v>
      </c>
      <c r="H74" s="10">
        <f>IFERROR(__xludf.DUMMYFUNCTION("SPLIT(D74,""T"")"),43236.0)</f>
        <v>43236</v>
      </c>
      <c r="I74" s="4" t="str">
        <f>IFERROR(__xludf.DUMMYFUNCTION("""COMPUTED_VALUE"""),"16:30:00Z")</f>
        <v>16:30:00Z</v>
      </c>
      <c r="J74" s="4" t="str">
        <f t="shared" si="2"/>
        <v>16:30:00</v>
      </c>
      <c r="K74" s="4">
        <f t="shared" si="3"/>
        <v>233</v>
      </c>
      <c r="L74" s="4">
        <f t="shared" si="4"/>
        <v>-0.2534722222</v>
      </c>
      <c r="M74" s="4">
        <f t="shared" si="5"/>
        <v>232.7465278</v>
      </c>
    </row>
    <row r="75">
      <c r="A75" s="4" t="s">
        <v>27</v>
      </c>
      <c r="B75" s="4" t="s">
        <v>2002</v>
      </c>
      <c r="C75" s="4" t="s">
        <v>287</v>
      </c>
      <c r="D75" s="4" t="s">
        <v>2412</v>
      </c>
      <c r="E75" s="10">
        <f>IFERROR(__xludf.DUMMYFUNCTION("SPLIT(B75,""T"")"),43109.0)</f>
        <v>43109</v>
      </c>
      <c r="F75" s="4" t="str">
        <f>IFERROR(__xludf.DUMMYFUNCTION("""COMPUTED_VALUE"""),"10:07:00Z")</f>
        <v>10:07:00Z</v>
      </c>
      <c r="G75" s="11" t="str">
        <f t="shared" si="1"/>
        <v>10:07:00</v>
      </c>
      <c r="H75" s="10">
        <f>IFERROR(__xludf.DUMMYFUNCTION("SPLIT(D75,""T"")"),42876.0)</f>
        <v>42876</v>
      </c>
      <c r="I75" s="4" t="str">
        <f>IFERROR(__xludf.DUMMYFUNCTION("""COMPUTED_VALUE"""),"16:12:00Z")</f>
        <v>16:12:00Z</v>
      </c>
      <c r="J75" s="4" t="str">
        <f t="shared" si="2"/>
        <v>16:12:00</v>
      </c>
      <c r="K75" s="4">
        <f t="shared" si="3"/>
        <v>233</v>
      </c>
      <c r="L75" s="4">
        <f t="shared" si="4"/>
        <v>-0.2534722222</v>
      </c>
      <c r="M75" s="4">
        <f t="shared" si="5"/>
        <v>232.7465278</v>
      </c>
    </row>
    <row r="76">
      <c r="A76" s="4" t="s">
        <v>170</v>
      </c>
      <c r="B76" s="4" t="s">
        <v>2002</v>
      </c>
      <c r="C76" s="4" t="s">
        <v>2342</v>
      </c>
      <c r="D76" s="4" t="s">
        <v>2501</v>
      </c>
      <c r="E76" s="10">
        <f>IFERROR(__xludf.DUMMYFUNCTION("SPLIT(B76,""T"")"),43109.0)</f>
        <v>43109</v>
      </c>
      <c r="F76" s="4" t="str">
        <f>IFERROR(__xludf.DUMMYFUNCTION("""COMPUTED_VALUE"""),"10:07:00Z")</f>
        <v>10:07:00Z</v>
      </c>
      <c r="G76" s="11" t="str">
        <f t="shared" si="1"/>
        <v>10:07:00</v>
      </c>
      <c r="H76" s="10">
        <f>IFERROR(__xludf.DUMMYFUNCTION("SPLIT(D76,""T"")"),42877.0)</f>
        <v>42877</v>
      </c>
      <c r="I76" s="4" t="str">
        <f>IFERROR(__xludf.DUMMYFUNCTION("""COMPUTED_VALUE"""),"04:50:00Z")</f>
        <v>04:50:00Z</v>
      </c>
      <c r="J76" s="4" t="str">
        <f t="shared" si="2"/>
        <v>04:50:00</v>
      </c>
      <c r="K76" s="4">
        <f t="shared" si="3"/>
        <v>232</v>
      </c>
      <c r="L76" s="4">
        <f t="shared" si="4"/>
        <v>0.2201388889</v>
      </c>
      <c r="M76" s="4">
        <f t="shared" si="5"/>
        <v>232.2201389</v>
      </c>
    </row>
    <row r="77">
      <c r="A77" s="4" t="s">
        <v>97</v>
      </c>
      <c r="B77" s="4" t="s">
        <v>2828</v>
      </c>
      <c r="C77" s="4" t="s">
        <v>3025</v>
      </c>
      <c r="D77" s="4" t="s">
        <v>3026</v>
      </c>
      <c r="E77" s="10">
        <f>IFERROR(__xludf.DUMMYFUNCTION("SPLIT(B77,""T"")"),43469.0)</f>
        <v>43469</v>
      </c>
      <c r="F77" s="4" t="str">
        <f>IFERROR(__xludf.DUMMYFUNCTION("""COMPUTED_VALUE"""),"10:25:00Z")</f>
        <v>10:25:00Z</v>
      </c>
      <c r="G77" s="11" t="str">
        <f t="shared" si="1"/>
        <v>10:25:00</v>
      </c>
      <c r="H77" s="10">
        <f>IFERROR(__xludf.DUMMYFUNCTION("SPLIT(D77,""T"")"),43237.0)</f>
        <v>43237</v>
      </c>
      <c r="I77" s="4" t="str">
        <f>IFERROR(__xludf.DUMMYFUNCTION("""COMPUTED_VALUE"""),"12:53:00Z")</f>
        <v>12:53:00Z</v>
      </c>
      <c r="J77" s="4" t="str">
        <f t="shared" si="2"/>
        <v>12:53:00</v>
      </c>
      <c r="K77" s="4">
        <f t="shared" si="3"/>
        <v>232</v>
      </c>
      <c r="L77" s="4">
        <f t="shared" si="4"/>
        <v>-0.1027777778</v>
      </c>
      <c r="M77" s="4">
        <f t="shared" si="5"/>
        <v>231.8972222</v>
      </c>
    </row>
    <row r="78">
      <c r="A78" s="4" t="s">
        <v>27</v>
      </c>
      <c r="B78" s="4" t="s">
        <v>2760</v>
      </c>
      <c r="C78" s="4" t="s">
        <v>2761</v>
      </c>
      <c r="D78" s="4" t="s">
        <v>2762</v>
      </c>
      <c r="E78" s="10">
        <f>IFERROR(__xludf.DUMMYFUNCTION("SPLIT(B78,""T"")"),43469.0)</f>
        <v>43469</v>
      </c>
      <c r="F78" s="4" t="str">
        <f>IFERROR(__xludf.DUMMYFUNCTION("""COMPUTED_VALUE"""),"10:24:00Z")</f>
        <v>10:24:00Z</v>
      </c>
      <c r="G78" s="11" t="str">
        <f t="shared" si="1"/>
        <v>10:24:00</v>
      </c>
      <c r="H78" s="10">
        <f>IFERROR(__xludf.DUMMYFUNCTION("SPLIT(D78,""T"")"),43237.0)</f>
        <v>43237</v>
      </c>
      <c r="I78" s="4" t="str">
        <f>IFERROR(__xludf.DUMMYFUNCTION("""COMPUTED_VALUE"""),"14:19:00Z")</f>
        <v>14:19:00Z</v>
      </c>
      <c r="J78" s="4" t="str">
        <f t="shared" si="2"/>
        <v>14:19:00</v>
      </c>
      <c r="K78" s="4">
        <f t="shared" si="3"/>
        <v>232</v>
      </c>
      <c r="L78" s="4">
        <f t="shared" si="4"/>
        <v>-0.1631944444</v>
      </c>
      <c r="M78" s="4">
        <f t="shared" si="5"/>
        <v>231.8368056</v>
      </c>
    </row>
    <row r="79">
      <c r="A79" s="4" t="s">
        <v>94</v>
      </c>
      <c r="B79" s="4" t="s">
        <v>2760</v>
      </c>
      <c r="C79" s="4" t="s">
        <v>99</v>
      </c>
      <c r="D79" s="4" t="s">
        <v>3131</v>
      </c>
      <c r="E79" s="10">
        <f>IFERROR(__xludf.DUMMYFUNCTION("SPLIT(B79,""T"")"),43469.0)</f>
        <v>43469</v>
      </c>
      <c r="F79" s="4" t="str">
        <f>IFERROR(__xludf.DUMMYFUNCTION("""COMPUTED_VALUE"""),"10:24:00Z")</f>
        <v>10:24:00Z</v>
      </c>
      <c r="G79" s="11" t="str">
        <f t="shared" si="1"/>
        <v>10:24:00</v>
      </c>
      <c r="H79" s="10">
        <f>IFERROR(__xludf.DUMMYFUNCTION("SPLIT(D79,""T"")"),43238.0)</f>
        <v>43238</v>
      </c>
      <c r="I79" s="4" t="str">
        <f>IFERROR(__xludf.DUMMYFUNCTION("""COMPUTED_VALUE"""),"11:00:00Z")</f>
        <v>11:00:00Z</v>
      </c>
      <c r="J79" s="4" t="str">
        <f t="shared" si="2"/>
        <v>11:00:00</v>
      </c>
      <c r="K79" s="4">
        <f t="shared" si="3"/>
        <v>231</v>
      </c>
      <c r="L79" s="4">
        <f t="shared" si="4"/>
        <v>-0.025</v>
      </c>
      <c r="M79" s="4">
        <f t="shared" si="5"/>
        <v>230.975</v>
      </c>
    </row>
    <row r="80">
      <c r="A80" s="4" t="s">
        <v>27</v>
      </c>
      <c r="B80" s="4" t="s">
        <v>2616</v>
      </c>
      <c r="C80" s="4" t="s">
        <v>2617</v>
      </c>
      <c r="D80" s="4" t="s">
        <v>2618</v>
      </c>
      <c r="E80" s="10">
        <f>IFERROR(__xludf.DUMMYFUNCTION("SPLIT(B80,""T"")"),43109.0)</f>
        <v>43109</v>
      </c>
      <c r="F80" s="4" t="str">
        <f>IFERROR(__xludf.DUMMYFUNCTION("""COMPUTED_VALUE"""),"10:08:00Z")</f>
        <v>10:08:00Z</v>
      </c>
      <c r="G80" s="11" t="str">
        <f t="shared" si="1"/>
        <v>10:08:00</v>
      </c>
      <c r="H80" s="10">
        <f>IFERROR(__xludf.DUMMYFUNCTION("SPLIT(D80,""T"")"),42878.0)</f>
        <v>42878</v>
      </c>
      <c r="I80" s="4" t="str">
        <f>IFERROR(__xludf.DUMMYFUNCTION("""COMPUTED_VALUE"""),"13:13:00Z")</f>
        <v>13:13:00Z</v>
      </c>
      <c r="J80" s="4" t="str">
        <f t="shared" si="2"/>
        <v>13:13:00</v>
      </c>
      <c r="K80" s="4">
        <f t="shared" si="3"/>
        <v>231</v>
      </c>
      <c r="L80" s="4">
        <f t="shared" si="4"/>
        <v>-0.1284722222</v>
      </c>
      <c r="M80" s="4">
        <f t="shared" si="5"/>
        <v>230.8715278</v>
      </c>
    </row>
    <row r="81">
      <c r="A81" s="4" t="s">
        <v>54</v>
      </c>
      <c r="B81" s="4" t="s">
        <v>2760</v>
      </c>
      <c r="C81" s="4" t="s">
        <v>2948</v>
      </c>
      <c r="D81" s="4" t="s">
        <v>2949</v>
      </c>
      <c r="E81" s="10">
        <f>IFERROR(__xludf.DUMMYFUNCTION("SPLIT(B81,""T"")"),43469.0)</f>
        <v>43469</v>
      </c>
      <c r="F81" s="4" t="str">
        <f>IFERROR(__xludf.DUMMYFUNCTION("""COMPUTED_VALUE"""),"10:24:00Z")</f>
        <v>10:24:00Z</v>
      </c>
      <c r="G81" s="11" t="str">
        <f t="shared" si="1"/>
        <v>10:24:00</v>
      </c>
      <c r="H81" s="10">
        <f>IFERROR(__xludf.DUMMYFUNCTION("SPLIT(D81,""T"")"),43238.0)</f>
        <v>43238</v>
      </c>
      <c r="I81" s="4" t="str">
        <f>IFERROR(__xludf.DUMMYFUNCTION("""COMPUTED_VALUE"""),"16:37:00Z")</f>
        <v>16:37:00Z</v>
      </c>
      <c r="J81" s="4" t="str">
        <f t="shared" si="2"/>
        <v>16:37:00</v>
      </c>
      <c r="K81" s="4">
        <f t="shared" si="3"/>
        <v>231</v>
      </c>
      <c r="L81" s="4">
        <f t="shared" si="4"/>
        <v>-0.2590277778</v>
      </c>
      <c r="M81" s="4">
        <f t="shared" si="5"/>
        <v>230.7409722</v>
      </c>
    </row>
    <row r="82">
      <c r="A82" s="4" t="s">
        <v>46</v>
      </c>
      <c r="B82" s="4" t="s">
        <v>2760</v>
      </c>
      <c r="C82" s="4" t="s">
        <v>3129</v>
      </c>
      <c r="D82" s="4" t="s">
        <v>3130</v>
      </c>
      <c r="E82" s="10">
        <f>IFERROR(__xludf.DUMMYFUNCTION("SPLIT(B82,""T"")"),43469.0)</f>
        <v>43469</v>
      </c>
      <c r="F82" s="4" t="str">
        <f>IFERROR(__xludf.DUMMYFUNCTION("""COMPUTED_VALUE"""),"10:24:00Z")</f>
        <v>10:24:00Z</v>
      </c>
      <c r="G82" s="11" t="str">
        <f t="shared" si="1"/>
        <v>10:24:00</v>
      </c>
      <c r="H82" s="10">
        <f>IFERROR(__xludf.DUMMYFUNCTION("SPLIT(D82,""T"")"),43239.0)</f>
        <v>43239</v>
      </c>
      <c r="I82" s="4" t="str">
        <f>IFERROR(__xludf.DUMMYFUNCTION("""COMPUTED_VALUE"""),"13:04:00Z")</f>
        <v>13:04:00Z</v>
      </c>
      <c r="J82" s="4" t="str">
        <f t="shared" si="2"/>
        <v>13:04:00</v>
      </c>
      <c r="K82" s="4">
        <f t="shared" si="3"/>
        <v>230</v>
      </c>
      <c r="L82" s="4">
        <f t="shared" si="4"/>
        <v>-0.1111111111</v>
      </c>
      <c r="M82" s="4">
        <f t="shared" si="5"/>
        <v>229.8888889</v>
      </c>
    </row>
    <row r="83">
      <c r="A83" s="4" t="s">
        <v>62</v>
      </c>
      <c r="B83" s="4" t="s">
        <v>2482</v>
      </c>
      <c r="C83" s="4" t="s">
        <v>2483</v>
      </c>
      <c r="D83" s="4" t="s">
        <v>2484</v>
      </c>
      <c r="E83" s="10">
        <f>IFERROR(__xludf.DUMMYFUNCTION("SPLIT(B83,""T"")"),43109.0)</f>
        <v>43109</v>
      </c>
      <c r="F83" s="4" t="str">
        <f>IFERROR(__xludf.DUMMYFUNCTION("""COMPUTED_VALUE"""),"10:10:00Z")</f>
        <v>10:10:00Z</v>
      </c>
      <c r="G83" s="11" t="str">
        <f t="shared" si="1"/>
        <v>10:10:00</v>
      </c>
      <c r="H83" s="10">
        <f>IFERROR(__xludf.DUMMYFUNCTION("SPLIT(D83,""T"")"),42879.0)</f>
        <v>42879</v>
      </c>
      <c r="I83" s="4" t="str">
        <f>IFERROR(__xludf.DUMMYFUNCTION("""COMPUTED_VALUE"""),"15:30:00Z")</f>
        <v>15:30:00Z</v>
      </c>
      <c r="J83" s="4" t="str">
        <f t="shared" si="2"/>
        <v>15:30:00</v>
      </c>
      <c r="K83" s="4">
        <f t="shared" si="3"/>
        <v>230</v>
      </c>
      <c r="L83" s="4">
        <f t="shared" si="4"/>
        <v>-0.2222222222</v>
      </c>
      <c r="M83" s="4">
        <f t="shared" si="5"/>
        <v>229.7777778</v>
      </c>
    </row>
    <row r="84">
      <c r="A84" s="4" t="s">
        <v>282</v>
      </c>
      <c r="B84" s="4" t="s">
        <v>2760</v>
      </c>
      <c r="C84" s="4" t="s">
        <v>2970</v>
      </c>
      <c r="D84" s="4" t="s">
        <v>2971</v>
      </c>
      <c r="E84" s="10">
        <f>IFERROR(__xludf.DUMMYFUNCTION("SPLIT(B84,""T"")"),43469.0)</f>
        <v>43469</v>
      </c>
      <c r="F84" s="4" t="str">
        <f>IFERROR(__xludf.DUMMYFUNCTION("""COMPUTED_VALUE"""),"10:24:00Z")</f>
        <v>10:24:00Z</v>
      </c>
      <c r="G84" s="11" t="str">
        <f t="shared" si="1"/>
        <v>10:24:00</v>
      </c>
      <c r="H84" s="10">
        <f>IFERROR(__xludf.DUMMYFUNCTION("SPLIT(D84,""T"")"),43240.0)</f>
        <v>43240</v>
      </c>
      <c r="I84" s="4" t="str">
        <f>IFERROR(__xludf.DUMMYFUNCTION("""COMPUTED_VALUE"""),"13:07:00Z")</f>
        <v>13:07:00Z</v>
      </c>
      <c r="J84" s="4" t="str">
        <f t="shared" si="2"/>
        <v>13:07:00</v>
      </c>
      <c r="K84" s="4">
        <f t="shared" si="3"/>
        <v>229</v>
      </c>
      <c r="L84" s="4">
        <f t="shared" si="4"/>
        <v>-0.1131944444</v>
      </c>
      <c r="M84" s="4">
        <f t="shared" si="5"/>
        <v>228.8868056</v>
      </c>
    </row>
    <row r="85">
      <c r="A85" s="4" t="s">
        <v>27</v>
      </c>
      <c r="B85" s="4" t="s">
        <v>2169</v>
      </c>
      <c r="C85" s="4" t="s">
        <v>2170</v>
      </c>
      <c r="D85" s="4" t="s">
        <v>2171</v>
      </c>
      <c r="E85" s="10">
        <f>IFERROR(__xludf.DUMMYFUNCTION("SPLIT(B85,""T"")"),43109.0)</f>
        <v>43109</v>
      </c>
      <c r="F85" s="4" t="str">
        <f>IFERROR(__xludf.DUMMYFUNCTION("""COMPUTED_VALUE"""),"10:16:00Z")</f>
        <v>10:16:00Z</v>
      </c>
      <c r="G85" s="11" t="str">
        <f t="shared" si="1"/>
        <v>10:16:00</v>
      </c>
      <c r="H85" s="10">
        <f>IFERROR(__xludf.DUMMYFUNCTION("SPLIT(D85,""T"")"),42880.0)</f>
        <v>42880</v>
      </c>
      <c r="I85" s="4" t="str">
        <f>IFERROR(__xludf.DUMMYFUNCTION("""COMPUTED_VALUE"""),"14:48:00Z")</f>
        <v>14:48:00Z</v>
      </c>
      <c r="J85" s="4" t="str">
        <f t="shared" si="2"/>
        <v>14:48:00</v>
      </c>
      <c r="K85" s="4">
        <f t="shared" si="3"/>
        <v>229</v>
      </c>
      <c r="L85" s="4">
        <f t="shared" si="4"/>
        <v>-0.1888888889</v>
      </c>
      <c r="M85" s="4">
        <f t="shared" si="5"/>
        <v>228.8111111</v>
      </c>
    </row>
    <row r="86">
      <c r="A86" s="4" t="s">
        <v>62</v>
      </c>
      <c r="B86" s="4" t="s">
        <v>1955</v>
      </c>
      <c r="C86" s="4" t="s">
        <v>1381</v>
      </c>
      <c r="D86" s="4" t="s">
        <v>1956</v>
      </c>
      <c r="E86" s="10">
        <f>IFERROR(__xludf.DUMMYFUNCTION("SPLIT(B86,""T"")"),43109.0)</f>
        <v>43109</v>
      </c>
      <c r="F86" s="4" t="str">
        <f>IFERROR(__xludf.DUMMYFUNCTION("""COMPUTED_VALUE"""),"10:17:00Z")</f>
        <v>10:17:00Z</v>
      </c>
      <c r="G86" s="11" t="str">
        <f t="shared" si="1"/>
        <v>10:17:00</v>
      </c>
      <c r="H86" s="10">
        <f>IFERROR(__xludf.DUMMYFUNCTION("SPLIT(D86,""T"")"),42880.0)</f>
        <v>42880</v>
      </c>
      <c r="I86" s="4" t="str">
        <f>IFERROR(__xludf.DUMMYFUNCTION("""COMPUTED_VALUE"""),"18:15:00Z")</f>
        <v>18:15:00Z</v>
      </c>
      <c r="J86" s="4" t="str">
        <f t="shared" si="2"/>
        <v>18:15:00</v>
      </c>
      <c r="K86" s="4">
        <f t="shared" si="3"/>
        <v>229</v>
      </c>
      <c r="L86" s="4">
        <f t="shared" si="4"/>
        <v>-0.3319444444</v>
      </c>
      <c r="M86" s="4">
        <f t="shared" si="5"/>
        <v>228.6680556</v>
      </c>
    </row>
    <row r="87">
      <c r="A87" s="4" t="s">
        <v>166</v>
      </c>
      <c r="B87" s="4" t="s">
        <v>3027</v>
      </c>
      <c r="C87" s="4" t="s">
        <v>3206</v>
      </c>
      <c r="D87" s="4" t="s">
        <v>3207</v>
      </c>
      <c r="E87" s="10">
        <f>IFERROR(__xludf.DUMMYFUNCTION("SPLIT(B87,""T"")"),43469.0)</f>
        <v>43469</v>
      </c>
      <c r="F87" s="4" t="str">
        <f>IFERROR(__xludf.DUMMYFUNCTION("""COMPUTED_VALUE"""),"10:23:00Z")</f>
        <v>10:23:00Z</v>
      </c>
      <c r="G87" s="11" t="str">
        <f t="shared" si="1"/>
        <v>10:23:00</v>
      </c>
      <c r="H87" s="10">
        <f>IFERROR(__xludf.DUMMYFUNCTION("SPLIT(D87,""T"")"),43241.0)</f>
        <v>43241</v>
      </c>
      <c r="I87" s="4" t="str">
        <f>IFERROR(__xludf.DUMMYFUNCTION("""COMPUTED_VALUE"""),"11:56:00Z")</f>
        <v>11:56:00Z</v>
      </c>
      <c r="J87" s="4" t="str">
        <f t="shared" si="2"/>
        <v>11:56:00</v>
      </c>
      <c r="K87" s="4">
        <f t="shared" si="3"/>
        <v>228</v>
      </c>
      <c r="L87" s="4">
        <f t="shared" si="4"/>
        <v>-0.06458333333</v>
      </c>
      <c r="M87" s="4">
        <f t="shared" si="5"/>
        <v>227.9354167</v>
      </c>
    </row>
    <row r="88">
      <c r="A88" s="4" t="s">
        <v>62</v>
      </c>
      <c r="B88" s="4" t="s">
        <v>3027</v>
      </c>
      <c r="C88" s="4" t="s">
        <v>3028</v>
      </c>
      <c r="D88" s="4" t="s">
        <v>3029</v>
      </c>
      <c r="E88" s="10">
        <f>IFERROR(__xludf.DUMMYFUNCTION("SPLIT(B88,""T"")"),43469.0)</f>
        <v>43469</v>
      </c>
      <c r="F88" s="4" t="str">
        <f>IFERROR(__xludf.DUMMYFUNCTION("""COMPUTED_VALUE"""),"10:23:00Z")</f>
        <v>10:23:00Z</v>
      </c>
      <c r="G88" s="11" t="str">
        <f t="shared" si="1"/>
        <v>10:23:00</v>
      </c>
      <c r="H88" s="10">
        <f>IFERROR(__xludf.DUMMYFUNCTION("SPLIT(D88,""T"")"),43242.0)</f>
        <v>43242</v>
      </c>
      <c r="I88" s="4" t="str">
        <f>IFERROR(__xludf.DUMMYFUNCTION("""COMPUTED_VALUE"""),"14:13:00Z")</f>
        <v>14:13:00Z</v>
      </c>
      <c r="J88" s="4" t="str">
        <f t="shared" si="2"/>
        <v>14:13:00</v>
      </c>
      <c r="K88" s="4">
        <f t="shared" si="3"/>
        <v>227</v>
      </c>
      <c r="L88" s="4">
        <f t="shared" si="4"/>
        <v>-0.1597222222</v>
      </c>
      <c r="M88" s="4">
        <f t="shared" si="5"/>
        <v>226.8402778</v>
      </c>
    </row>
    <row r="89">
      <c r="A89" s="4" t="s">
        <v>39</v>
      </c>
      <c r="B89" s="4" t="s">
        <v>1955</v>
      </c>
      <c r="C89" s="4" t="s">
        <v>2547</v>
      </c>
      <c r="D89" s="4" t="s">
        <v>2548</v>
      </c>
      <c r="E89" s="10">
        <f>IFERROR(__xludf.DUMMYFUNCTION("SPLIT(B89,""T"")"),43109.0)</f>
        <v>43109</v>
      </c>
      <c r="F89" s="4" t="str">
        <f>IFERROR(__xludf.DUMMYFUNCTION("""COMPUTED_VALUE"""),"10:17:00Z")</f>
        <v>10:17:00Z</v>
      </c>
      <c r="G89" s="11" t="str">
        <f t="shared" si="1"/>
        <v>10:17:00</v>
      </c>
      <c r="H89" s="10">
        <f>IFERROR(__xludf.DUMMYFUNCTION("SPLIT(D89,""T"")"),42883.0)</f>
        <v>42883</v>
      </c>
      <c r="I89" s="4" t="str">
        <f>IFERROR(__xludf.DUMMYFUNCTION("""COMPUTED_VALUE"""),"07:49:00Z")</f>
        <v>07:49:00Z</v>
      </c>
      <c r="J89" s="4" t="str">
        <f t="shared" si="2"/>
        <v>07:49:00</v>
      </c>
      <c r="K89" s="4">
        <f t="shared" si="3"/>
        <v>226</v>
      </c>
      <c r="L89" s="4">
        <f t="shared" si="4"/>
        <v>0.1027777778</v>
      </c>
      <c r="M89" s="4">
        <f t="shared" si="5"/>
        <v>226.1027778</v>
      </c>
    </row>
    <row r="90">
      <c r="A90" s="4" t="s">
        <v>69</v>
      </c>
      <c r="B90" s="4" t="s">
        <v>1955</v>
      </c>
      <c r="C90" s="4" t="s">
        <v>2614</v>
      </c>
      <c r="D90" s="4" t="s">
        <v>2615</v>
      </c>
      <c r="E90" s="10">
        <f>IFERROR(__xludf.DUMMYFUNCTION("SPLIT(B90,""T"")"),43109.0)</f>
        <v>43109</v>
      </c>
      <c r="F90" s="4" t="str">
        <f>IFERROR(__xludf.DUMMYFUNCTION("""COMPUTED_VALUE"""),"10:17:00Z")</f>
        <v>10:17:00Z</v>
      </c>
      <c r="G90" s="11" t="str">
        <f t="shared" si="1"/>
        <v>10:17:00</v>
      </c>
      <c r="H90" s="10">
        <f>IFERROR(__xludf.DUMMYFUNCTION("SPLIT(D90,""T"")"),42883.0)</f>
        <v>42883</v>
      </c>
      <c r="I90" s="4" t="str">
        <f>IFERROR(__xludf.DUMMYFUNCTION("""COMPUTED_VALUE"""),"10:59:00Z")</f>
        <v>10:59:00Z</v>
      </c>
      <c r="J90" s="4" t="str">
        <f t="shared" si="2"/>
        <v>10:59:00</v>
      </c>
      <c r="K90" s="4">
        <f t="shared" si="3"/>
        <v>226</v>
      </c>
      <c r="L90" s="4">
        <f t="shared" si="4"/>
        <v>-0.02916666667</v>
      </c>
      <c r="M90" s="4">
        <f t="shared" si="5"/>
        <v>225.9708333</v>
      </c>
    </row>
    <row r="91">
      <c r="A91" s="4" t="s">
        <v>156</v>
      </c>
      <c r="B91" s="4" t="s">
        <v>3027</v>
      </c>
      <c r="C91" s="4" t="s">
        <v>3037</v>
      </c>
      <c r="D91" s="4" t="s">
        <v>3038</v>
      </c>
      <c r="E91" s="10">
        <f>IFERROR(__xludf.DUMMYFUNCTION("SPLIT(B91,""T"")"),43469.0)</f>
        <v>43469</v>
      </c>
      <c r="F91" s="4" t="str">
        <f>IFERROR(__xludf.DUMMYFUNCTION("""COMPUTED_VALUE"""),"10:23:00Z")</f>
        <v>10:23:00Z</v>
      </c>
      <c r="G91" s="11" t="str">
        <f t="shared" si="1"/>
        <v>10:23:00</v>
      </c>
      <c r="H91" s="10">
        <f>IFERROR(__xludf.DUMMYFUNCTION("SPLIT(D91,""T"")"),43243.0)</f>
        <v>43243</v>
      </c>
      <c r="I91" s="4" t="str">
        <f>IFERROR(__xludf.DUMMYFUNCTION("""COMPUTED_VALUE"""),"14:30:00Z")</f>
        <v>14:30:00Z</v>
      </c>
      <c r="J91" s="4" t="str">
        <f t="shared" si="2"/>
        <v>14:30:00</v>
      </c>
      <c r="K91" s="4">
        <f t="shared" si="3"/>
        <v>226</v>
      </c>
      <c r="L91" s="4">
        <f t="shared" si="4"/>
        <v>-0.1715277778</v>
      </c>
      <c r="M91" s="4">
        <f t="shared" si="5"/>
        <v>225.8284722</v>
      </c>
    </row>
    <row r="92">
      <c r="A92" s="4" t="s">
        <v>27</v>
      </c>
      <c r="B92" s="4" t="s">
        <v>2339</v>
      </c>
      <c r="C92" s="4" t="s">
        <v>2340</v>
      </c>
      <c r="D92" s="4" t="s">
        <v>2341</v>
      </c>
      <c r="E92" s="10">
        <f>IFERROR(__xludf.DUMMYFUNCTION("SPLIT(B92,""T"")"),43109.0)</f>
        <v>43109</v>
      </c>
      <c r="F92" s="4" t="str">
        <f>IFERROR(__xludf.DUMMYFUNCTION("""COMPUTED_VALUE"""),"10:21:00Z")</f>
        <v>10:21:00Z</v>
      </c>
      <c r="G92" s="11" t="str">
        <f t="shared" si="1"/>
        <v>10:21:00</v>
      </c>
      <c r="H92" s="10">
        <f>IFERROR(__xludf.DUMMYFUNCTION("SPLIT(D92,""T"")"),42883.0)</f>
        <v>42883</v>
      </c>
      <c r="I92" s="4" t="str">
        <f>IFERROR(__xludf.DUMMYFUNCTION("""COMPUTED_VALUE"""),"15:27:00Z")</f>
        <v>15:27:00Z</v>
      </c>
      <c r="J92" s="4" t="str">
        <f t="shared" si="2"/>
        <v>15:27:00</v>
      </c>
      <c r="K92" s="4">
        <f t="shared" si="3"/>
        <v>226</v>
      </c>
      <c r="L92" s="4">
        <f t="shared" si="4"/>
        <v>-0.2125</v>
      </c>
      <c r="M92" s="4">
        <f t="shared" si="5"/>
        <v>225.7875</v>
      </c>
    </row>
    <row r="93">
      <c r="A93" s="4" t="s">
        <v>411</v>
      </c>
      <c r="B93" s="4" t="s">
        <v>2339</v>
      </c>
      <c r="C93" s="4" t="s">
        <v>2555</v>
      </c>
      <c r="D93" s="4" t="s">
        <v>2556</v>
      </c>
      <c r="E93" s="10">
        <f>IFERROR(__xludf.DUMMYFUNCTION("SPLIT(B93,""T"")"),43109.0)</f>
        <v>43109</v>
      </c>
      <c r="F93" s="4" t="str">
        <f>IFERROR(__xludf.DUMMYFUNCTION("""COMPUTED_VALUE"""),"10:21:00Z")</f>
        <v>10:21:00Z</v>
      </c>
      <c r="G93" s="11" t="str">
        <f t="shared" si="1"/>
        <v>10:21:00</v>
      </c>
      <c r="H93" s="10">
        <f>IFERROR(__xludf.DUMMYFUNCTION("SPLIT(D93,""T"")"),42883.0)</f>
        <v>42883</v>
      </c>
      <c r="I93" s="4" t="str">
        <f>IFERROR(__xludf.DUMMYFUNCTION("""COMPUTED_VALUE"""),"15:30:00Z")</f>
        <v>15:30:00Z</v>
      </c>
      <c r="J93" s="4" t="str">
        <f t="shared" si="2"/>
        <v>15:30:00</v>
      </c>
      <c r="K93" s="4">
        <f t="shared" si="3"/>
        <v>226</v>
      </c>
      <c r="L93" s="4">
        <f t="shared" si="4"/>
        <v>-0.2145833333</v>
      </c>
      <c r="M93" s="4">
        <f t="shared" si="5"/>
        <v>225.7854167</v>
      </c>
    </row>
    <row r="94">
      <c r="A94" s="4" t="s">
        <v>39</v>
      </c>
      <c r="B94" s="4" t="s">
        <v>2339</v>
      </c>
      <c r="C94" s="4" t="s">
        <v>2531</v>
      </c>
      <c r="D94" s="4" t="s">
        <v>2532</v>
      </c>
      <c r="E94" s="10">
        <f>IFERROR(__xludf.DUMMYFUNCTION("SPLIT(B94,""T"")"),43109.0)</f>
        <v>43109</v>
      </c>
      <c r="F94" s="4" t="str">
        <f>IFERROR(__xludf.DUMMYFUNCTION("""COMPUTED_VALUE"""),"10:21:00Z")</f>
        <v>10:21:00Z</v>
      </c>
      <c r="G94" s="11" t="str">
        <f t="shared" si="1"/>
        <v>10:21:00</v>
      </c>
      <c r="H94" s="10">
        <f>IFERROR(__xludf.DUMMYFUNCTION("SPLIT(D94,""T"")"),42883.0)</f>
        <v>42883</v>
      </c>
      <c r="I94" s="4" t="str">
        <f>IFERROR(__xludf.DUMMYFUNCTION("""COMPUTED_VALUE"""),"16:16:00Z")</f>
        <v>16:16:00Z</v>
      </c>
      <c r="J94" s="4" t="str">
        <f t="shared" si="2"/>
        <v>16:16:00</v>
      </c>
      <c r="K94" s="4">
        <f t="shared" si="3"/>
        <v>226</v>
      </c>
      <c r="L94" s="4">
        <f t="shared" si="4"/>
        <v>-0.2465277778</v>
      </c>
      <c r="M94" s="4">
        <f t="shared" si="5"/>
        <v>225.7534722</v>
      </c>
    </row>
    <row r="95">
      <c r="A95" s="4" t="s">
        <v>134</v>
      </c>
      <c r="B95" s="4" t="s">
        <v>2272</v>
      </c>
      <c r="C95" s="4" t="s">
        <v>2545</v>
      </c>
      <c r="D95" s="4" t="s">
        <v>2546</v>
      </c>
      <c r="E95" s="10">
        <f>IFERROR(__xludf.DUMMYFUNCTION("SPLIT(B95,""T"")"),43109.0)</f>
        <v>43109</v>
      </c>
      <c r="F95" s="4" t="str">
        <f>IFERROR(__xludf.DUMMYFUNCTION("""COMPUTED_VALUE"""),"10:22:00Z")</f>
        <v>10:22:00Z</v>
      </c>
      <c r="G95" s="11" t="str">
        <f t="shared" si="1"/>
        <v>10:22:00</v>
      </c>
      <c r="H95" s="10">
        <f>IFERROR(__xludf.DUMMYFUNCTION("SPLIT(D95,""T"")"),42884.0)</f>
        <v>42884</v>
      </c>
      <c r="I95" s="4" t="str">
        <f>IFERROR(__xludf.DUMMYFUNCTION("""COMPUTED_VALUE"""),"01:20:00Z")</f>
        <v>01:20:00Z</v>
      </c>
      <c r="J95" s="4" t="str">
        <f t="shared" si="2"/>
        <v>01:20:00</v>
      </c>
      <c r="K95" s="4">
        <f t="shared" si="3"/>
        <v>225</v>
      </c>
      <c r="L95" s="4">
        <f t="shared" si="4"/>
        <v>0.3763888889</v>
      </c>
      <c r="M95" s="4">
        <f t="shared" si="5"/>
        <v>225.3763889</v>
      </c>
    </row>
    <row r="96">
      <c r="A96" s="4" t="s">
        <v>149</v>
      </c>
      <c r="B96" s="4" t="s">
        <v>2940</v>
      </c>
      <c r="C96" s="4" t="s">
        <v>128</v>
      </c>
      <c r="D96" s="4" t="s">
        <v>2955</v>
      </c>
      <c r="E96" s="10">
        <f>IFERROR(__xludf.DUMMYFUNCTION("SPLIT(B96,""T"")"),43469.0)</f>
        <v>43469</v>
      </c>
      <c r="F96" s="4" t="str">
        <f>IFERROR(__xludf.DUMMYFUNCTION("""COMPUTED_VALUE"""),"10:22:00Z")</f>
        <v>10:22:00Z</v>
      </c>
      <c r="G96" s="11" t="str">
        <f t="shared" si="1"/>
        <v>10:22:00</v>
      </c>
      <c r="H96" s="10">
        <f>IFERROR(__xludf.DUMMYFUNCTION("SPLIT(D96,""T"")"),43244.0)</f>
        <v>43244</v>
      </c>
      <c r="I96" s="4" t="str">
        <f>IFERROR(__xludf.DUMMYFUNCTION("""COMPUTED_VALUE"""),"10:43:00Z")</f>
        <v>10:43:00Z</v>
      </c>
      <c r="J96" s="4" t="str">
        <f t="shared" si="2"/>
        <v>10:43:00</v>
      </c>
      <c r="K96" s="4">
        <f t="shared" si="3"/>
        <v>225</v>
      </c>
      <c r="L96" s="4">
        <f t="shared" si="4"/>
        <v>-0.01458333333</v>
      </c>
      <c r="M96" s="4">
        <f t="shared" si="5"/>
        <v>224.9854167</v>
      </c>
    </row>
    <row r="97">
      <c r="A97" s="4" t="s">
        <v>367</v>
      </c>
      <c r="B97" s="4" t="s">
        <v>2272</v>
      </c>
      <c r="C97" s="4" t="s">
        <v>2612</v>
      </c>
      <c r="D97" s="4" t="s">
        <v>2613</v>
      </c>
      <c r="E97" s="10">
        <f>IFERROR(__xludf.DUMMYFUNCTION("SPLIT(B97,""T"")"),43109.0)</f>
        <v>43109</v>
      </c>
      <c r="F97" s="4" t="str">
        <f>IFERROR(__xludf.DUMMYFUNCTION("""COMPUTED_VALUE"""),"10:22:00Z")</f>
        <v>10:22:00Z</v>
      </c>
      <c r="G97" s="11" t="str">
        <f t="shared" si="1"/>
        <v>10:22:00</v>
      </c>
      <c r="H97" s="10">
        <f>IFERROR(__xludf.DUMMYFUNCTION("SPLIT(D97,""T"")"),42884.0)</f>
        <v>42884</v>
      </c>
      <c r="I97" s="4" t="str">
        <f>IFERROR(__xludf.DUMMYFUNCTION("""COMPUTED_VALUE"""),"15:31:00Z")</f>
        <v>15:31:00Z</v>
      </c>
      <c r="J97" s="4" t="str">
        <f t="shared" si="2"/>
        <v>15:31:00</v>
      </c>
      <c r="K97" s="4">
        <f t="shared" si="3"/>
        <v>225</v>
      </c>
      <c r="L97" s="4">
        <f t="shared" si="4"/>
        <v>-0.2145833333</v>
      </c>
      <c r="M97" s="4">
        <f t="shared" si="5"/>
        <v>224.7854167</v>
      </c>
    </row>
    <row r="98">
      <c r="A98" s="4" t="s">
        <v>94</v>
      </c>
      <c r="B98" s="4" t="s">
        <v>2240</v>
      </c>
      <c r="C98" s="4" t="s">
        <v>2241</v>
      </c>
      <c r="D98" s="4" t="s">
        <v>2242</v>
      </c>
      <c r="E98" s="10">
        <f>IFERROR(__xludf.DUMMYFUNCTION("SPLIT(B98,""T"")"),43109.0)</f>
        <v>43109</v>
      </c>
      <c r="F98" s="4" t="str">
        <f>IFERROR(__xludf.DUMMYFUNCTION("""COMPUTED_VALUE"""),"10:23:00Z")</f>
        <v>10:23:00Z</v>
      </c>
      <c r="G98" s="11" t="str">
        <f t="shared" si="1"/>
        <v>10:23:00</v>
      </c>
      <c r="H98" s="10">
        <f>IFERROR(__xludf.DUMMYFUNCTION("SPLIT(D98,""T"")"),42886.0)</f>
        <v>42886</v>
      </c>
      <c r="I98" s="4" t="str">
        <f>IFERROR(__xludf.DUMMYFUNCTION("""COMPUTED_VALUE"""),"11:30:00Z")</f>
        <v>11:30:00Z</v>
      </c>
      <c r="J98" s="4" t="str">
        <f t="shared" si="2"/>
        <v>11:30:00</v>
      </c>
      <c r="K98" s="4">
        <f t="shared" si="3"/>
        <v>223</v>
      </c>
      <c r="L98" s="4">
        <f t="shared" si="4"/>
        <v>-0.04652777778</v>
      </c>
      <c r="M98" s="4">
        <f t="shared" si="5"/>
        <v>222.9534722</v>
      </c>
    </row>
    <row r="99">
      <c r="A99" s="4" t="s">
        <v>39</v>
      </c>
      <c r="B99" s="4" t="s">
        <v>2940</v>
      </c>
      <c r="C99" s="4" t="s">
        <v>2941</v>
      </c>
      <c r="D99" s="4" t="s">
        <v>2942</v>
      </c>
      <c r="E99" s="10">
        <f>IFERROR(__xludf.DUMMYFUNCTION("SPLIT(B99,""T"")"),43469.0)</f>
        <v>43469</v>
      </c>
      <c r="F99" s="4" t="str">
        <f>IFERROR(__xludf.DUMMYFUNCTION("""COMPUTED_VALUE"""),"10:22:00Z")</f>
        <v>10:22:00Z</v>
      </c>
      <c r="G99" s="11" t="str">
        <f t="shared" si="1"/>
        <v>10:22:00</v>
      </c>
      <c r="H99" s="10">
        <f>IFERROR(__xludf.DUMMYFUNCTION("SPLIT(D99,""T"")"),43246.0)</f>
        <v>43246</v>
      </c>
      <c r="I99" s="4" t="str">
        <f>IFERROR(__xludf.DUMMYFUNCTION("""COMPUTED_VALUE"""),"14:52:00Z")</f>
        <v>14:52:00Z</v>
      </c>
      <c r="J99" s="4" t="str">
        <f t="shared" si="2"/>
        <v>14:52:00</v>
      </c>
      <c r="K99" s="4">
        <f t="shared" si="3"/>
        <v>223</v>
      </c>
      <c r="L99" s="4">
        <f t="shared" si="4"/>
        <v>-0.1875</v>
      </c>
      <c r="M99" s="4">
        <f t="shared" si="5"/>
        <v>222.8125</v>
      </c>
    </row>
    <row r="100">
      <c r="A100" s="4" t="s">
        <v>247</v>
      </c>
      <c r="B100" s="4" t="s">
        <v>2272</v>
      </c>
      <c r="C100" s="4" t="s">
        <v>1665</v>
      </c>
      <c r="D100" s="4" t="s">
        <v>2273</v>
      </c>
      <c r="E100" s="10">
        <f>IFERROR(__xludf.DUMMYFUNCTION("SPLIT(B100,""T"")"),43109.0)</f>
        <v>43109</v>
      </c>
      <c r="F100" s="4" t="str">
        <f>IFERROR(__xludf.DUMMYFUNCTION("""COMPUTED_VALUE"""),"10:22:00Z")</f>
        <v>10:22:00Z</v>
      </c>
      <c r="G100" s="11" t="str">
        <f t="shared" si="1"/>
        <v>10:22:00</v>
      </c>
      <c r="H100" s="10">
        <f>IFERROR(__xludf.DUMMYFUNCTION("SPLIT(D100,""T"")"),42887.0)</f>
        <v>42887</v>
      </c>
      <c r="I100" s="4" t="str">
        <f>IFERROR(__xludf.DUMMYFUNCTION("""COMPUTED_VALUE"""),"15:38:00Z")</f>
        <v>15:38:00Z</v>
      </c>
      <c r="J100" s="4" t="str">
        <f t="shared" si="2"/>
        <v>15:38:00</v>
      </c>
      <c r="K100" s="4">
        <f t="shared" si="3"/>
        <v>222</v>
      </c>
      <c r="L100" s="4">
        <f t="shared" si="4"/>
        <v>-0.2194444444</v>
      </c>
      <c r="M100" s="4">
        <f t="shared" si="5"/>
        <v>221.7805556</v>
      </c>
    </row>
    <row r="101">
      <c r="A101" s="4" t="s">
        <v>27</v>
      </c>
      <c r="B101" s="4" t="s">
        <v>2240</v>
      </c>
      <c r="C101" s="4" t="s">
        <v>2467</v>
      </c>
      <c r="D101" s="4" t="s">
        <v>2468</v>
      </c>
      <c r="E101" s="10">
        <f>IFERROR(__xludf.DUMMYFUNCTION("SPLIT(B101,""T"")"),43109.0)</f>
        <v>43109</v>
      </c>
      <c r="F101" s="4" t="str">
        <f>IFERROR(__xludf.DUMMYFUNCTION("""COMPUTED_VALUE"""),"10:23:00Z")</f>
        <v>10:23:00Z</v>
      </c>
      <c r="G101" s="11" t="str">
        <f t="shared" si="1"/>
        <v>10:23:00</v>
      </c>
      <c r="H101" s="10">
        <f>IFERROR(__xludf.DUMMYFUNCTION("SPLIT(D101,""T"")"),42887.0)</f>
        <v>42887</v>
      </c>
      <c r="I101" s="4" t="str">
        <f>IFERROR(__xludf.DUMMYFUNCTION("""COMPUTED_VALUE"""),"16:12:00Z")</f>
        <v>16:12:00Z</v>
      </c>
      <c r="J101" s="4" t="str">
        <f t="shared" si="2"/>
        <v>16:12:00</v>
      </c>
      <c r="K101" s="4">
        <f t="shared" si="3"/>
        <v>222</v>
      </c>
      <c r="L101" s="4">
        <f t="shared" si="4"/>
        <v>-0.2423611111</v>
      </c>
      <c r="M101" s="4">
        <f t="shared" si="5"/>
        <v>221.7576389</v>
      </c>
    </row>
    <row r="102">
      <c r="A102" s="4" t="s">
        <v>401</v>
      </c>
      <c r="B102" s="4" t="s">
        <v>2940</v>
      </c>
      <c r="C102" s="4" t="s">
        <v>3170</v>
      </c>
      <c r="D102" s="4" t="s">
        <v>3171</v>
      </c>
      <c r="E102" s="10">
        <f>IFERROR(__xludf.DUMMYFUNCTION("SPLIT(B102,""T"")"),43469.0)</f>
        <v>43469</v>
      </c>
      <c r="F102" s="4" t="str">
        <f>IFERROR(__xludf.DUMMYFUNCTION("""COMPUTED_VALUE"""),"10:22:00Z")</f>
        <v>10:22:00Z</v>
      </c>
      <c r="G102" s="11" t="str">
        <f t="shared" si="1"/>
        <v>10:22:00</v>
      </c>
      <c r="H102" s="10">
        <f>IFERROR(__xludf.DUMMYFUNCTION("SPLIT(D102,""T"")"),43247.0)</f>
        <v>43247</v>
      </c>
      <c r="I102" s="4" t="str">
        <f>IFERROR(__xludf.DUMMYFUNCTION("""COMPUTED_VALUE"""),"17:05:00Z")</f>
        <v>17:05:00Z</v>
      </c>
      <c r="J102" s="4" t="str">
        <f t="shared" si="2"/>
        <v>17:05:00</v>
      </c>
      <c r="K102" s="4">
        <f t="shared" si="3"/>
        <v>222</v>
      </c>
      <c r="L102" s="4">
        <f t="shared" si="4"/>
        <v>-0.2798611111</v>
      </c>
      <c r="M102" s="4">
        <f t="shared" si="5"/>
        <v>221.7201389</v>
      </c>
    </row>
    <row r="103">
      <c r="A103" s="4" t="s">
        <v>27</v>
      </c>
      <c r="B103" s="4" t="s">
        <v>2985</v>
      </c>
      <c r="C103" s="4" t="s">
        <v>3244</v>
      </c>
      <c r="D103" s="4" t="s">
        <v>3245</v>
      </c>
      <c r="E103" s="10">
        <f>IFERROR(__xludf.DUMMYFUNCTION("SPLIT(B103,""T"")"),43469.0)</f>
        <v>43469</v>
      </c>
      <c r="F103" s="4" t="str">
        <f>IFERROR(__xludf.DUMMYFUNCTION("""COMPUTED_VALUE"""),"10:21:00Z")</f>
        <v>10:21:00Z</v>
      </c>
      <c r="G103" s="11" t="str">
        <f t="shared" si="1"/>
        <v>10:21:00</v>
      </c>
      <c r="H103" s="10">
        <f>IFERROR(__xludf.DUMMYFUNCTION("SPLIT(D103,""T"")"),43248.0)</f>
        <v>43248</v>
      </c>
      <c r="I103" s="4" t="str">
        <f>IFERROR(__xludf.DUMMYFUNCTION("""COMPUTED_VALUE"""),"07:23:00Z")</f>
        <v>07:23:00Z</v>
      </c>
      <c r="J103" s="4" t="str">
        <f t="shared" si="2"/>
        <v>07:23:00</v>
      </c>
      <c r="K103" s="4">
        <f t="shared" si="3"/>
        <v>221</v>
      </c>
      <c r="L103" s="4">
        <f t="shared" si="4"/>
        <v>0.1236111111</v>
      </c>
      <c r="M103" s="4">
        <f t="shared" si="5"/>
        <v>221.1236111</v>
      </c>
    </row>
    <row r="104">
      <c r="A104" s="4" t="s">
        <v>212</v>
      </c>
      <c r="B104" s="4" t="s">
        <v>2985</v>
      </c>
      <c r="C104" s="4" t="s">
        <v>2730</v>
      </c>
      <c r="D104" s="4" t="s">
        <v>2986</v>
      </c>
      <c r="E104" s="10">
        <f>IFERROR(__xludf.DUMMYFUNCTION("SPLIT(B104,""T"")"),43469.0)</f>
        <v>43469</v>
      </c>
      <c r="F104" s="4" t="str">
        <f>IFERROR(__xludf.DUMMYFUNCTION("""COMPUTED_VALUE"""),"10:21:00Z")</f>
        <v>10:21:00Z</v>
      </c>
      <c r="G104" s="11" t="str">
        <f t="shared" si="1"/>
        <v>10:21:00</v>
      </c>
      <c r="H104" s="10">
        <f>IFERROR(__xludf.DUMMYFUNCTION("SPLIT(D104,""T"")"),43248.0)</f>
        <v>43248</v>
      </c>
      <c r="I104" s="4" t="str">
        <f>IFERROR(__xludf.DUMMYFUNCTION("""COMPUTED_VALUE"""),"17:33:00Z")</f>
        <v>17:33:00Z</v>
      </c>
      <c r="J104" s="4" t="str">
        <f t="shared" si="2"/>
        <v>17:33:00</v>
      </c>
      <c r="K104" s="4">
        <f t="shared" si="3"/>
        <v>221</v>
      </c>
      <c r="L104" s="4">
        <f t="shared" si="4"/>
        <v>-0.3</v>
      </c>
      <c r="M104" s="4">
        <f t="shared" si="5"/>
        <v>220.7</v>
      </c>
    </row>
    <row r="105">
      <c r="A105" s="4" t="s">
        <v>69</v>
      </c>
      <c r="B105" s="4" t="s">
        <v>2240</v>
      </c>
      <c r="C105" s="4" t="s">
        <v>929</v>
      </c>
      <c r="D105" s="4" t="s">
        <v>2544</v>
      </c>
      <c r="E105" s="10">
        <f>IFERROR(__xludf.DUMMYFUNCTION("SPLIT(B105,""T"")"),43109.0)</f>
        <v>43109</v>
      </c>
      <c r="F105" s="4" t="str">
        <f>IFERROR(__xludf.DUMMYFUNCTION("""COMPUTED_VALUE"""),"10:23:00Z")</f>
        <v>10:23:00Z</v>
      </c>
      <c r="G105" s="11" t="str">
        <f t="shared" si="1"/>
        <v>10:23:00</v>
      </c>
      <c r="H105" s="10">
        <f>IFERROR(__xludf.DUMMYFUNCTION("SPLIT(D105,""T"")"),42888.0)</f>
        <v>42888</v>
      </c>
      <c r="I105" s="4" t="str">
        <f>IFERROR(__xludf.DUMMYFUNCTION("""COMPUTED_VALUE"""),"18:55:00Z")</f>
        <v>18:55:00Z</v>
      </c>
      <c r="J105" s="4" t="str">
        <f t="shared" si="2"/>
        <v>18:55:00</v>
      </c>
      <c r="K105" s="4">
        <f t="shared" si="3"/>
        <v>221</v>
      </c>
      <c r="L105" s="4">
        <f t="shared" si="4"/>
        <v>-0.3555555556</v>
      </c>
      <c r="M105" s="4">
        <f t="shared" si="5"/>
        <v>220.6444444</v>
      </c>
    </row>
    <row r="106">
      <c r="A106" s="4" t="s">
        <v>27</v>
      </c>
      <c r="B106" s="4" t="s">
        <v>2366</v>
      </c>
      <c r="C106" s="4" t="s">
        <v>2460</v>
      </c>
      <c r="D106" s="4" t="s">
        <v>2461</v>
      </c>
      <c r="E106" s="10">
        <f>IFERROR(__xludf.DUMMYFUNCTION("SPLIT(B106,""T"")"),43109.0)</f>
        <v>43109</v>
      </c>
      <c r="F106" s="4" t="str">
        <f>IFERROR(__xludf.DUMMYFUNCTION("""COMPUTED_VALUE"""),"10:24:00Z")</f>
        <v>10:24:00Z</v>
      </c>
      <c r="G106" s="11" t="str">
        <f t="shared" si="1"/>
        <v>10:24:00</v>
      </c>
      <c r="H106" s="10">
        <f>IFERROR(__xludf.DUMMYFUNCTION("SPLIT(D106,""T"")"),42889.0)</f>
        <v>42889</v>
      </c>
      <c r="I106" s="4" t="str">
        <f>IFERROR(__xludf.DUMMYFUNCTION("""COMPUTED_VALUE"""),"12:09:00Z")</f>
        <v>12:09:00Z</v>
      </c>
      <c r="J106" s="4" t="str">
        <f t="shared" si="2"/>
        <v>12:09:00</v>
      </c>
      <c r="K106" s="4">
        <f t="shared" si="3"/>
        <v>220</v>
      </c>
      <c r="L106" s="4">
        <f t="shared" si="4"/>
        <v>-0.07291666667</v>
      </c>
      <c r="M106" s="4">
        <f t="shared" si="5"/>
        <v>219.9270833</v>
      </c>
    </row>
    <row r="107">
      <c r="A107" s="4" t="s">
        <v>260</v>
      </c>
      <c r="B107" s="4" t="s">
        <v>2985</v>
      </c>
      <c r="C107" s="4" t="s">
        <v>3011</v>
      </c>
      <c r="D107" s="4" t="s">
        <v>3012</v>
      </c>
      <c r="E107" s="10">
        <f>IFERROR(__xludf.DUMMYFUNCTION("SPLIT(B107,""T"")"),43469.0)</f>
        <v>43469</v>
      </c>
      <c r="F107" s="4" t="str">
        <f>IFERROR(__xludf.DUMMYFUNCTION("""COMPUTED_VALUE"""),"10:21:00Z")</f>
        <v>10:21:00Z</v>
      </c>
      <c r="G107" s="11" t="str">
        <f t="shared" si="1"/>
        <v>10:21:00</v>
      </c>
      <c r="H107" s="10">
        <f>IFERROR(__xludf.DUMMYFUNCTION("SPLIT(D107,""T"")"),43249.0)</f>
        <v>43249</v>
      </c>
      <c r="I107" s="4" t="str">
        <f>IFERROR(__xludf.DUMMYFUNCTION("""COMPUTED_VALUE"""),"12:58:00Z")</f>
        <v>12:58:00Z</v>
      </c>
      <c r="J107" s="4" t="str">
        <f t="shared" si="2"/>
        <v>12:58:00</v>
      </c>
      <c r="K107" s="4">
        <f t="shared" si="3"/>
        <v>220</v>
      </c>
      <c r="L107" s="4">
        <f t="shared" si="4"/>
        <v>-0.1090277778</v>
      </c>
      <c r="M107" s="4">
        <f t="shared" si="5"/>
        <v>219.8909722</v>
      </c>
    </row>
    <row r="108">
      <c r="A108" s="4" t="s">
        <v>145</v>
      </c>
      <c r="B108" s="4" t="s">
        <v>2366</v>
      </c>
      <c r="C108" s="4" t="s">
        <v>2367</v>
      </c>
      <c r="D108" s="4" t="s">
        <v>2368</v>
      </c>
      <c r="E108" s="10">
        <f>IFERROR(__xludf.DUMMYFUNCTION("SPLIT(B108,""T"")"),43109.0)</f>
        <v>43109</v>
      </c>
      <c r="F108" s="4" t="str">
        <f>IFERROR(__xludf.DUMMYFUNCTION("""COMPUTED_VALUE"""),"10:24:00Z")</f>
        <v>10:24:00Z</v>
      </c>
      <c r="G108" s="11" t="str">
        <f t="shared" si="1"/>
        <v>10:24:00</v>
      </c>
      <c r="H108" s="10">
        <f>IFERROR(__xludf.DUMMYFUNCTION("SPLIT(D108,""T"")"),42889.0)</f>
        <v>42889</v>
      </c>
      <c r="I108" s="4" t="str">
        <f>IFERROR(__xludf.DUMMYFUNCTION("""COMPUTED_VALUE"""),"13:09:00Z")</f>
        <v>13:09:00Z</v>
      </c>
      <c r="J108" s="4" t="str">
        <f t="shared" si="2"/>
        <v>13:09:00</v>
      </c>
      <c r="K108" s="4">
        <f t="shared" si="3"/>
        <v>220</v>
      </c>
      <c r="L108" s="4">
        <f t="shared" si="4"/>
        <v>-0.1145833333</v>
      </c>
      <c r="M108" s="4">
        <f t="shared" si="5"/>
        <v>219.8854167</v>
      </c>
    </row>
    <row r="109">
      <c r="A109" s="4" t="s">
        <v>149</v>
      </c>
      <c r="B109" s="4" t="s">
        <v>2799</v>
      </c>
      <c r="C109" s="4" t="s">
        <v>3135</v>
      </c>
      <c r="D109" s="4" t="s">
        <v>3136</v>
      </c>
      <c r="E109" s="10">
        <f>IFERROR(__xludf.DUMMYFUNCTION("SPLIT(B109,""T"")"),43469.0)</f>
        <v>43469</v>
      </c>
      <c r="F109" s="4" t="str">
        <f>IFERROR(__xludf.DUMMYFUNCTION("""COMPUTED_VALUE"""),"10:20:00Z")</f>
        <v>10:20:00Z</v>
      </c>
      <c r="G109" s="11" t="str">
        <f t="shared" si="1"/>
        <v>10:20:00</v>
      </c>
      <c r="H109" s="10">
        <f>IFERROR(__xludf.DUMMYFUNCTION("SPLIT(D109,""T"")"),43249.0)</f>
        <v>43249</v>
      </c>
      <c r="I109" s="4" t="str">
        <f>IFERROR(__xludf.DUMMYFUNCTION("""COMPUTED_VALUE"""),"13:11:00Z")</f>
        <v>13:11:00Z</v>
      </c>
      <c r="J109" s="4" t="str">
        <f t="shared" si="2"/>
        <v>13:11:00</v>
      </c>
      <c r="K109" s="4">
        <f t="shared" si="3"/>
        <v>220</v>
      </c>
      <c r="L109" s="4">
        <f t="shared" si="4"/>
        <v>-0.11875</v>
      </c>
      <c r="M109" s="4">
        <f t="shared" si="5"/>
        <v>219.88125</v>
      </c>
    </row>
    <row r="110">
      <c r="A110" s="4" t="s">
        <v>23</v>
      </c>
      <c r="B110" s="4" t="s">
        <v>2366</v>
      </c>
      <c r="C110" s="4" t="s">
        <v>2480</v>
      </c>
      <c r="D110" s="4" t="s">
        <v>2481</v>
      </c>
      <c r="E110" s="10">
        <f>IFERROR(__xludf.DUMMYFUNCTION("SPLIT(B110,""T"")"),43109.0)</f>
        <v>43109</v>
      </c>
      <c r="F110" s="4" t="str">
        <f>IFERROR(__xludf.DUMMYFUNCTION("""COMPUTED_VALUE"""),"10:24:00Z")</f>
        <v>10:24:00Z</v>
      </c>
      <c r="G110" s="11" t="str">
        <f t="shared" si="1"/>
        <v>10:24:00</v>
      </c>
      <c r="H110" s="10">
        <f>IFERROR(__xludf.DUMMYFUNCTION("SPLIT(D110,""T"")"),42889.0)</f>
        <v>42889</v>
      </c>
      <c r="I110" s="4" t="str">
        <f>IFERROR(__xludf.DUMMYFUNCTION("""COMPUTED_VALUE"""),"15:39:00Z")</f>
        <v>15:39:00Z</v>
      </c>
      <c r="J110" s="4" t="str">
        <f t="shared" si="2"/>
        <v>15:39:00</v>
      </c>
      <c r="K110" s="4">
        <f t="shared" si="3"/>
        <v>220</v>
      </c>
      <c r="L110" s="4">
        <f t="shared" si="4"/>
        <v>-0.21875</v>
      </c>
      <c r="M110" s="4">
        <f t="shared" si="5"/>
        <v>219.78125</v>
      </c>
    </row>
    <row r="111">
      <c r="A111" s="4" t="s">
        <v>62</v>
      </c>
      <c r="B111" s="4" t="s">
        <v>2245</v>
      </c>
      <c r="C111" s="4" t="s">
        <v>2578</v>
      </c>
      <c r="D111" s="4" t="s">
        <v>2579</v>
      </c>
      <c r="E111" s="10">
        <f>IFERROR(__xludf.DUMMYFUNCTION("SPLIT(B111,""T"")"),43109.0)</f>
        <v>43109</v>
      </c>
      <c r="F111" s="4" t="str">
        <f>IFERROR(__xludf.DUMMYFUNCTION("""COMPUTED_VALUE"""),"10:25:00Z")</f>
        <v>10:25:00Z</v>
      </c>
      <c r="G111" s="11" t="str">
        <f t="shared" si="1"/>
        <v>10:25:00</v>
      </c>
      <c r="H111" s="10">
        <f>IFERROR(__xludf.DUMMYFUNCTION("SPLIT(D111,""T"")"),42890.0)</f>
        <v>42890</v>
      </c>
      <c r="I111" s="4" t="str">
        <f>IFERROR(__xludf.DUMMYFUNCTION("""COMPUTED_VALUE"""),"11:04:00Z")</f>
        <v>11:04:00Z</v>
      </c>
      <c r="J111" s="4" t="str">
        <f t="shared" si="2"/>
        <v>11:04:00</v>
      </c>
      <c r="K111" s="4">
        <f t="shared" si="3"/>
        <v>219</v>
      </c>
      <c r="L111" s="4">
        <f t="shared" si="4"/>
        <v>-0.02708333333</v>
      </c>
      <c r="M111" s="4">
        <f t="shared" si="5"/>
        <v>218.9729167</v>
      </c>
    </row>
    <row r="112">
      <c r="A112" s="4" t="s">
        <v>205</v>
      </c>
      <c r="B112" s="4" t="s">
        <v>2799</v>
      </c>
      <c r="C112" s="4" t="s">
        <v>406</v>
      </c>
      <c r="D112" s="4" t="s">
        <v>2800</v>
      </c>
      <c r="E112" s="10">
        <f>IFERROR(__xludf.DUMMYFUNCTION("SPLIT(B112,""T"")"),43469.0)</f>
        <v>43469</v>
      </c>
      <c r="F112" s="4" t="str">
        <f>IFERROR(__xludf.DUMMYFUNCTION("""COMPUTED_VALUE"""),"10:20:00Z")</f>
        <v>10:20:00Z</v>
      </c>
      <c r="G112" s="11" t="str">
        <f t="shared" si="1"/>
        <v>10:20:00</v>
      </c>
      <c r="H112" s="10">
        <f>IFERROR(__xludf.DUMMYFUNCTION("SPLIT(D112,""T"")"),43250.0)</f>
        <v>43250</v>
      </c>
      <c r="I112" s="4" t="str">
        <f>IFERROR(__xludf.DUMMYFUNCTION("""COMPUTED_VALUE"""),"13:21:00Z")</f>
        <v>13:21:00Z</v>
      </c>
      <c r="J112" s="4" t="str">
        <f t="shared" si="2"/>
        <v>13:21:00</v>
      </c>
      <c r="K112" s="4">
        <f t="shared" si="3"/>
        <v>219</v>
      </c>
      <c r="L112" s="4">
        <f t="shared" si="4"/>
        <v>-0.1256944444</v>
      </c>
      <c r="M112" s="4">
        <f t="shared" si="5"/>
        <v>218.8743056</v>
      </c>
    </row>
    <row r="113" hidden="1">
      <c r="A113" s="4" t="s">
        <v>145</v>
      </c>
      <c r="B113" s="4" t="s">
        <v>376</v>
      </c>
      <c r="C113" s="4" t="s">
        <v>377</v>
      </c>
      <c r="D113" s="4" t="s">
        <v>378</v>
      </c>
      <c r="E113" s="10">
        <f>IFERROR(__xludf.DUMMYFUNCTION("SPLIT(B113,""T"")"),41522.0)</f>
        <v>41522</v>
      </c>
      <c r="F113" s="4" t="str">
        <f>IFERROR(__xludf.DUMMYFUNCTION("""COMPUTED_VALUE"""),"21:00:00Z")</f>
        <v>21:00:00Z</v>
      </c>
      <c r="G113" s="11" t="str">
        <f t="shared" si="1"/>
        <v>21:00:00</v>
      </c>
      <c r="H113" s="10">
        <f>IFERROR(__xludf.DUMMYFUNCTION("SPLIT(D113,""T"")"),41524.0)</f>
        <v>41524</v>
      </c>
      <c r="I113" s="4" t="str">
        <f>IFERROR(__xludf.DUMMYFUNCTION("""COMPUTED_VALUE"""),"17:30:00Z")</f>
        <v>17:30:00Z</v>
      </c>
      <c r="J113" s="4" t="str">
        <f t="shared" si="2"/>
        <v>17:30:00</v>
      </c>
      <c r="K113" s="4">
        <f t="shared" si="3"/>
        <v>-2</v>
      </c>
      <c r="L113" s="4">
        <f t="shared" si="4"/>
        <v>0.1458333333</v>
      </c>
      <c r="M113" s="4">
        <f t="shared" si="5"/>
        <v>-1.854166667</v>
      </c>
    </row>
    <row r="114">
      <c r="A114" s="4" t="s">
        <v>320</v>
      </c>
      <c r="B114" s="4" t="s">
        <v>2274</v>
      </c>
      <c r="C114" s="4" t="s">
        <v>164</v>
      </c>
      <c r="D114" s="4" t="s">
        <v>2275</v>
      </c>
      <c r="E114" s="10">
        <f>IFERROR(__xludf.DUMMYFUNCTION("SPLIT(B114,""T"")"),43109.0)</f>
        <v>43109</v>
      </c>
      <c r="F114" s="4" t="str">
        <f>IFERROR(__xludf.DUMMYFUNCTION("""COMPUTED_VALUE"""),"10:26:00Z")</f>
        <v>10:26:00Z</v>
      </c>
      <c r="G114" s="11" t="str">
        <f t="shared" si="1"/>
        <v>10:26:00</v>
      </c>
      <c r="H114" s="10">
        <f>IFERROR(__xludf.DUMMYFUNCTION("SPLIT(D114,""T"")"),42890.0)</f>
        <v>42890</v>
      </c>
      <c r="I114" s="4" t="str">
        <f>IFERROR(__xludf.DUMMYFUNCTION("""COMPUTED_VALUE"""),"16:12:00Z")</f>
        <v>16:12:00Z</v>
      </c>
      <c r="J114" s="4" t="str">
        <f t="shared" si="2"/>
        <v>16:12:00</v>
      </c>
      <c r="K114" s="4">
        <f t="shared" si="3"/>
        <v>219</v>
      </c>
      <c r="L114" s="4">
        <f t="shared" si="4"/>
        <v>-0.2402777778</v>
      </c>
      <c r="M114" s="4">
        <f t="shared" si="5"/>
        <v>218.7597222</v>
      </c>
    </row>
    <row r="115">
      <c r="A115" s="4" t="s">
        <v>54</v>
      </c>
      <c r="B115" s="4" t="s">
        <v>2245</v>
      </c>
      <c r="C115" s="4" t="s">
        <v>1598</v>
      </c>
      <c r="D115" s="4" t="s">
        <v>2246</v>
      </c>
      <c r="E115" s="10">
        <f>IFERROR(__xludf.DUMMYFUNCTION("SPLIT(B115,""T"")"),43109.0)</f>
        <v>43109</v>
      </c>
      <c r="F115" s="4" t="str">
        <f>IFERROR(__xludf.DUMMYFUNCTION("""COMPUTED_VALUE"""),"10:25:00Z")</f>
        <v>10:25:00Z</v>
      </c>
      <c r="G115" s="11" t="str">
        <f t="shared" si="1"/>
        <v>10:25:00</v>
      </c>
      <c r="H115" s="10">
        <f>IFERROR(__xludf.DUMMYFUNCTION("SPLIT(D115,""T"")"),42890.0)</f>
        <v>42890</v>
      </c>
      <c r="I115" s="4" t="str">
        <f>IFERROR(__xludf.DUMMYFUNCTION("""COMPUTED_VALUE"""),"16:22:00Z")</f>
        <v>16:22:00Z</v>
      </c>
      <c r="J115" s="4" t="str">
        <f t="shared" si="2"/>
        <v>16:22:00</v>
      </c>
      <c r="K115" s="4">
        <f t="shared" si="3"/>
        <v>219</v>
      </c>
      <c r="L115" s="4">
        <f t="shared" si="4"/>
        <v>-0.2479166667</v>
      </c>
      <c r="M115" s="4">
        <f t="shared" si="5"/>
        <v>218.7520833</v>
      </c>
    </row>
    <row r="116">
      <c r="A116" s="4" t="s">
        <v>27</v>
      </c>
      <c r="B116" s="4" t="s">
        <v>2274</v>
      </c>
      <c r="C116" s="4" t="s">
        <v>2610</v>
      </c>
      <c r="D116" s="4" t="s">
        <v>2611</v>
      </c>
      <c r="E116" s="10">
        <f>IFERROR(__xludf.DUMMYFUNCTION("SPLIT(B116,""T"")"),43109.0)</f>
        <v>43109</v>
      </c>
      <c r="F116" s="4" t="str">
        <f>IFERROR(__xludf.DUMMYFUNCTION("""COMPUTED_VALUE"""),"10:26:00Z")</f>
        <v>10:26:00Z</v>
      </c>
      <c r="G116" s="11" t="str">
        <f t="shared" si="1"/>
        <v>10:26:00</v>
      </c>
      <c r="H116" s="10">
        <f>IFERROR(__xludf.DUMMYFUNCTION("SPLIT(D116,""T"")"),42890.0)</f>
        <v>42890</v>
      </c>
      <c r="I116" s="4" t="str">
        <f>IFERROR(__xludf.DUMMYFUNCTION("""COMPUTED_VALUE"""),"16:48:00Z")</f>
        <v>16:48:00Z</v>
      </c>
      <c r="J116" s="4" t="str">
        <f t="shared" si="2"/>
        <v>16:48:00</v>
      </c>
      <c r="K116" s="4">
        <f t="shared" si="3"/>
        <v>219</v>
      </c>
      <c r="L116" s="4">
        <f t="shared" si="4"/>
        <v>-0.2652777778</v>
      </c>
      <c r="M116" s="4">
        <f t="shared" si="5"/>
        <v>218.7347222</v>
      </c>
    </row>
    <row r="117">
      <c r="A117" s="4" t="s">
        <v>69</v>
      </c>
      <c r="B117" s="4" t="s">
        <v>2366</v>
      </c>
      <c r="C117" s="4" t="s">
        <v>329</v>
      </c>
      <c r="D117" s="4" t="s">
        <v>2423</v>
      </c>
      <c r="E117" s="10">
        <f>IFERROR(__xludf.DUMMYFUNCTION("SPLIT(B117,""T"")"),43109.0)</f>
        <v>43109</v>
      </c>
      <c r="F117" s="4" t="str">
        <f>IFERROR(__xludf.DUMMYFUNCTION("""COMPUTED_VALUE"""),"10:24:00Z")</f>
        <v>10:24:00Z</v>
      </c>
      <c r="G117" s="11" t="str">
        <f t="shared" si="1"/>
        <v>10:24:00</v>
      </c>
      <c r="H117" s="10">
        <f>IFERROR(__xludf.DUMMYFUNCTION("SPLIT(D117,""T"")"),42890.0)</f>
        <v>42890</v>
      </c>
      <c r="I117" s="4" t="str">
        <f>IFERROR(__xludf.DUMMYFUNCTION("""COMPUTED_VALUE"""),"22:11:00Z")</f>
        <v>22:11:00Z</v>
      </c>
      <c r="J117" s="4" t="str">
        <f t="shared" si="2"/>
        <v>22:11:00</v>
      </c>
      <c r="K117" s="4">
        <f t="shared" si="3"/>
        <v>219</v>
      </c>
      <c r="L117" s="4">
        <f t="shared" si="4"/>
        <v>-0.4909722222</v>
      </c>
      <c r="M117" s="4">
        <f t="shared" si="5"/>
        <v>218.5090278</v>
      </c>
    </row>
    <row r="118">
      <c r="A118" s="4" t="s">
        <v>80</v>
      </c>
      <c r="B118" s="4" t="s">
        <v>2274</v>
      </c>
      <c r="C118" s="4" t="s">
        <v>95</v>
      </c>
      <c r="D118" s="4" t="s">
        <v>2512</v>
      </c>
      <c r="E118" s="10">
        <f>IFERROR(__xludf.DUMMYFUNCTION("SPLIT(B118,""T"")"),43109.0)</f>
        <v>43109</v>
      </c>
      <c r="F118" s="4" t="str">
        <f>IFERROR(__xludf.DUMMYFUNCTION("""COMPUTED_VALUE"""),"10:26:00Z")</f>
        <v>10:26:00Z</v>
      </c>
      <c r="G118" s="11" t="str">
        <f t="shared" si="1"/>
        <v>10:26:00</v>
      </c>
      <c r="H118" s="10">
        <f>IFERROR(__xludf.DUMMYFUNCTION("SPLIT(D118,""T"")"),42891.0)</f>
        <v>42891</v>
      </c>
      <c r="I118" s="4" t="str">
        <f>IFERROR(__xludf.DUMMYFUNCTION("""COMPUTED_VALUE"""),"13:17:00Z")</f>
        <v>13:17:00Z</v>
      </c>
      <c r="J118" s="4" t="str">
        <f t="shared" si="2"/>
        <v>13:17:00</v>
      </c>
      <c r="K118" s="4">
        <f t="shared" si="3"/>
        <v>218</v>
      </c>
      <c r="L118" s="4">
        <f t="shared" si="4"/>
        <v>-0.11875</v>
      </c>
      <c r="M118" s="4">
        <f t="shared" si="5"/>
        <v>217.88125</v>
      </c>
    </row>
    <row r="119">
      <c r="A119" s="4" t="s">
        <v>69</v>
      </c>
      <c r="B119" s="4" t="s">
        <v>2214</v>
      </c>
      <c r="C119" s="4" t="s">
        <v>1338</v>
      </c>
      <c r="D119" s="4" t="s">
        <v>2609</v>
      </c>
      <c r="E119" s="10">
        <f>IFERROR(__xludf.DUMMYFUNCTION("SPLIT(B119,""T"")"),43109.0)</f>
        <v>43109</v>
      </c>
      <c r="F119" s="4" t="str">
        <f>IFERROR(__xludf.DUMMYFUNCTION("""COMPUTED_VALUE"""),"10:27:00Z")</f>
        <v>10:27:00Z</v>
      </c>
      <c r="G119" s="11" t="str">
        <f t="shared" si="1"/>
        <v>10:27:00</v>
      </c>
      <c r="H119" s="10">
        <f>IFERROR(__xludf.DUMMYFUNCTION("SPLIT(D119,""T"")"),42891.0)</f>
        <v>42891</v>
      </c>
      <c r="I119" s="4" t="str">
        <f>IFERROR(__xludf.DUMMYFUNCTION("""COMPUTED_VALUE"""),"14:02:00Z")</f>
        <v>14:02:00Z</v>
      </c>
      <c r="J119" s="4" t="str">
        <f t="shared" si="2"/>
        <v>14:02:00</v>
      </c>
      <c r="K119" s="4">
        <f t="shared" si="3"/>
        <v>218</v>
      </c>
      <c r="L119" s="4">
        <f t="shared" si="4"/>
        <v>-0.1493055556</v>
      </c>
      <c r="M119" s="4">
        <f t="shared" si="5"/>
        <v>217.8506944</v>
      </c>
    </row>
    <row r="120">
      <c r="A120" s="4" t="s">
        <v>87</v>
      </c>
      <c r="B120" s="4" t="s">
        <v>2214</v>
      </c>
      <c r="C120" s="4" t="s">
        <v>2215</v>
      </c>
      <c r="D120" s="4" t="s">
        <v>2216</v>
      </c>
      <c r="E120" s="10">
        <f>IFERROR(__xludf.DUMMYFUNCTION("SPLIT(B120,""T"")"),43109.0)</f>
        <v>43109</v>
      </c>
      <c r="F120" s="4" t="str">
        <f>IFERROR(__xludf.DUMMYFUNCTION("""COMPUTED_VALUE"""),"10:27:00Z")</f>
        <v>10:27:00Z</v>
      </c>
      <c r="G120" s="11" t="str">
        <f t="shared" si="1"/>
        <v>10:27:00</v>
      </c>
      <c r="H120" s="10">
        <f>IFERROR(__xludf.DUMMYFUNCTION("SPLIT(D120,""T"")"),42892.0)</f>
        <v>42892</v>
      </c>
      <c r="I120" s="4" t="str">
        <f>IFERROR(__xludf.DUMMYFUNCTION("""COMPUTED_VALUE"""),"12:43:00Z")</f>
        <v>12:43:00Z</v>
      </c>
      <c r="J120" s="4" t="str">
        <f t="shared" si="2"/>
        <v>12:43:00</v>
      </c>
      <c r="K120" s="4">
        <f t="shared" si="3"/>
        <v>217</v>
      </c>
      <c r="L120" s="4">
        <f t="shared" si="4"/>
        <v>-0.09444444444</v>
      </c>
      <c r="M120" s="4">
        <f t="shared" si="5"/>
        <v>216.9055556</v>
      </c>
    </row>
    <row r="121">
      <c r="A121" s="4" t="s">
        <v>240</v>
      </c>
      <c r="B121" s="4" t="s">
        <v>2799</v>
      </c>
      <c r="C121" s="4" t="s">
        <v>3185</v>
      </c>
      <c r="D121" s="4" t="s">
        <v>3186</v>
      </c>
      <c r="E121" s="10">
        <f>IFERROR(__xludf.DUMMYFUNCTION("SPLIT(B121,""T"")"),43469.0)</f>
        <v>43469</v>
      </c>
      <c r="F121" s="4" t="str">
        <f>IFERROR(__xludf.DUMMYFUNCTION("""COMPUTED_VALUE"""),"10:20:00Z")</f>
        <v>10:20:00Z</v>
      </c>
      <c r="G121" s="11" t="str">
        <f t="shared" si="1"/>
        <v>10:20:00</v>
      </c>
      <c r="H121" s="10">
        <f>IFERROR(__xludf.DUMMYFUNCTION("SPLIT(D121,""T"")"),43252.0)</f>
        <v>43252</v>
      </c>
      <c r="I121" s="4" t="str">
        <f>IFERROR(__xludf.DUMMYFUNCTION("""COMPUTED_VALUE"""),"13:31:00Z")</f>
        <v>13:31:00Z</v>
      </c>
      <c r="J121" s="4" t="str">
        <f t="shared" si="2"/>
        <v>13:31:00</v>
      </c>
      <c r="K121" s="4">
        <f t="shared" si="3"/>
        <v>217</v>
      </c>
      <c r="L121" s="4">
        <f t="shared" si="4"/>
        <v>-0.1326388889</v>
      </c>
      <c r="M121" s="4">
        <f t="shared" si="5"/>
        <v>216.8673611</v>
      </c>
    </row>
    <row r="122">
      <c r="A122" s="4" t="s">
        <v>212</v>
      </c>
      <c r="B122" s="4" t="s">
        <v>2878</v>
      </c>
      <c r="C122" s="4" t="s">
        <v>2919</v>
      </c>
      <c r="D122" s="4" t="s">
        <v>2920</v>
      </c>
      <c r="E122" s="10">
        <f>IFERROR(__xludf.DUMMYFUNCTION("SPLIT(B122,""T"")"),43469.0)</f>
        <v>43469</v>
      </c>
      <c r="F122" s="4" t="str">
        <f>IFERROR(__xludf.DUMMYFUNCTION("""COMPUTED_VALUE"""),"10:19:00Z")</f>
        <v>10:19:00Z</v>
      </c>
      <c r="G122" s="11" t="str">
        <f t="shared" si="1"/>
        <v>10:19:00</v>
      </c>
      <c r="H122" s="10">
        <f>IFERROR(__xludf.DUMMYFUNCTION("SPLIT(D122,""T"")"),43252.0)</f>
        <v>43252</v>
      </c>
      <c r="I122" s="4" t="str">
        <f>IFERROR(__xludf.DUMMYFUNCTION("""COMPUTED_VALUE"""),"15:20:00Z")</f>
        <v>15:20:00Z</v>
      </c>
      <c r="J122" s="4" t="str">
        <f t="shared" si="2"/>
        <v>15:20:00</v>
      </c>
      <c r="K122" s="4">
        <f t="shared" si="3"/>
        <v>217</v>
      </c>
      <c r="L122" s="4">
        <f t="shared" si="4"/>
        <v>-0.2090277778</v>
      </c>
      <c r="M122" s="4">
        <f t="shared" si="5"/>
        <v>216.7909722</v>
      </c>
    </row>
    <row r="123">
      <c r="A123" s="4" t="s">
        <v>54</v>
      </c>
      <c r="B123" s="4" t="s">
        <v>2878</v>
      </c>
      <c r="C123" s="4" t="s">
        <v>3143</v>
      </c>
      <c r="D123" s="4" t="s">
        <v>3144</v>
      </c>
      <c r="E123" s="10">
        <f>IFERROR(__xludf.DUMMYFUNCTION("SPLIT(B123,""T"")"),43469.0)</f>
        <v>43469</v>
      </c>
      <c r="F123" s="4" t="str">
        <f>IFERROR(__xludf.DUMMYFUNCTION("""COMPUTED_VALUE"""),"10:19:00Z")</f>
        <v>10:19:00Z</v>
      </c>
      <c r="G123" s="11" t="str">
        <f t="shared" si="1"/>
        <v>10:19:00</v>
      </c>
      <c r="H123" s="10">
        <f>IFERROR(__xludf.DUMMYFUNCTION("SPLIT(D123,""T"")"),43252.0)</f>
        <v>43252</v>
      </c>
      <c r="I123" s="4" t="str">
        <f>IFERROR(__xludf.DUMMYFUNCTION("""COMPUTED_VALUE"""),"16:07:00Z")</f>
        <v>16:07:00Z</v>
      </c>
      <c r="J123" s="4" t="str">
        <f t="shared" si="2"/>
        <v>16:07:00</v>
      </c>
      <c r="K123" s="4">
        <f t="shared" si="3"/>
        <v>217</v>
      </c>
      <c r="L123" s="4">
        <f t="shared" si="4"/>
        <v>-0.2416666667</v>
      </c>
      <c r="M123" s="4">
        <f t="shared" si="5"/>
        <v>216.7583333</v>
      </c>
    </row>
    <row r="124">
      <c r="A124" s="4" t="s">
        <v>46</v>
      </c>
      <c r="B124" s="4" t="s">
        <v>2214</v>
      </c>
      <c r="C124" s="4" t="s">
        <v>2348</v>
      </c>
      <c r="D124" s="4" t="s">
        <v>2349</v>
      </c>
      <c r="E124" s="10">
        <f>IFERROR(__xludf.DUMMYFUNCTION("SPLIT(B124,""T"")"),43109.0)</f>
        <v>43109</v>
      </c>
      <c r="F124" s="4" t="str">
        <f>IFERROR(__xludf.DUMMYFUNCTION("""COMPUTED_VALUE"""),"10:27:00Z")</f>
        <v>10:27:00Z</v>
      </c>
      <c r="G124" s="11" t="str">
        <f t="shared" si="1"/>
        <v>10:27:00</v>
      </c>
      <c r="H124" s="10">
        <f>IFERROR(__xludf.DUMMYFUNCTION("SPLIT(D124,""T"")"),42892.0)</f>
        <v>42892</v>
      </c>
      <c r="I124" s="4" t="str">
        <f>IFERROR(__xludf.DUMMYFUNCTION("""COMPUTED_VALUE"""),"16:38:00Z")</f>
        <v>16:38:00Z</v>
      </c>
      <c r="J124" s="4" t="str">
        <f t="shared" si="2"/>
        <v>16:38:00</v>
      </c>
      <c r="K124" s="4">
        <f t="shared" si="3"/>
        <v>217</v>
      </c>
      <c r="L124" s="4">
        <f t="shared" si="4"/>
        <v>-0.2576388889</v>
      </c>
      <c r="M124" s="4">
        <f t="shared" si="5"/>
        <v>216.7423611</v>
      </c>
    </row>
    <row r="125">
      <c r="A125" s="4" t="s">
        <v>39</v>
      </c>
      <c r="B125" s="4" t="s">
        <v>3191</v>
      </c>
      <c r="C125" s="4" t="s">
        <v>3192</v>
      </c>
      <c r="D125" s="4" t="s">
        <v>3193</v>
      </c>
      <c r="E125" s="10">
        <f>IFERROR(__xludf.DUMMYFUNCTION("SPLIT(B125,""T"")"),43469.0)</f>
        <v>43469</v>
      </c>
      <c r="F125" s="4" t="str">
        <f>IFERROR(__xludf.DUMMYFUNCTION("""COMPUTED_VALUE"""),"10:18:00Z")</f>
        <v>10:18:00Z</v>
      </c>
      <c r="G125" s="11" t="str">
        <f t="shared" si="1"/>
        <v>10:18:00</v>
      </c>
      <c r="H125" s="10">
        <f>IFERROR(__xludf.DUMMYFUNCTION("SPLIT(D125,""T"")"),43253.0)</f>
        <v>43253</v>
      </c>
      <c r="I125" s="4" t="str">
        <f>IFERROR(__xludf.DUMMYFUNCTION("""COMPUTED_VALUE"""),"09:55:00Z")</f>
        <v>09:55:00Z</v>
      </c>
      <c r="J125" s="4" t="str">
        <f t="shared" si="2"/>
        <v>09:55:00</v>
      </c>
      <c r="K125" s="4">
        <f t="shared" si="3"/>
        <v>216</v>
      </c>
      <c r="L125" s="4">
        <f t="shared" si="4"/>
        <v>0.01597222222</v>
      </c>
      <c r="M125" s="4">
        <f t="shared" si="5"/>
        <v>216.0159722</v>
      </c>
    </row>
    <row r="126">
      <c r="A126" s="4" t="s">
        <v>94</v>
      </c>
      <c r="B126" s="4" t="s">
        <v>2051</v>
      </c>
      <c r="C126" s="4" t="s">
        <v>2052</v>
      </c>
      <c r="D126" s="4" t="s">
        <v>2053</v>
      </c>
      <c r="E126" s="10">
        <f>IFERROR(__xludf.DUMMYFUNCTION("SPLIT(B126,""T"")"),43109.0)</f>
        <v>43109</v>
      </c>
      <c r="F126" s="4" t="str">
        <f>IFERROR(__xludf.DUMMYFUNCTION("""COMPUTED_VALUE"""),"10:28:00Z")</f>
        <v>10:28:00Z</v>
      </c>
      <c r="G126" s="11" t="str">
        <f t="shared" si="1"/>
        <v>10:28:00</v>
      </c>
      <c r="H126" s="10">
        <f>IFERROR(__xludf.DUMMYFUNCTION("SPLIT(D126,""T"")"),42893.0)</f>
        <v>42893</v>
      </c>
      <c r="I126" s="4" t="str">
        <f>IFERROR(__xludf.DUMMYFUNCTION("""COMPUTED_VALUE"""),"11:55:00Z")</f>
        <v>11:55:00Z</v>
      </c>
      <c r="J126" s="4" t="str">
        <f t="shared" si="2"/>
        <v>11:55:00</v>
      </c>
      <c r="K126" s="4">
        <f t="shared" si="3"/>
        <v>216</v>
      </c>
      <c r="L126" s="4">
        <f t="shared" si="4"/>
        <v>-0.06041666667</v>
      </c>
      <c r="M126" s="4">
        <f t="shared" si="5"/>
        <v>215.9395833</v>
      </c>
    </row>
    <row r="127">
      <c r="A127" s="4" t="s">
        <v>80</v>
      </c>
      <c r="B127" s="4" t="s">
        <v>2878</v>
      </c>
      <c r="C127" s="4" t="s">
        <v>3141</v>
      </c>
      <c r="D127" s="4" t="s">
        <v>3142</v>
      </c>
      <c r="E127" s="10">
        <f>IFERROR(__xludf.DUMMYFUNCTION("SPLIT(B127,""T"")"),43469.0)</f>
        <v>43469</v>
      </c>
      <c r="F127" s="4" t="str">
        <f>IFERROR(__xludf.DUMMYFUNCTION("""COMPUTED_VALUE"""),"10:19:00Z")</f>
        <v>10:19:00Z</v>
      </c>
      <c r="G127" s="11" t="str">
        <f t="shared" si="1"/>
        <v>10:19:00</v>
      </c>
      <c r="H127" s="10">
        <f>IFERROR(__xludf.DUMMYFUNCTION("SPLIT(D127,""T"")"),43253.0)</f>
        <v>43253</v>
      </c>
      <c r="I127" s="4" t="str">
        <f>IFERROR(__xludf.DUMMYFUNCTION("""COMPUTED_VALUE"""),"12:42:00Z")</f>
        <v>12:42:00Z</v>
      </c>
      <c r="J127" s="4" t="str">
        <f t="shared" si="2"/>
        <v>12:42:00</v>
      </c>
      <c r="K127" s="4">
        <f t="shared" si="3"/>
        <v>216</v>
      </c>
      <c r="L127" s="4">
        <f t="shared" si="4"/>
        <v>-0.09930555556</v>
      </c>
      <c r="M127" s="4">
        <f t="shared" si="5"/>
        <v>215.9006944</v>
      </c>
    </row>
    <row r="128">
      <c r="A128" s="4" t="s">
        <v>435</v>
      </c>
      <c r="B128" s="4" t="s">
        <v>2878</v>
      </c>
      <c r="C128" s="4" t="s">
        <v>2879</v>
      </c>
      <c r="D128" s="4" t="s">
        <v>2880</v>
      </c>
      <c r="E128" s="10">
        <f>IFERROR(__xludf.DUMMYFUNCTION("SPLIT(B128,""T"")"),43469.0)</f>
        <v>43469</v>
      </c>
      <c r="F128" s="4" t="str">
        <f>IFERROR(__xludf.DUMMYFUNCTION("""COMPUTED_VALUE"""),"10:19:00Z")</f>
        <v>10:19:00Z</v>
      </c>
      <c r="G128" s="11" t="str">
        <f t="shared" si="1"/>
        <v>10:19:00</v>
      </c>
      <c r="H128" s="10">
        <f>IFERROR(__xludf.DUMMYFUNCTION("SPLIT(D128,""T"")"),43253.0)</f>
        <v>43253</v>
      </c>
      <c r="I128" s="4" t="str">
        <f>IFERROR(__xludf.DUMMYFUNCTION("""COMPUTED_VALUE"""),"13:07:00Z")</f>
        <v>13:07:00Z</v>
      </c>
      <c r="J128" s="4" t="str">
        <f t="shared" si="2"/>
        <v>13:07:00</v>
      </c>
      <c r="K128" s="4">
        <f t="shared" si="3"/>
        <v>216</v>
      </c>
      <c r="L128" s="4">
        <f t="shared" si="4"/>
        <v>-0.1166666667</v>
      </c>
      <c r="M128" s="4">
        <f t="shared" si="5"/>
        <v>215.8833333</v>
      </c>
    </row>
    <row r="129">
      <c r="A129" s="4" t="s">
        <v>27</v>
      </c>
      <c r="B129" s="4" t="s">
        <v>3191</v>
      </c>
      <c r="C129" s="4" t="s">
        <v>3242</v>
      </c>
      <c r="D129" s="4" t="s">
        <v>3243</v>
      </c>
      <c r="E129" s="10">
        <f>IFERROR(__xludf.DUMMYFUNCTION("SPLIT(B129,""T"")"),43469.0)</f>
        <v>43469</v>
      </c>
      <c r="F129" s="4" t="str">
        <f>IFERROR(__xludf.DUMMYFUNCTION("""COMPUTED_VALUE"""),"10:18:00Z")</f>
        <v>10:18:00Z</v>
      </c>
      <c r="G129" s="11" t="str">
        <f t="shared" si="1"/>
        <v>10:18:00</v>
      </c>
      <c r="H129" s="10">
        <f>IFERROR(__xludf.DUMMYFUNCTION("SPLIT(D129,""T"")"),43253.0)</f>
        <v>43253</v>
      </c>
      <c r="I129" s="4" t="str">
        <f>IFERROR(__xludf.DUMMYFUNCTION("""COMPUTED_VALUE"""),"15:53:00Z")</f>
        <v>15:53:00Z</v>
      </c>
      <c r="J129" s="4" t="str">
        <f t="shared" si="2"/>
        <v>15:53:00</v>
      </c>
      <c r="K129" s="4">
        <f t="shared" si="3"/>
        <v>216</v>
      </c>
      <c r="L129" s="4">
        <f t="shared" si="4"/>
        <v>-0.2326388889</v>
      </c>
      <c r="M129" s="4">
        <f t="shared" si="5"/>
        <v>215.7673611</v>
      </c>
    </row>
    <row r="130">
      <c r="A130" s="4" t="s">
        <v>156</v>
      </c>
      <c r="B130" s="4" t="s">
        <v>2051</v>
      </c>
      <c r="C130" s="4" t="s">
        <v>2121</v>
      </c>
      <c r="D130" s="4" t="s">
        <v>2122</v>
      </c>
      <c r="E130" s="10">
        <f>IFERROR(__xludf.DUMMYFUNCTION("SPLIT(B130,""T"")"),43109.0)</f>
        <v>43109</v>
      </c>
      <c r="F130" s="4" t="str">
        <f>IFERROR(__xludf.DUMMYFUNCTION("""COMPUTED_VALUE"""),"10:28:00Z")</f>
        <v>10:28:00Z</v>
      </c>
      <c r="G130" s="11" t="str">
        <f t="shared" si="1"/>
        <v>10:28:00</v>
      </c>
      <c r="H130" s="10">
        <f>IFERROR(__xludf.DUMMYFUNCTION("SPLIT(D130,""T"")"),42893.0)</f>
        <v>42893</v>
      </c>
      <c r="I130" s="4" t="str">
        <f>IFERROR(__xludf.DUMMYFUNCTION("""COMPUTED_VALUE"""),"21:00:00Z")</f>
        <v>21:00:00Z</v>
      </c>
      <c r="J130" s="4" t="str">
        <f t="shared" si="2"/>
        <v>21:00:00</v>
      </c>
      <c r="K130" s="4">
        <f t="shared" si="3"/>
        <v>216</v>
      </c>
      <c r="L130" s="4">
        <f t="shared" si="4"/>
        <v>-0.4388888889</v>
      </c>
      <c r="M130" s="4">
        <f t="shared" si="5"/>
        <v>215.5611111</v>
      </c>
    </row>
    <row r="131">
      <c r="A131" s="4" t="s">
        <v>54</v>
      </c>
      <c r="B131" s="4" t="s">
        <v>3191</v>
      </c>
      <c r="C131" s="4" t="s">
        <v>644</v>
      </c>
      <c r="D131" s="4" t="s">
        <v>3241</v>
      </c>
      <c r="E131" s="10">
        <f>IFERROR(__xludf.DUMMYFUNCTION("SPLIT(B131,""T"")"),43469.0)</f>
        <v>43469</v>
      </c>
      <c r="F131" s="4" t="str">
        <f>IFERROR(__xludf.DUMMYFUNCTION("""COMPUTED_VALUE"""),"10:18:00Z")</f>
        <v>10:18:00Z</v>
      </c>
      <c r="G131" s="11" t="str">
        <f t="shared" si="1"/>
        <v>10:18:00</v>
      </c>
      <c r="H131" s="10">
        <f>IFERROR(__xludf.DUMMYFUNCTION("SPLIT(D131,""T"")"),43254.0)</f>
        <v>43254</v>
      </c>
      <c r="I131" s="4" t="str">
        <f>IFERROR(__xludf.DUMMYFUNCTION("""COMPUTED_VALUE"""),"08:55:00Z")</f>
        <v>08:55:00Z</v>
      </c>
      <c r="J131" s="4" t="str">
        <f t="shared" si="2"/>
        <v>08:55:00</v>
      </c>
      <c r="K131" s="4">
        <f t="shared" si="3"/>
        <v>215</v>
      </c>
      <c r="L131" s="4">
        <f t="shared" si="4"/>
        <v>0.05763888889</v>
      </c>
      <c r="M131" s="4">
        <f t="shared" si="5"/>
        <v>215.0576389</v>
      </c>
    </row>
    <row r="132">
      <c r="A132" s="4" t="s">
        <v>27</v>
      </c>
      <c r="B132" s="4" t="s">
        <v>3191</v>
      </c>
      <c r="C132" s="4" t="s">
        <v>3215</v>
      </c>
      <c r="D132" s="4" t="s">
        <v>3216</v>
      </c>
      <c r="E132" s="10">
        <f>IFERROR(__xludf.DUMMYFUNCTION("SPLIT(B132,""T"")"),43469.0)</f>
        <v>43469</v>
      </c>
      <c r="F132" s="4" t="str">
        <f>IFERROR(__xludf.DUMMYFUNCTION("""COMPUTED_VALUE"""),"10:18:00Z")</f>
        <v>10:18:00Z</v>
      </c>
      <c r="G132" s="11" t="str">
        <f t="shared" si="1"/>
        <v>10:18:00</v>
      </c>
      <c r="H132" s="10">
        <f>IFERROR(__xludf.DUMMYFUNCTION("SPLIT(D132,""T"")"),43254.0)</f>
        <v>43254</v>
      </c>
      <c r="I132" s="4" t="str">
        <f>IFERROR(__xludf.DUMMYFUNCTION("""COMPUTED_VALUE"""),"13:38:00Z")</f>
        <v>13:38:00Z</v>
      </c>
      <c r="J132" s="4" t="str">
        <f t="shared" si="2"/>
        <v>13:38:00</v>
      </c>
      <c r="K132" s="4">
        <f t="shared" si="3"/>
        <v>215</v>
      </c>
      <c r="L132" s="4">
        <f t="shared" si="4"/>
        <v>-0.1388888889</v>
      </c>
      <c r="M132" s="4">
        <f t="shared" si="5"/>
        <v>214.8611111</v>
      </c>
    </row>
    <row r="133">
      <c r="A133" s="4" t="s">
        <v>27</v>
      </c>
      <c r="B133" s="4" t="s">
        <v>3081</v>
      </c>
      <c r="C133" s="4" t="s">
        <v>3165</v>
      </c>
      <c r="D133" s="4" t="s">
        <v>3166</v>
      </c>
      <c r="E133" s="10">
        <f>IFERROR(__xludf.DUMMYFUNCTION("SPLIT(B133,""T"")"),43469.0)</f>
        <v>43469</v>
      </c>
      <c r="F133" s="4" t="str">
        <f>IFERROR(__xludf.DUMMYFUNCTION("""COMPUTED_VALUE"""),"10:17:00Z")</f>
        <v>10:17:00Z</v>
      </c>
      <c r="G133" s="11" t="str">
        <f t="shared" si="1"/>
        <v>10:17:00</v>
      </c>
      <c r="H133" s="10">
        <f>IFERROR(__xludf.DUMMYFUNCTION("SPLIT(D133,""T"")"),43254.0)</f>
        <v>43254</v>
      </c>
      <c r="I133" s="4" t="str">
        <f>IFERROR(__xludf.DUMMYFUNCTION("""COMPUTED_VALUE"""),"14:17:00Z")</f>
        <v>14:17:00Z</v>
      </c>
      <c r="J133" s="4" t="str">
        <f t="shared" si="2"/>
        <v>14:17:00</v>
      </c>
      <c r="K133" s="4">
        <f t="shared" si="3"/>
        <v>215</v>
      </c>
      <c r="L133" s="4">
        <f t="shared" si="4"/>
        <v>-0.1666666667</v>
      </c>
      <c r="M133" s="4">
        <f t="shared" si="5"/>
        <v>214.8333333</v>
      </c>
    </row>
    <row r="134">
      <c r="A134" s="4" t="s">
        <v>170</v>
      </c>
      <c r="B134" s="4" t="s">
        <v>3081</v>
      </c>
      <c r="C134" s="4" t="s">
        <v>2467</v>
      </c>
      <c r="D134" s="4" t="s">
        <v>3094</v>
      </c>
      <c r="E134" s="10">
        <f>IFERROR(__xludf.DUMMYFUNCTION("SPLIT(B134,""T"")"),43469.0)</f>
        <v>43469</v>
      </c>
      <c r="F134" s="4" t="str">
        <f>IFERROR(__xludf.DUMMYFUNCTION("""COMPUTED_VALUE"""),"10:17:00Z")</f>
        <v>10:17:00Z</v>
      </c>
      <c r="G134" s="11" t="str">
        <f t="shared" si="1"/>
        <v>10:17:00</v>
      </c>
      <c r="H134" s="10">
        <f>IFERROR(__xludf.DUMMYFUNCTION("SPLIT(D134,""T"")"),43254.0)</f>
        <v>43254</v>
      </c>
      <c r="I134" s="4" t="str">
        <f>IFERROR(__xludf.DUMMYFUNCTION("""COMPUTED_VALUE"""),"15:09:00Z")</f>
        <v>15:09:00Z</v>
      </c>
      <c r="J134" s="4" t="str">
        <f t="shared" si="2"/>
        <v>15:09:00</v>
      </c>
      <c r="K134" s="4">
        <f t="shared" si="3"/>
        <v>215</v>
      </c>
      <c r="L134" s="4">
        <f t="shared" si="4"/>
        <v>-0.2027777778</v>
      </c>
      <c r="M134" s="4">
        <f t="shared" si="5"/>
        <v>214.7972222</v>
      </c>
    </row>
    <row r="135">
      <c r="A135" s="4" t="s">
        <v>149</v>
      </c>
      <c r="B135" s="4" t="s">
        <v>3081</v>
      </c>
      <c r="C135" s="4" t="s">
        <v>3204</v>
      </c>
      <c r="D135" s="4" t="s">
        <v>3205</v>
      </c>
      <c r="E135" s="10">
        <f>IFERROR(__xludf.DUMMYFUNCTION("SPLIT(B135,""T"")"),43469.0)</f>
        <v>43469</v>
      </c>
      <c r="F135" s="4" t="str">
        <f>IFERROR(__xludf.DUMMYFUNCTION("""COMPUTED_VALUE"""),"10:17:00Z")</f>
        <v>10:17:00Z</v>
      </c>
      <c r="G135" s="11" t="str">
        <f t="shared" si="1"/>
        <v>10:17:00</v>
      </c>
      <c r="H135" s="10">
        <f>IFERROR(__xludf.DUMMYFUNCTION("SPLIT(D135,""T"")"),43254.0)</f>
        <v>43254</v>
      </c>
      <c r="I135" s="4" t="str">
        <f>IFERROR(__xludf.DUMMYFUNCTION("""COMPUTED_VALUE"""),"16:11:00Z")</f>
        <v>16:11:00Z</v>
      </c>
      <c r="J135" s="4" t="str">
        <f t="shared" si="2"/>
        <v>16:11:00</v>
      </c>
      <c r="K135" s="4">
        <f t="shared" si="3"/>
        <v>215</v>
      </c>
      <c r="L135" s="4">
        <f t="shared" si="4"/>
        <v>-0.2458333333</v>
      </c>
      <c r="M135" s="4">
        <f t="shared" si="5"/>
        <v>214.7541667</v>
      </c>
    </row>
    <row r="136">
      <c r="A136" s="4" t="s">
        <v>46</v>
      </c>
      <c r="B136" s="4" t="s">
        <v>3081</v>
      </c>
      <c r="C136" s="4" t="s">
        <v>3082</v>
      </c>
      <c r="D136" s="4" t="s">
        <v>3083</v>
      </c>
      <c r="E136" s="10">
        <f>IFERROR(__xludf.DUMMYFUNCTION("SPLIT(B136,""T"")"),43469.0)</f>
        <v>43469</v>
      </c>
      <c r="F136" s="4" t="str">
        <f>IFERROR(__xludf.DUMMYFUNCTION("""COMPUTED_VALUE"""),"10:17:00Z")</f>
        <v>10:17:00Z</v>
      </c>
      <c r="G136" s="11" t="str">
        <f t="shared" si="1"/>
        <v>10:17:00</v>
      </c>
      <c r="H136" s="10">
        <f>IFERROR(__xludf.DUMMYFUNCTION("SPLIT(D136,""T"")"),43254.0)</f>
        <v>43254</v>
      </c>
      <c r="I136" s="4" t="str">
        <f>IFERROR(__xludf.DUMMYFUNCTION("""COMPUTED_VALUE"""),"16:14:00Z")</f>
        <v>16:14:00Z</v>
      </c>
      <c r="J136" s="4" t="str">
        <f t="shared" si="2"/>
        <v>16:14:00</v>
      </c>
      <c r="K136" s="4">
        <f t="shared" si="3"/>
        <v>215</v>
      </c>
      <c r="L136" s="4">
        <f t="shared" si="4"/>
        <v>-0.2479166667</v>
      </c>
      <c r="M136" s="4">
        <f t="shared" si="5"/>
        <v>214.7520833</v>
      </c>
    </row>
    <row r="137">
      <c r="A137" s="4" t="s">
        <v>62</v>
      </c>
      <c r="B137" s="4" t="s">
        <v>3076</v>
      </c>
      <c r="C137" s="4" t="s">
        <v>3077</v>
      </c>
      <c r="D137" s="4" t="s">
        <v>3078</v>
      </c>
      <c r="E137" s="10">
        <f>IFERROR(__xludf.DUMMYFUNCTION("SPLIT(B137,""T"")"),43469.0)</f>
        <v>43469</v>
      </c>
      <c r="F137" s="4" t="str">
        <f>IFERROR(__xludf.DUMMYFUNCTION("""COMPUTED_VALUE"""),"10:16:00Z")</f>
        <v>10:16:00Z</v>
      </c>
      <c r="G137" s="11" t="str">
        <f t="shared" si="1"/>
        <v>10:16:00</v>
      </c>
      <c r="H137" s="10">
        <f>IFERROR(__xludf.DUMMYFUNCTION("SPLIT(D137,""T"")"),43254.0)</f>
        <v>43254</v>
      </c>
      <c r="I137" s="4" t="str">
        <f>IFERROR(__xludf.DUMMYFUNCTION("""COMPUTED_VALUE"""),"16:16:00Z")</f>
        <v>16:16:00Z</v>
      </c>
      <c r="J137" s="4" t="str">
        <f t="shared" si="2"/>
        <v>16:16:00</v>
      </c>
      <c r="K137" s="4">
        <f t="shared" si="3"/>
        <v>215</v>
      </c>
      <c r="L137" s="4">
        <f t="shared" si="4"/>
        <v>-0.25</v>
      </c>
      <c r="M137" s="4">
        <f t="shared" si="5"/>
        <v>214.75</v>
      </c>
    </row>
    <row r="138">
      <c r="A138" s="4" t="s">
        <v>62</v>
      </c>
      <c r="B138" s="4" t="s">
        <v>3076</v>
      </c>
      <c r="C138" s="4" t="s">
        <v>1489</v>
      </c>
      <c r="D138" s="4" t="s">
        <v>3240</v>
      </c>
      <c r="E138" s="10">
        <f>IFERROR(__xludf.DUMMYFUNCTION("SPLIT(B138,""T"")"),43469.0)</f>
        <v>43469</v>
      </c>
      <c r="F138" s="4" t="str">
        <f>IFERROR(__xludf.DUMMYFUNCTION("""COMPUTED_VALUE"""),"10:16:00Z")</f>
        <v>10:16:00Z</v>
      </c>
      <c r="G138" s="11" t="str">
        <f t="shared" si="1"/>
        <v>10:16:00</v>
      </c>
      <c r="H138" s="10">
        <f>IFERROR(__xludf.DUMMYFUNCTION("SPLIT(D138,""T"")"),43254.0)</f>
        <v>43254</v>
      </c>
      <c r="I138" s="4" t="str">
        <f>IFERROR(__xludf.DUMMYFUNCTION("""COMPUTED_VALUE"""),"18:23:00Z")</f>
        <v>18:23:00Z</v>
      </c>
      <c r="J138" s="4" t="str">
        <f t="shared" si="2"/>
        <v>18:23:00</v>
      </c>
      <c r="K138" s="4">
        <f t="shared" si="3"/>
        <v>215</v>
      </c>
      <c r="L138" s="4">
        <f t="shared" si="4"/>
        <v>-0.3381944444</v>
      </c>
      <c r="M138" s="4">
        <f t="shared" si="5"/>
        <v>214.6618056</v>
      </c>
    </row>
    <row r="139" hidden="1">
      <c r="A139" s="4" t="s">
        <v>130</v>
      </c>
      <c r="B139" s="4" t="s">
        <v>457</v>
      </c>
      <c r="C139" s="4" t="s">
        <v>458</v>
      </c>
      <c r="D139" s="4" t="s">
        <v>459</v>
      </c>
      <c r="E139" s="10">
        <f>IFERROR(__xludf.DUMMYFUNCTION("SPLIT(B139,""T"")"),41510.0)</f>
        <v>41510</v>
      </c>
      <c r="F139" s="4" t="str">
        <f>IFERROR(__xludf.DUMMYFUNCTION("""COMPUTED_VALUE"""),"11:45:00Z")</f>
        <v>11:45:00Z</v>
      </c>
      <c r="G139" s="11" t="str">
        <f t="shared" si="1"/>
        <v>11:45:00</v>
      </c>
      <c r="H139" s="10">
        <f>IFERROR(__xludf.DUMMYFUNCTION("SPLIT(D139,""T"")"),41510.0)</f>
        <v>41510</v>
      </c>
      <c r="I139" s="4" t="str">
        <f>IFERROR(__xludf.DUMMYFUNCTION("""COMPUTED_VALUE"""),"14:54:00Z")</f>
        <v>14:54:00Z</v>
      </c>
      <c r="J139" s="4" t="str">
        <f t="shared" si="2"/>
        <v>14:54:00</v>
      </c>
      <c r="K139" s="4">
        <f t="shared" si="3"/>
        <v>0</v>
      </c>
      <c r="L139" s="4">
        <f t="shared" si="4"/>
        <v>-0.13125</v>
      </c>
      <c r="M139" s="4">
        <f t="shared" si="5"/>
        <v>-0.13125</v>
      </c>
    </row>
    <row r="140">
      <c r="A140" s="4" t="s">
        <v>69</v>
      </c>
      <c r="B140" s="4" t="s">
        <v>2087</v>
      </c>
      <c r="C140" s="4" t="s">
        <v>2410</v>
      </c>
      <c r="D140" s="4" t="s">
        <v>2411</v>
      </c>
      <c r="E140" s="10">
        <f>IFERROR(__xludf.DUMMYFUNCTION("SPLIT(B140,""T"")"),43109.0)</f>
        <v>43109</v>
      </c>
      <c r="F140" s="4" t="str">
        <f>IFERROR(__xludf.DUMMYFUNCTION("""COMPUTED_VALUE"""),"10:29:00Z")</f>
        <v>10:29:00Z</v>
      </c>
      <c r="G140" s="11" t="str">
        <f t="shared" si="1"/>
        <v>10:29:00</v>
      </c>
      <c r="H140" s="10">
        <f>IFERROR(__xludf.DUMMYFUNCTION("SPLIT(D140,""T"")"),42895.0)</f>
        <v>42895</v>
      </c>
      <c r="I140" s="4" t="str">
        <f>IFERROR(__xludf.DUMMYFUNCTION("""COMPUTED_VALUE"""),"04:53:00Z")</f>
        <v>04:53:00Z</v>
      </c>
      <c r="J140" s="4" t="str">
        <f t="shared" si="2"/>
        <v>04:53:00</v>
      </c>
      <c r="K140" s="4">
        <f t="shared" si="3"/>
        <v>214</v>
      </c>
      <c r="L140" s="4">
        <f t="shared" si="4"/>
        <v>0.2333333333</v>
      </c>
      <c r="M140" s="4">
        <f t="shared" si="5"/>
        <v>214.2333333</v>
      </c>
    </row>
    <row r="141">
      <c r="A141" s="4" t="s">
        <v>23</v>
      </c>
      <c r="B141" s="4" t="s">
        <v>2752</v>
      </c>
      <c r="C141" s="4" t="s">
        <v>2049</v>
      </c>
      <c r="D141" s="4" t="s">
        <v>2753</v>
      </c>
      <c r="E141" s="10">
        <f>IFERROR(__xludf.DUMMYFUNCTION("SPLIT(B141,""T"")"),43469.0)</f>
        <v>43469</v>
      </c>
      <c r="F141" s="4" t="str">
        <f>IFERROR(__xludf.DUMMYFUNCTION("""COMPUTED_VALUE"""),"10:15:00Z")</f>
        <v>10:15:00Z</v>
      </c>
      <c r="G141" s="11" t="str">
        <f t="shared" si="1"/>
        <v>10:15:00</v>
      </c>
      <c r="H141" s="10">
        <f>IFERROR(__xludf.DUMMYFUNCTION("SPLIT(D141,""T"")"),43255.0)</f>
        <v>43255</v>
      </c>
      <c r="I141" s="4" t="str">
        <f>IFERROR(__xludf.DUMMYFUNCTION("""COMPUTED_VALUE"""),"12:40:00Z")</f>
        <v>12:40:00Z</v>
      </c>
      <c r="J141" s="4" t="str">
        <f t="shared" si="2"/>
        <v>12:40:00</v>
      </c>
      <c r="K141" s="4">
        <f t="shared" si="3"/>
        <v>214</v>
      </c>
      <c r="L141" s="4">
        <f t="shared" si="4"/>
        <v>-0.1006944444</v>
      </c>
      <c r="M141" s="4">
        <f t="shared" si="5"/>
        <v>213.8993056</v>
      </c>
    </row>
    <row r="142">
      <c r="A142" s="4" t="s">
        <v>46</v>
      </c>
      <c r="B142" s="4" t="s">
        <v>3004</v>
      </c>
      <c r="C142" s="4" t="s">
        <v>3202</v>
      </c>
      <c r="D142" s="4" t="s">
        <v>3203</v>
      </c>
      <c r="E142" s="10">
        <f>IFERROR(__xludf.DUMMYFUNCTION("SPLIT(B142,""T"")"),43469.0)</f>
        <v>43469</v>
      </c>
      <c r="F142" s="4" t="str">
        <f>IFERROR(__xludf.DUMMYFUNCTION("""COMPUTED_VALUE"""),"10:13:00Z")</f>
        <v>10:13:00Z</v>
      </c>
      <c r="G142" s="11" t="str">
        <f t="shared" si="1"/>
        <v>10:13:00</v>
      </c>
      <c r="H142" s="10">
        <f>IFERROR(__xludf.DUMMYFUNCTION("SPLIT(D142,""T"")"),43255.0)</f>
        <v>43255</v>
      </c>
      <c r="I142" s="4" t="str">
        <f>IFERROR(__xludf.DUMMYFUNCTION("""COMPUTED_VALUE"""),"15:08:00Z")</f>
        <v>15:08:00Z</v>
      </c>
      <c r="J142" s="4" t="str">
        <f t="shared" si="2"/>
        <v>15:08:00</v>
      </c>
      <c r="K142" s="4">
        <f t="shared" si="3"/>
        <v>214</v>
      </c>
      <c r="L142" s="4">
        <f t="shared" si="4"/>
        <v>-0.2048611111</v>
      </c>
      <c r="M142" s="4">
        <f t="shared" si="5"/>
        <v>213.7951389</v>
      </c>
    </row>
    <row r="143">
      <c r="A143" s="4" t="s">
        <v>114</v>
      </c>
      <c r="B143" s="4" t="s">
        <v>2087</v>
      </c>
      <c r="C143" s="4" t="s">
        <v>1401</v>
      </c>
      <c r="D143" s="4" t="s">
        <v>2566</v>
      </c>
      <c r="E143" s="10">
        <f>IFERROR(__xludf.DUMMYFUNCTION("SPLIT(B143,""T"")"),43109.0)</f>
        <v>43109</v>
      </c>
      <c r="F143" s="4" t="str">
        <f>IFERROR(__xludf.DUMMYFUNCTION("""COMPUTED_VALUE"""),"10:29:00Z")</f>
        <v>10:29:00Z</v>
      </c>
      <c r="G143" s="11" t="str">
        <f t="shared" si="1"/>
        <v>10:29:00</v>
      </c>
      <c r="H143" s="10">
        <f>IFERROR(__xludf.DUMMYFUNCTION("SPLIT(D143,""T"")"),42895.0)</f>
        <v>42895</v>
      </c>
      <c r="I143" s="4" t="str">
        <f>IFERROR(__xludf.DUMMYFUNCTION("""COMPUTED_VALUE"""),"16:15:00Z")</f>
        <v>16:15:00Z</v>
      </c>
      <c r="J143" s="4" t="str">
        <f t="shared" si="2"/>
        <v>16:15:00</v>
      </c>
      <c r="K143" s="4">
        <f t="shared" si="3"/>
        <v>214</v>
      </c>
      <c r="L143" s="4">
        <f t="shared" si="4"/>
        <v>-0.2402777778</v>
      </c>
      <c r="M143" s="4">
        <f t="shared" si="5"/>
        <v>213.7597222</v>
      </c>
    </row>
    <row r="144">
      <c r="A144" s="4" t="s">
        <v>170</v>
      </c>
      <c r="B144" s="4" t="s">
        <v>2752</v>
      </c>
      <c r="C144" s="4" t="s">
        <v>2755</v>
      </c>
      <c r="D144" s="4" t="s">
        <v>2756</v>
      </c>
      <c r="E144" s="10">
        <f>IFERROR(__xludf.DUMMYFUNCTION("SPLIT(B144,""T"")"),43469.0)</f>
        <v>43469</v>
      </c>
      <c r="F144" s="4" t="str">
        <f>IFERROR(__xludf.DUMMYFUNCTION("""COMPUTED_VALUE"""),"10:15:00Z")</f>
        <v>10:15:00Z</v>
      </c>
      <c r="G144" s="11" t="str">
        <f t="shared" si="1"/>
        <v>10:15:00</v>
      </c>
      <c r="H144" s="10">
        <f>IFERROR(__xludf.DUMMYFUNCTION("SPLIT(D144,""T"")"),43255.0)</f>
        <v>43255</v>
      </c>
      <c r="I144" s="4" t="str">
        <f>IFERROR(__xludf.DUMMYFUNCTION("""COMPUTED_VALUE"""),"17:01:00Z")</f>
        <v>17:01:00Z</v>
      </c>
      <c r="J144" s="4" t="str">
        <f t="shared" si="2"/>
        <v>17:01:00</v>
      </c>
      <c r="K144" s="4">
        <f t="shared" si="3"/>
        <v>214</v>
      </c>
      <c r="L144" s="4">
        <f t="shared" si="4"/>
        <v>-0.2819444444</v>
      </c>
      <c r="M144" s="4">
        <f t="shared" si="5"/>
        <v>213.7180556</v>
      </c>
    </row>
    <row r="145">
      <c r="A145" s="4" t="s">
        <v>170</v>
      </c>
      <c r="B145" s="4" t="s">
        <v>2795</v>
      </c>
      <c r="C145" s="4" t="s">
        <v>2796</v>
      </c>
      <c r="D145" s="4" t="s">
        <v>2797</v>
      </c>
      <c r="E145" s="10">
        <f>IFERROR(__xludf.DUMMYFUNCTION("SPLIT(B145,""T"")"),43469.0)</f>
        <v>43469</v>
      </c>
      <c r="F145" s="4" t="str">
        <f>IFERROR(__xludf.DUMMYFUNCTION("""COMPUTED_VALUE"""),"10:14:00Z")</f>
        <v>10:14:00Z</v>
      </c>
      <c r="G145" s="11" t="str">
        <f t="shared" si="1"/>
        <v>10:14:00</v>
      </c>
      <c r="H145" s="10">
        <f>IFERROR(__xludf.DUMMYFUNCTION("SPLIT(D145,""T"")"),43255.0)</f>
        <v>43255</v>
      </c>
      <c r="I145" s="4" t="str">
        <f>IFERROR(__xludf.DUMMYFUNCTION("""COMPUTED_VALUE"""),"17:30:00Z")</f>
        <v>17:30:00Z</v>
      </c>
      <c r="J145" s="4" t="str">
        <f t="shared" si="2"/>
        <v>17:30:00</v>
      </c>
      <c r="K145" s="4">
        <f t="shared" si="3"/>
        <v>214</v>
      </c>
      <c r="L145" s="4">
        <f t="shared" si="4"/>
        <v>-0.3027777778</v>
      </c>
      <c r="M145" s="4">
        <f t="shared" si="5"/>
        <v>213.6972222</v>
      </c>
    </row>
    <row r="146">
      <c r="A146" s="4" t="s">
        <v>156</v>
      </c>
      <c r="B146" s="4" t="s">
        <v>2795</v>
      </c>
      <c r="C146" s="4" t="s">
        <v>2824</v>
      </c>
      <c r="D146" s="4" t="s">
        <v>2825</v>
      </c>
      <c r="E146" s="10">
        <f>IFERROR(__xludf.DUMMYFUNCTION("SPLIT(B146,""T"")"),43469.0)</f>
        <v>43469</v>
      </c>
      <c r="F146" s="4" t="str">
        <f>IFERROR(__xludf.DUMMYFUNCTION("""COMPUTED_VALUE"""),"10:14:00Z")</f>
        <v>10:14:00Z</v>
      </c>
      <c r="G146" s="11" t="str">
        <f t="shared" si="1"/>
        <v>10:14:00</v>
      </c>
      <c r="H146" s="10">
        <f>IFERROR(__xludf.DUMMYFUNCTION("SPLIT(D146,""T"")"),43255.0)</f>
        <v>43255</v>
      </c>
      <c r="I146" s="4" t="str">
        <f>IFERROR(__xludf.DUMMYFUNCTION("""COMPUTED_VALUE"""),"17:44:00Z")</f>
        <v>17:44:00Z</v>
      </c>
      <c r="J146" s="4" t="str">
        <f t="shared" si="2"/>
        <v>17:44:00</v>
      </c>
      <c r="K146" s="4">
        <f t="shared" si="3"/>
        <v>214</v>
      </c>
      <c r="L146" s="4">
        <f t="shared" si="4"/>
        <v>-0.3125</v>
      </c>
      <c r="M146" s="4">
        <f t="shared" si="5"/>
        <v>213.6875</v>
      </c>
    </row>
    <row r="147" hidden="1">
      <c r="A147" s="4" t="s">
        <v>186</v>
      </c>
      <c r="B147" s="4" t="s">
        <v>478</v>
      </c>
      <c r="C147" s="4" t="s">
        <v>479</v>
      </c>
      <c r="D147" s="4" t="s">
        <v>480</v>
      </c>
      <c r="E147" s="10">
        <f>IFERROR(__xludf.DUMMYFUNCTION("SPLIT(B147,""T"")"),41532.0)</f>
        <v>41532</v>
      </c>
      <c r="F147" s="4" t="str">
        <f>IFERROR(__xludf.DUMMYFUNCTION("""COMPUTED_VALUE"""),"17:14:00Z")</f>
        <v>17:14:00Z</v>
      </c>
      <c r="G147" s="11" t="str">
        <f t="shared" si="1"/>
        <v>17:14:00</v>
      </c>
      <c r="H147" s="10">
        <f>IFERROR(__xludf.DUMMYFUNCTION("SPLIT(D147,""T"")"),41532.0)</f>
        <v>41532</v>
      </c>
      <c r="I147" s="4" t="str">
        <f>IFERROR(__xludf.DUMMYFUNCTION("""COMPUTED_VALUE"""),"19:45:00Z")</f>
        <v>19:45:00Z</v>
      </c>
      <c r="J147" s="4" t="str">
        <f t="shared" si="2"/>
        <v>19:45:00</v>
      </c>
      <c r="K147" s="4">
        <f t="shared" si="3"/>
        <v>0</v>
      </c>
      <c r="L147" s="4">
        <f t="shared" si="4"/>
        <v>-0.1048611111</v>
      </c>
      <c r="M147" s="4">
        <f t="shared" si="5"/>
        <v>-0.1048611111</v>
      </c>
    </row>
    <row r="148">
      <c r="A148" s="4" t="s">
        <v>170</v>
      </c>
      <c r="B148" s="4" t="s">
        <v>3004</v>
      </c>
      <c r="C148" s="4" t="s">
        <v>2531</v>
      </c>
      <c r="D148" s="4" t="s">
        <v>3005</v>
      </c>
      <c r="E148" s="10">
        <f>IFERROR(__xludf.DUMMYFUNCTION("SPLIT(B148,""T"")"),43469.0)</f>
        <v>43469</v>
      </c>
      <c r="F148" s="4" t="str">
        <f>IFERROR(__xludf.DUMMYFUNCTION("""COMPUTED_VALUE"""),"10:13:00Z")</f>
        <v>10:13:00Z</v>
      </c>
      <c r="G148" s="11" t="str">
        <f t="shared" si="1"/>
        <v>10:13:00</v>
      </c>
      <c r="H148" s="10">
        <f>IFERROR(__xludf.DUMMYFUNCTION("SPLIT(D148,""T"")"),43255.0)</f>
        <v>43255</v>
      </c>
      <c r="I148" s="4" t="str">
        <f>IFERROR(__xludf.DUMMYFUNCTION("""COMPUTED_VALUE"""),"23:17:00Z")</f>
        <v>23:17:00Z</v>
      </c>
      <c r="J148" s="4" t="str">
        <f t="shared" si="2"/>
        <v>23:17:00</v>
      </c>
      <c r="K148" s="4">
        <f t="shared" si="3"/>
        <v>214</v>
      </c>
      <c r="L148" s="4">
        <f t="shared" si="4"/>
        <v>-0.5444444444</v>
      </c>
      <c r="M148" s="4">
        <f t="shared" si="5"/>
        <v>213.4555556</v>
      </c>
    </row>
    <row r="149">
      <c r="A149" s="4" t="s">
        <v>69</v>
      </c>
      <c r="B149" s="4" t="s">
        <v>2087</v>
      </c>
      <c r="C149" s="4" t="s">
        <v>2088</v>
      </c>
      <c r="D149" s="4" t="s">
        <v>2089</v>
      </c>
      <c r="E149" s="10">
        <f>IFERROR(__xludf.DUMMYFUNCTION("SPLIT(B149,""T"")"),43109.0)</f>
        <v>43109</v>
      </c>
      <c r="F149" s="4" t="str">
        <f>IFERROR(__xludf.DUMMYFUNCTION("""COMPUTED_VALUE"""),"10:29:00Z")</f>
        <v>10:29:00Z</v>
      </c>
      <c r="G149" s="11" t="str">
        <f t="shared" si="1"/>
        <v>10:29:00</v>
      </c>
      <c r="H149" s="10">
        <f>IFERROR(__xludf.DUMMYFUNCTION("SPLIT(D149,""T"")"),42896.0)</f>
        <v>42896</v>
      </c>
      <c r="I149" s="4" t="str">
        <f>IFERROR(__xludf.DUMMYFUNCTION("""COMPUTED_VALUE"""),"12:17:00Z")</f>
        <v>12:17:00Z</v>
      </c>
      <c r="J149" s="4" t="str">
        <f t="shared" si="2"/>
        <v>12:17:00</v>
      </c>
      <c r="K149" s="4">
        <f t="shared" si="3"/>
        <v>213</v>
      </c>
      <c r="L149" s="4">
        <f t="shared" si="4"/>
        <v>-0.075</v>
      </c>
      <c r="M149" s="4">
        <f t="shared" si="5"/>
        <v>212.925</v>
      </c>
    </row>
    <row r="150">
      <c r="A150" s="4" t="s">
        <v>156</v>
      </c>
      <c r="B150" s="4" t="s">
        <v>1924</v>
      </c>
      <c r="C150" s="4" t="s">
        <v>1925</v>
      </c>
      <c r="D150" s="4" t="s">
        <v>1926</v>
      </c>
      <c r="E150" s="10">
        <f>IFERROR(__xludf.DUMMYFUNCTION("SPLIT(B150,""T"")"),43109.0)</f>
        <v>43109</v>
      </c>
      <c r="F150" s="4" t="str">
        <f>IFERROR(__xludf.DUMMYFUNCTION("""COMPUTED_VALUE"""),"10:30:00Z")</f>
        <v>10:30:00Z</v>
      </c>
      <c r="G150" s="11" t="str">
        <f t="shared" si="1"/>
        <v>10:30:00</v>
      </c>
      <c r="H150" s="10">
        <f>IFERROR(__xludf.DUMMYFUNCTION("SPLIT(D150,""T"")"),42896.0)</f>
        <v>42896</v>
      </c>
      <c r="I150" s="4" t="str">
        <f>IFERROR(__xludf.DUMMYFUNCTION("""COMPUTED_VALUE"""),"13:19:00Z")</f>
        <v>13:19:00Z</v>
      </c>
      <c r="J150" s="4" t="str">
        <f t="shared" si="2"/>
        <v>13:19:00</v>
      </c>
      <c r="K150" s="4">
        <f t="shared" si="3"/>
        <v>213</v>
      </c>
      <c r="L150" s="4">
        <f t="shared" si="4"/>
        <v>-0.1173611111</v>
      </c>
      <c r="M150" s="4">
        <f t="shared" si="5"/>
        <v>212.8826389</v>
      </c>
    </row>
    <row r="151">
      <c r="A151" s="4" t="s">
        <v>73</v>
      </c>
      <c r="B151" s="4" t="s">
        <v>3237</v>
      </c>
      <c r="C151" s="4" t="s">
        <v>3238</v>
      </c>
      <c r="D151" s="4" t="s">
        <v>3239</v>
      </c>
      <c r="E151" s="10">
        <f>IFERROR(__xludf.DUMMYFUNCTION("SPLIT(B151,""T"")"),43469.0)</f>
        <v>43469</v>
      </c>
      <c r="F151" s="4" t="str">
        <f>IFERROR(__xludf.DUMMYFUNCTION("""COMPUTED_VALUE"""),"10:12:00Z")</f>
        <v>10:12:00Z</v>
      </c>
      <c r="G151" s="11" t="str">
        <f t="shared" si="1"/>
        <v>10:12:00</v>
      </c>
      <c r="H151" s="10">
        <f>IFERROR(__xludf.DUMMYFUNCTION("SPLIT(D151,""T"")"),43256.0)</f>
        <v>43256</v>
      </c>
      <c r="I151" s="4" t="str">
        <f>IFERROR(__xludf.DUMMYFUNCTION("""COMPUTED_VALUE"""),"13:03:00Z")</f>
        <v>13:03:00Z</v>
      </c>
      <c r="J151" s="4" t="str">
        <f t="shared" si="2"/>
        <v>13:03:00</v>
      </c>
      <c r="K151" s="4">
        <f t="shared" si="3"/>
        <v>213</v>
      </c>
      <c r="L151" s="4">
        <f t="shared" si="4"/>
        <v>-0.11875</v>
      </c>
      <c r="M151" s="4">
        <f t="shared" si="5"/>
        <v>212.88125</v>
      </c>
    </row>
    <row r="152">
      <c r="A152" s="4" t="s">
        <v>62</v>
      </c>
      <c r="B152" s="4" t="s">
        <v>2843</v>
      </c>
      <c r="C152" s="4" t="s">
        <v>2221</v>
      </c>
      <c r="D152" s="4" t="s">
        <v>3201</v>
      </c>
      <c r="E152" s="10">
        <f>IFERROR(__xludf.DUMMYFUNCTION("SPLIT(B152,""T"")"),43469.0)</f>
        <v>43469</v>
      </c>
      <c r="F152" s="4" t="str">
        <f>IFERROR(__xludf.DUMMYFUNCTION("""COMPUTED_VALUE"""),"10:11:00Z")</f>
        <v>10:11:00Z</v>
      </c>
      <c r="G152" s="11" t="str">
        <f t="shared" si="1"/>
        <v>10:11:00</v>
      </c>
      <c r="H152" s="10">
        <f>IFERROR(__xludf.DUMMYFUNCTION("SPLIT(D152,""T"")"),43256.0)</f>
        <v>43256</v>
      </c>
      <c r="I152" s="4" t="str">
        <f>IFERROR(__xludf.DUMMYFUNCTION("""COMPUTED_VALUE"""),"13:45:00Z")</f>
        <v>13:45:00Z</v>
      </c>
      <c r="J152" s="4" t="str">
        <f t="shared" si="2"/>
        <v>13:45:00</v>
      </c>
      <c r="K152" s="4">
        <f t="shared" si="3"/>
        <v>213</v>
      </c>
      <c r="L152" s="4">
        <f t="shared" si="4"/>
        <v>-0.1486111111</v>
      </c>
      <c r="M152" s="4">
        <f t="shared" si="5"/>
        <v>212.8513889</v>
      </c>
    </row>
    <row r="153">
      <c r="A153" s="4" t="s">
        <v>62</v>
      </c>
      <c r="B153" s="4" t="s">
        <v>2843</v>
      </c>
      <c r="C153" s="4" t="s">
        <v>2844</v>
      </c>
      <c r="D153" s="4" t="s">
        <v>2845</v>
      </c>
      <c r="E153" s="10">
        <f>IFERROR(__xludf.DUMMYFUNCTION("SPLIT(B153,""T"")"),43469.0)</f>
        <v>43469</v>
      </c>
      <c r="F153" s="4" t="str">
        <f>IFERROR(__xludf.DUMMYFUNCTION("""COMPUTED_VALUE"""),"10:11:00Z")</f>
        <v>10:11:00Z</v>
      </c>
      <c r="G153" s="11" t="str">
        <f t="shared" si="1"/>
        <v>10:11:00</v>
      </c>
      <c r="H153" s="10">
        <f>IFERROR(__xludf.DUMMYFUNCTION("SPLIT(D153,""T"")"),43257.0)</f>
        <v>43257</v>
      </c>
      <c r="I153" s="4" t="str">
        <f>IFERROR(__xludf.DUMMYFUNCTION("""COMPUTED_VALUE"""),"09:46:00Z")</f>
        <v>09:46:00Z</v>
      </c>
      <c r="J153" s="4" t="str">
        <f t="shared" si="2"/>
        <v>09:46:00</v>
      </c>
      <c r="K153" s="4">
        <f t="shared" si="3"/>
        <v>212</v>
      </c>
      <c r="L153" s="4">
        <f t="shared" si="4"/>
        <v>0.01736111111</v>
      </c>
      <c r="M153" s="4">
        <f t="shared" si="5"/>
        <v>212.0173611</v>
      </c>
    </row>
    <row r="154">
      <c r="A154" s="4" t="s">
        <v>39</v>
      </c>
      <c r="B154" s="4" t="s">
        <v>1924</v>
      </c>
      <c r="C154" s="4" t="s">
        <v>2104</v>
      </c>
      <c r="D154" s="4" t="s">
        <v>2105</v>
      </c>
      <c r="E154" s="10">
        <f>IFERROR(__xludf.DUMMYFUNCTION("SPLIT(B154,""T"")"),43109.0)</f>
        <v>43109</v>
      </c>
      <c r="F154" s="4" t="str">
        <f>IFERROR(__xludf.DUMMYFUNCTION("""COMPUTED_VALUE"""),"10:30:00Z")</f>
        <v>10:30:00Z</v>
      </c>
      <c r="G154" s="11" t="str">
        <f t="shared" si="1"/>
        <v>10:30:00</v>
      </c>
      <c r="H154" s="10">
        <f>IFERROR(__xludf.DUMMYFUNCTION("SPLIT(D154,""T"")"),42897.0)</f>
        <v>42897</v>
      </c>
      <c r="I154" s="4" t="str">
        <f>IFERROR(__xludf.DUMMYFUNCTION("""COMPUTED_VALUE"""),"10:46:00Z")</f>
        <v>10:46:00Z</v>
      </c>
      <c r="J154" s="4" t="str">
        <f t="shared" si="2"/>
        <v>10:46:00</v>
      </c>
      <c r="K154" s="4">
        <f t="shared" si="3"/>
        <v>212</v>
      </c>
      <c r="L154" s="4">
        <f t="shared" si="4"/>
        <v>-0.01111111111</v>
      </c>
      <c r="M154" s="4">
        <f t="shared" si="5"/>
        <v>211.9888889</v>
      </c>
    </row>
    <row r="155">
      <c r="A155" s="4" t="s">
        <v>39</v>
      </c>
      <c r="B155" s="4" t="s">
        <v>1924</v>
      </c>
      <c r="C155" s="4" t="s">
        <v>2013</v>
      </c>
      <c r="D155" s="4" t="s">
        <v>2014</v>
      </c>
      <c r="E155" s="10">
        <f>IFERROR(__xludf.DUMMYFUNCTION("SPLIT(B155,""T"")"),43109.0)</f>
        <v>43109</v>
      </c>
      <c r="F155" s="4" t="str">
        <f>IFERROR(__xludf.DUMMYFUNCTION("""COMPUTED_VALUE"""),"10:30:00Z")</f>
        <v>10:30:00Z</v>
      </c>
      <c r="G155" s="11" t="str">
        <f t="shared" si="1"/>
        <v>10:30:00</v>
      </c>
      <c r="H155" s="10">
        <f>IFERROR(__xludf.DUMMYFUNCTION("SPLIT(D155,""T"")"),42897.0)</f>
        <v>42897</v>
      </c>
      <c r="I155" s="4" t="str">
        <f>IFERROR(__xludf.DUMMYFUNCTION("""COMPUTED_VALUE"""),"17:15:00Z")</f>
        <v>17:15:00Z</v>
      </c>
      <c r="J155" s="4" t="str">
        <f t="shared" si="2"/>
        <v>17:15:00</v>
      </c>
      <c r="K155" s="4">
        <f t="shared" si="3"/>
        <v>212</v>
      </c>
      <c r="L155" s="4">
        <f t="shared" si="4"/>
        <v>-0.28125</v>
      </c>
      <c r="M155" s="4">
        <f t="shared" si="5"/>
        <v>211.71875</v>
      </c>
    </row>
    <row r="156" hidden="1">
      <c r="A156" s="4" t="s">
        <v>186</v>
      </c>
      <c r="B156" s="4" t="s">
        <v>496</v>
      </c>
      <c r="C156" s="4" t="s">
        <v>497</v>
      </c>
      <c r="D156" s="4" t="s">
        <v>498</v>
      </c>
      <c r="E156" s="10">
        <f>IFERROR(__xludf.DUMMYFUNCTION("SPLIT(B156,""T"")"),41445.0)</f>
        <v>41445</v>
      </c>
      <c r="F156" s="4" t="str">
        <f>IFERROR(__xludf.DUMMYFUNCTION("""COMPUTED_VALUE"""),"13:15:00Z")</f>
        <v>13:15:00Z</v>
      </c>
      <c r="G156" s="11" t="str">
        <f t="shared" si="1"/>
        <v>13:15:00</v>
      </c>
      <c r="H156" s="10">
        <f>IFERROR(__xludf.DUMMYFUNCTION("SPLIT(D156,""T"")"),41445.0)</f>
        <v>41445</v>
      </c>
      <c r="I156" s="4" t="str">
        <f>IFERROR(__xludf.DUMMYFUNCTION("""COMPUTED_VALUE"""),"14:29:00Z")</f>
        <v>14:29:00Z</v>
      </c>
      <c r="J156" s="4" t="str">
        <f t="shared" si="2"/>
        <v>14:29:00</v>
      </c>
      <c r="K156" s="4">
        <f t="shared" si="3"/>
        <v>0</v>
      </c>
      <c r="L156" s="4">
        <f t="shared" si="4"/>
        <v>-0.05138888889</v>
      </c>
      <c r="M156" s="4">
        <f t="shared" si="5"/>
        <v>-0.05138888889</v>
      </c>
    </row>
    <row r="157">
      <c r="A157" s="4" t="s">
        <v>114</v>
      </c>
      <c r="B157" s="4" t="s">
        <v>1924</v>
      </c>
      <c r="C157" s="4" t="s">
        <v>2430</v>
      </c>
      <c r="D157" s="4" t="s">
        <v>2431</v>
      </c>
      <c r="E157" s="10">
        <f>IFERROR(__xludf.DUMMYFUNCTION("SPLIT(B157,""T"")"),43109.0)</f>
        <v>43109</v>
      </c>
      <c r="F157" s="4" t="str">
        <f>IFERROR(__xludf.DUMMYFUNCTION("""COMPUTED_VALUE"""),"10:30:00Z")</f>
        <v>10:30:00Z</v>
      </c>
      <c r="G157" s="11" t="str">
        <f t="shared" si="1"/>
        <v>10:30:00</v>
      </c>
      <c r="H157" s="10">
        <f>IFERROR(__xludf.DUMMYFUNCTION("SPLIT(D157,""T"")"),42897.0)</f>
        <v>42897</v>
      </c>
      <c r="I157" s="4" t="str">
        <f>IFERROR(__xludf.DUMMYFUNCTION("""COMPUTED_VALUE"""),"18:12:00Z")</f>
        <v>18:12:00Z</v>
      </c>
      <c r="J157" s="4" t="str">
        <f t="shared" si="2"/>
        <v>18:12:00</v>
      </c>
      <c r="K157" s="4">
        <f t="shared" si="3"/>
        <v>212</v>
      </c>
      <c r="L157" s="4">
        <f t="shared" si="4"/>
        <v>-0.3208333333</v>
      </c>
      <c r="M157" s="4">
        <f t="shared" si="5"/>
        <v>211.6791667</v>
      </c>
    </row>
    <row r="158">
      <c r="A158" s="4" t="s">
        <v>19</v>
      </c>
      <c r="B158" s="4" t="s">
        <v>2250</v>
      </c>
      <c r="C158" s="4" t="s">
        <v>658</v>
      </c>
      <c r="D158" s="4" t="s">
        <v>2399</v>
      </c>
      <c r="E158" s="10">
        <f>IFERROR(__xludf.DUMMYFUNCTION("SPLIT(B158,""T"")"),43109.0)</f>
        <v>43109</v>
      </c>
      <c r="F158" s="4" t="str">
        <f>IFERROR(__xludf.DUMMYFUNCTION("""COMPUTED_VALUE"""),"10:31:00Z")</f>
        <v>10:31:00Z</v>
      </c>
      <c r="G158" s="11" t="str">
        <f t="shared" si="1"/>
        <v>10:31:00</v>
      </c>
      <c r="H158" s="10">
        <f>IFERROR(__xludf.DUMMYFUNCTION("SPLIT(D158,""T"")"),42897.0)</f>
        <v>42897</v>
      </c>
      <c r="I158" s="4" t="str">
        <f>IFERROR(__xludf.DUMMYFUNCTION("""COMPUTED_VALUE"""),"18:49:00Z")</f>
        <v>18:49:00Z</v>
      </c>
      <c r="J158" s="4" t="str">
        <f t="shared" si="2"/>
        <v>18:49:00</v>
      </c>
      <c r="K158" s="4">
        <f t="shared" si="3"/>
        <v>212</v>
      </c>
      <c r="L158" s="4">
        <f t="shared" si="4"/>
        <v>-0.3458333333</v>
      </c>
      <c r="M158" s="4">
        <f t="shared" si="5"/>
        <v>211.6541667</v>
      </c>
    </row>
    <row r="159">
      <c r="A159" s="4" t="s">
        <v>39</v>
      </c>
      <c r="B159" s="4" t="s">
        <v>2250</v>
      </c>
      <c r="C159" s="4" t="s">
        <v>2251</v>
      </c>
      <c r="D159" s="4" t="s">
        <v>2252</v>
      </c>
      <c r="E159" s="10">
        <f>IFERROR(__xludf.DUMMYFUNCTION("SPLIT(B159,""T"")"),43109.0)</f>
        <v>43109</v>
      </c>
      <c r="F159" s="4" t="str">
        <f>IFERROR(__xludf.DUMMYFUNCTION("""COMPUTED_VALUE"""),"10:31:00Z")</f>
        <v>10:31:00Z</v>
      </c>
      <c r="G159" s="11" t="str">
        <f t="shared" si="1"/>
        <v>10:31:00</v>
      </c>
      <c r="H159" s="10">
        <f>IFERROR(__xludf.DUMMYFUNCTION("SPLIT(D159,""T"")"),42897.0)</f>
        <v>42897</v>
      </c>
      <c r="I159" s="4" t="str">
        <f>IFERROR(__xludf.DUMMYFUNCTION("""COMPUTED_VALUE"""),"22:45:00Z")</f>
        <v>22:45:00Z</v>
      </c>
      <c r="J159" s="4" t="str">
        <f t="shared" si="2"/>
        <v>22:45:00</v>
      </c>
      <c r="K159" s="4">
        <f t="shared" si="3"/>
        <v>212</v>
      </c>
      <c r="L159" s="4">
        <f t="shared" si="4"/>
        <v>-0.5097222222</v>
      </c>
      <c r="M159" s="4">
        <f t="shared" si="5"/>
        <v>211.4902778</v>
      </c>
    </row>
    <row r="160">
      <c r="A160" s="4" t="s">
        <v>282</v>
      </c>
      <c r="B160" s="4" t="s">
        <v>2720</v>
      </c>
      <c r="C160" s="4" t="s">
        <v>2039</v>
      </c>
      <c r="D160" s="4" t="s">
        <v>2869</v>
      </c>
      <c r="E160" s="10">
        <f>IFERROR(__xludf.DUMMYFUNCTION("SPLIT(B160,""T"")"),43469.0)</f>
        <v>43469</v>
      </c>
      <c r="F160" s="4" t="str">
        <f>IFERROR(__xludf.DUMMYFUNCTION("""COMPUTED_VALUE"""),"10:10:00Z")</f>
        <v>10:10:00Z</v>
      </c>
      <c r="G160" s="11" t="str">
        <f t="shared" si="1"/>
        <v>10:10:00</v>
      </c>
      <c r="H160" s="10">
        <f>IFERROR(__xludf.DUMMYFUNCTION("SPLIT(D160,""T"")"),43258.0)</f>
        <v>43258</v>
      </c>
      <c r="I160" s="4" t="str">
        <f>IFERROR(__xludf.DUMMYFUNCTION("""COMPUTED_VALUE"""),"18:04:00Z")</f>
        <v>18:04:00Z</v>
      </c>
      <c r="J160" s="4" t="str">
        <f t="shared" si="2"/>
        <v>18:04:00</v>
      </c>
      <c r="K160" s="4">
        <f t="shared" si="3"/>
        <v>211</v>
      </c>
      <c r="L160" s="4">
        <f t="shared" si="4"/>
        <v>-0.3291666667</v>
      </c>
      <c r="M160" s="4">
        <f t="shared" si="5"/>
        <v>210.6708333</v>
      </c>
    </row>
    <row r="161">
      <c r="A161" s="4" t="s">
        <v>166</v>
      </c>
      <c r="B161" s="4" t="s">
        <v>2250</v>
      </c>
      <c r="C161" s="4" t="s">
        <v>2491</v>
      </c>
      <c r="D161" s="4" t="s">
        <v>2492</v>
      </c>
      <c r="E161" s="10">
        <f>IFERROR(__xludf.DUMMYFUNCTION("SPLIT(B161,""T"")"),43109.0)</f>
        <v>43109</v>
      </c>
      <c r="F161" s="4" t="str">
        <f>IFERROR(__xludf.DUMMYFUNCTION("""COMPUTED_VALUE"""),"10:31:00Z")</f>
        <v>10:31:00Z</v>
      </c>
      <c r="G161" s="11" t="str">
        <f t="shared" si="1"/>
        <v>10:31:00</v>
      </c>
      <c r="H161" s="10">
        <f>IFERROR(__xludf.DUMMYFUNCTION("SPLIT(D161,""T"")"),42899.0)</f>
        <v>42899</v>
      </c>
      <c r="I161" s="4" t="str">
        <f>IFERROR(__xludf.DUMMYFUNCTION("""COMPUTED_VALUE"""),"10:18:00Z")</f>
        <v>10:18:00Z</v>
      </c>
      <c r="J161" s="4" t="str">
        <f t="shared" si="2"/>
        <v>10:18:00</v>
      </c>
      <c r="K161" s="4">
        <f t="shared" si="3"/>
        <v>210</v>
      </c>
      <c r="L161" s="4">
        <f t="shared" si="4"/>
        <v>0.009027777778</v>
      </c>
      <c r="M161" s="4">
        <f t="shared" si="5"/>
        <v>210.0090278</v>
      </c>
    </row>
    <row r="162">
      <c r="A162" s="4" t="s">
        <v>27</v>
      </c>
      <c r="B162" s="4" t="s">
        <v>2148</v>
      </c>
      <c r="C162" s="4" t="s">
        <v>440</v>
      </c>
      <c r="D162" s="4" t="s">
        <v>2422</v>
      </c>
      <c r="E162" s="10">
        <f>IFERROR(__xludf.DUMMYFUNCTION("SPLIT(B162,""T"")"),43109.0)</f>
        <v>43109</v>
      </c>
      <c r="F162" s="4" t="str">
        <f>IFERROR(__xludf.DUMMYFUNCTION("""COMPUTED_VALUE"""),"10:32:00Z")</f>
        <v>10:32:00Z</v>
      </c>
      <c r="G162" s="11" t="str">
        <f t="shared" si="1"/>
        <v>10:32:00</v>
      </c>
      <c r="H162" s="10">
        <f>IFERROR(__xludf.DUMMYFUNCTION("SPLIT(D162,""T"")"),42899.0)</f>
        <v>42899</v>
      </c>
      <c r="I162" s="4" t="str">
        <f>IFERROR(__xludf.DUMMYFUNCTION("""COMPUTED_VALUE"""),"12:00:00Z")</f>
        <v>12:00:00Z</v>
      </c>
      <c r="J162" s="4" t="str">
        <f t="shared" si="2"/>
        <v>12:00:00</v>
      </c>
      <c r="K162" s="4">
        <f t="shared" si="3"/>
        <v>210</v>
      </c>
      <c r="L162" s="4">
        <f t="shared" si="4"/>
        <v>-0.06111111111</v>
      </c>
      <c r="M162" s="4">
        <f t="shared" si="5"/>
        <v>209.9388889</v>
      </c>
    </row>
    <row r="163">
      <c r="A163" s="4" t="s">
        <v>58</v>
      </c>
      <c r="B163" s="4" t="s">
        <v>2148</v>
      </c>
      <c r="C163" s="4" t="s">
        <v>2499</v>
      </c>
      <c r="D163" s="4" t="s">
        <v>2500</v>
      </c>
      <c r="E163" s="10">
        <f>IFERROR(__xludf.DUMMYFUNCTION("SPLIT(B163,""T"")"),43109.0)</f>
        <v>43109</v>
      </c>
      <c r="F163" s="4" t="str">
        <f>IFERROR(__xludf.DUMMYFUNCTION("""COMPUTED_VALUE"""),"10:32:00Z")</f>
        <v>10:32:00Z</v>
      </c>
      <c r="G163" s="11" t="str">
        <f t="shared" si="1"/>
        <v>10:32:00</v>
      </c>
      <c r="H163" s="10">
        <f>IFERROR(__xludf.DUMMYFUNCTION("SPLIT(D163,""T"")"),42899.0)</f>
        <v>42899</v>
      </c>
      <c r="I163" s="4" t="str">
        <f>IFERROR(__xludf.DUMMYFUNCTION("""COMPUTED_VALUE"""),"12:47:00Z")</f>
        <v>12:47:00Z</v>
      </c>
      <c r="J163" s="4" t="str">
        <f t="shared" si="2"/>
        <v>12:47:00</v>
      </c>
      <c r="K163" s="4">
        <f t="shared" si="3"/>
        <v>210</v>
      </c>
      <c r="L163" s="4">
        <f t="shared" si="4"/>
        <v>-0.09375</v>
      </c>
      <c r="M163" s="4">
        <f t="shared" si="5"/>
        <v>209.90625</v>
      </c>
    </row>
    <row r="164">
      <c r="A164" s="4" t="s">
        <v>62</v>
      </c>
      <c r="B164" s="4" t="s">
        <v>2148</v>
      </c>
      <c r="C164" s="4" t="s">
        <v>2336</v>
      </c>
      <c r="D164" s="4" t="s">
        <v>2337</v>
      </c>
      <c r="E164" s="10">
        <f>IFERROR(__xludf.DUMMYFUNCTION("SPLIT(B164,""T"")"),43109.0)</f>
        <v>43109</v>
      </c>
      <c r="F164" s="4" t="str">
        <f>IFERROR(__xludf.DUMMYFUNCTION("""COMPUTED_VALUE"""),"10:32:00Z")</f>
        <v>10:32:00Z</v>
      </c>
      <c r="G164" s="11" t="str">
        <f t="shared" si="1"/>
        <v>10:32:00</v>
      </c>
      <c r="H164" s="10">
        <f>IFERROR(__xludf.DUMMYFUNCTION("SPLIT(D164,""T"")"),42899.0)</f>
        <v>42899</v>
      </c>
      <c r="I164" s="4" t="str">
        <f>IFERROR(__xludf.DUMMYFUNCTION("""COMPUTED_VALUE"""),"14:31:00Z")</f>
        <v>14:31:00Z</v>
      </c>
      <c r="J164" s="4" t="str">
        <f t="shared" si="2"/>
        <v>14:31:00</v>
      </c>
      <c r="K164" s="4">
        <f t="shared" si="3"/>
        <v>210</v>
      </c>
      <c r="L164" s="4">
        <f t="shared" si="4"/>
        <v>-0.1659722222</v>
      </c>
      <c r="M164" s="4">
        <f t="shared" si="5"/>
        <v>209.8340278</v>
      </c>
    </row>
    <row r="165">
      <c r="A165" s="4" t="s">
        <v>94</v>
      </c>
      <c r="B165" s="4" t="s">
        <v>2148</v>
      </c>
      <c r="C165" s="4" t="s">
        <v>521</v>
      </c>
      <c r="D165" s="4" t="s">
        <v>2149</v>
      </c>
      <c r="E165" s="10">
        <f>IFERROR(__xludf.DUMMYFUNCTION("SPLIT(B165,""T"")"),43109.0)</f>
        <v>43109</v>
      </c>
      <c r="F165" s="4" t="str">
        <f>IFERROR(__xludf.DUMMYFUNCTION("""COMPUTED_VALUE"""),"10:32:00Z")</f>
        <v>10:32:00Z</v>
      </c>
      <c r="G165" s="11" t="str">
        <f t="shared" si="1"/>
        <v>10:32:00</v>
      </c>
      <c r="H165" s="10">
        <f>IFERROR(__xludf.DUMMYFUNCTION("SPLIT(D165,""T"")"),42899.0)</f>
        <v>42899</v>
      </c>
      <c r="I165" s="4" t="str">
        <f>IFERROR(__xludf.DUMMYFUNCTION("""COMPUTED_VALUE"""),"17:00:00Z")</f>
        <v>17:00:00Z</v>
      </c>
      <c r="J165" s="4" t="str">
        <f t="shared" si="2"/>
        <v>17:00:00</v>
      </c>
      <c r="K165" s="4">
        <f t="shared" si="3"/>
        <v>210</v>
      </c>
      <c r="L165" s="4">
        <f t="shared" si="4"/>
        <v>-0.2694444444</v>
      </c>
      <c r="M165" s="4">
        <f t="shared" si="5"/>
        <v>209.7305556</v>
      </c>
    </row>
    <row r="166">
      <c r="A166" s="4" t="s">
        <v>27</v>
      </c>
      <c r="B166" s="4" t="s">
        <v>2148</v>
      </c>
      <c r="C166" s="4" t="s">
        <v>706</v>
      </c>
      <c r="D166" s="4" t="s">
        <v>2511</v>
      </c>
      <c r="E166" s="10">
        <f>IFERROR(__xludf.DUMMYFUNCTION("SPLIT(B166,""T"")"),43109.0)</f>
        <v>43109</v>
      </c>
      <c r="F166" s="4" t="str">
        <f>IFERROR(__xludf.DUMMYFUNCTION("""COMPUTED_VALUE"""),"10:32:00Z")</f>
        <v>10:32:00Z</v>
      </c>
      <c r="G166" s="11" t="str">
        <f t="shared" si="1"/>
        <v>10:32:00</v>
      </c>
      <c r="H166" s="10">
        <f>IFERROR(__xludf.DUMMYFUNCTION("SPLIT(D166,""T"")"),42899.0)</f>
        <v>42899</v>
      </c>
      <c r="I166" s="4" t="str">
        <f>IFERROR(__xludf.DUMMYFUNCTION("""COMPUTED_VALUE"""),"17:21:00Z")</f>
        <v>17:21:00Z</v>
      </c>
      <c r="J166" s="4" t="str">
        <f t="shared" si="2"/>
        <v>17:21:00</v>
      </c>
      <c r="K166" s="4">
        <f t="shared" si="3"/>
        <v>210</v>
      </c>
      <c r="L166" s="4">
        <f t="shared" si="4"/>
        <v>-0.2840277778</v>
      </c>
      <c r="M166" s="4">
        <f t="shared" si="5"/>
        <v>209.7159722</v>
      </c>
    </row>
    <row r="167">
      <c r="A167" s="4" t="s">
        <v>149</v>
      </c>
      <c r="B167" s="4" t="s">
        <v>2132</v>
      </c>
      <c r="C167" s="4" t="s">
        <v>2133</v>
      </c>
      <c r="D167" s="4" t="s">
        <v>2134</v>
      </c>
      <c r="E167" s="10">
        <f>IFERROR(__xludf.DUMMYFUNCTION("SPLIT(B167,""T"")"),43109.0)</f>
        <v>43109</v>
      </c>
      <c r="F167" s="4" t="str">
        <f>IFERROR(__xludf.DUMMYFUNCTION("""COMPUTED_VALUE"""),"10:33:00Z")</f>
        <v>10:33:00Z</v>
      </c>
      <c r="G167" s="11" t="str">
        <f t="shared" si="1"/>
        <v>10:33:00</v>
      </c>
      <c r="H167" s="10">
        <f>IFERROR(__xludf.DUMMYFUNCTION("SPLIT(D167,""T"")"),42900.0)</f>
        <v>42900</v>
      </c>
      <c r="I167" s="4" t="str">
        <f>IFERROR(__xludf.DUMMYFUNCTION("""COMPUTED_VALUE"""),"11:44:00Z")</f>
        <v>11:44:00Z</v>
      </c>
      <c r="J167" s="4" t="str">
        <f t="shared" si="2"/>
        <v>11:44:00</v>
      </c>
      <c r="K167" s="4">
        <f t="shared" si="3"/>
        <v>209</v>
      </c>
      <c r="L167" s="4">
        <f t="shared" si="4"/>
        <v>-0.04930555556</v>
      </c>
      <c r="M167" s="4">
        <f t="shared" si="5"/>
        <v>208.9506944</v>
      </c>
    </row>
    <row r="168">
      <c r="A168" s="4" t="s">
        <v>54</v>
      </c>
      <c r="B168" s="4" t="s">
        <v>2720</v>
      </c>
      <c r="C168" s="4" t="s">
        <v>1060</v>
      </c>
      <c r="D168" s="4" t="s">
        <v>2721</v>
      </c>
      <c r="E168" s="10">
        <f>IFERROR(__xludf.DUMMYFUNCTION("SPLIT(B168,""T"")"),43469.0)</f>
        <v>43469</v>
      </c>
      <c r="F168" s="4" t="str">
        <f>IFERROR(__xludf.DUMMYFUNCTION("""COMPUTED_VALUE"""),"10:10:00Z")</f>
        <v>10:10:00Z</v>
      </c>
      <c r="G168" s="11" t="str">
        <f t="shared" si="1"/>
        <v>10:10:00</v>
      </c>
      <c r="H168" s="10">
        <f>IFERROR(__xludf.DUMMYFUNCTION("SPLIT(D168,""T"")"),43260.0)</f>
        <v>43260</v>
      </c>
      <c r="I168" s="4" t="str">
        <f>IFERROR(__xludf.DUMMYFUNCTION("""COMPUTED_VALUE"""),"14:10:00Z")</f>
        <v>14:10:00Z</v>
      </c>
      <c r="J168" s="4" t="str">
        <f t="shared" si="2"/>
        <v>14:10:00</v>
      </c>
      <c r="K168" s="4">
        <f t="shared" si="3"/>
        <v>209</v>
      </c>
      <c r="L168" s="4">
        <f t="shared" si="4"/>
        <v>-0.1666666667</v>
      </c>
      <c r="M168" s="4">
        <f t="shared" si="5"/>
        <v>208.8333333</v>
      </c>
    </row>
    <row r="169">
      <c r="A169" s="4" t="s">
        <v>23</v>
      </c>
      <c r="B169" s="4" t="s">
        <v>2876</v>
      </c>
      <c r="C169" s="4" t="s">
        <v>2831</v>
      </c>
      <c r="D169" s="4" t="s">
        <v>2877</v>
      </c>
      <c r="E169" s="10">
        <f>IFERROR(__xludf.DUMMYFUNCTION("SPLIT(B169,""T"")"),43469.0)</f>
        <v>43469</v>
      </c>
      <c r="F169" s="4" t="str">
        <f>IFERROR(__xludf.DUMMYFUNCTION("""COMPUTED_VALUE"""),"10:08:00Z")</f>
        <v>10:08:00Z</v>
      </c>
      <c r="G169" s="11" t="str">
        <f t="shared" si="1"/>
        <v>10:08:00</v>
      </c>
      <c r="H169" s="10">
        <f>IFERROR(__xludf.DUMMYFUNCTION("SPLIT(D169,""T"")"),43260.0)</f>
        <v>43260</v>
      </c>
      <c r="I169" s="4" t="str">
        <f>IFERROR(__xludf.DUMMYFUNCTION("""COMPUTED_VALUE"""),"14:45:00Z")</f>
        <v>14:45:00Z</v>
      </c>
      <c r="J169" s="4" t="str">
        <f t="shared" si="2"/>
        <v>14:45:00</v>
      </c>
      <c r="K169" s="4">
        <f t="shared" si="3"/>
        <v>209</v>
      </c>
      <c r="L169" s="4">
        <f t="shared" si="4"/>
        <v>-0.1923611111</v>
      </c>
      <c r="M169" s="4">
        <f t="shared" si="5"/>
        <v>208.8076389</v>
      </c>
    </row>
    <row r="170">
      <c r="A170" s="4" t="s">
        <v>2397</v>
      </c>
      <c r="B170" s="4" t="s">
        <v>2729</v>
      </c>
      <c r="C170" s="4" t="s">
        <v>1950</v>
      </c>
      <c r="D170" s="4" t="s">
        <v>3200</v>
      </c>
      <c r="E170" s="10">
        <f>IFERROR(__xludf.DUMMYFUNCTION("SPLIT(B170,""T"")"),43469.0)</f>
        <v>43469</v>
      </c>
      <c r="F170" s="4" t="str">
        <f>IFERROR(__xludf.DUMMYFUNCTION("""COMPUTED_VALUE"""),"10:09:00Z")</f>
        <v>10:09:00Z</v>
      </c>
      <c r="G170" s="11" t="str">
        <f t="shared" si="1"/>
        <v>10:09:00</v>
      </c>
      <c r="H170" s="10">
        <f>IFERROR(__xludf.DUMMYFUNCTION("SPLIT(D170,""T"")"),43260.0)</f>
        <v>43260</v>
      </c>
      <c r="I170" s="4" t="str">
        <f>IFERROR(__xludf.DUMMYFUNCTION("""COMPUTED_VALUE"""),"15:30:00Z")</f>
        <v>15:30:00Z</v>
      </c>
      <c r="J170" s="4" t="str">
        <f t="shared" si="2"/>
        <v>15:30:00</v>
      </c>
      <c r="K170" s="4">
        <f t="shared" si="3"/>
        <v>209</v>
      </c>
      <c r="L170" s="4">
        <f t="shared" si="4"/>
        <v>-0.2229166667</v>
      </c>
      <c r="M170" s="4">
        <f t="shared" si="5"/>
        <v>208.7770833</v>
      </c>
    </row>
    <row r="171">
      <c r="A171" s="4" t="s">
        <v>212</v>
      </c>
      <c r="B171" s="4" t="s">
        <v>2729</v>
      </c>
      <c r="C171" s="4" t="s">
        <v>2730</v>
      </c>
      <c r="D171" s="4" t="s">
        <v>2731</v>
      </c>
      <c r="E171" s="10">
        <f>IFERROR(__xludf.DUMMYFUNCTION("SPLIT(B171,""T"")"),43469.0)</f>
        <v>43469</v>
      </c>
      <c r="F171" s="4" t="str">
        <f>IFERROR(__xludf.DUMMYFUNCTION("""COMPUTED_VALUE"""),"10:09:00Z")</f>
        <v>10:09:00Z</v>
      </c>
      <c r="G171" s="11" t="str">
        <f t="shared" si="1"/>
        <v>10:09:00</v>
      </c>
      <c r="H171" s="10">
        <f>IFERROR(__xludf.DUMMYFUNCTION("SPLIT(D171,""T"")"),43260.0)</f>
        <v>43260</v>
      </c>
      <c r="I171" s="4" t="str">
        <f>IFERROR(__xludf.DUMMYFUNCTION("""COMPUTED_VALUE"""),"15:32:00Z")</f>
        <v>15:32:00Z</v>
      </c>
      <c r="J171" s="4" t="str">
        <f t="shared" si="2"/>
        <v>15:32:00</v>
      </c>
      <c r="K171" s="4">
        <f t="shared" si="3"/>
        <v>209</v>
      </c>
      <c r="L171" s="4">
        <f t="shared" si="4"/>
        <v>-0.2243055556</v>
      </c>
      <c r="M171" s="4">
        <f t="shared" si="5"/>
        <v>208.7756944</v>
      </c>
    </row>
    <row r="172">
      <c r="A172" s="4" t="s">
        <v>114</v>
      </c>
      <c r="B172" s="4" t="s">
        <v>2876</v>
      </c>
      <c r="C172" s="4" t="s">
        <v>2956</v>
      </c>
      <c r="D172" s="4" t="s">
        <v>2957</v>
      </c>
      <c r="E172" s="10">
        <f>IFERROR(__xludf.DUMMYFUNCTION("SPLIT(B172,""T"")"),43469.0)</f>
        <v>43469</v>
      </c>
      <c r="F172" s="4" t="str">
        <f>IFERROR(__xludf.DUMMYFUNCTION("""COMPUTED_VALUE"""),"10:08:00Z")</f>
        <v>10:08:00Z</v>
      </c>
      <c r="G172" s="11" t="str">
        <f t="shared" si="1"/>
        <v>10:08:00</v>
      </c>
      <c r="H172" s="10">
        <f>IFERROR(__xludf.DUMMYFUNCTION("SPLIT(D172,""T"")"),43260.0)</f>
        <v>43260</v>
      </c>
      <c r="I172" s="4" t="str">
        <f>IFERROR(__xludf.DUMMYFUNCTION("""COMPUTED_VALUE"""),"15:31:00Z")</f>
        <v>15:31:00Z</v>
      </c>
      <c r="J172" s="4" t="str">
        <f t="shared" si="2"/>
        <v>15:31:00</v>
      </c>
      <c r="K172" s="4">
        <f t="shared" si="3"/>
        <v>209</v>
      </c>
      <c r="L172" s="4">
        <f t="shared" si="4"/>
        <v>-0.2243055556</v>
      </c>
      <c r="M172" s="4">
        <f t="shared" si="5"/>
        <v>208.7756944</v>
      </c>
    </row>
    <row r="173">
      <c r="A173" s="4" t="s">
        <v>101</v>
      </c>
      <c r="B173" s="4" t="s">
        <v>2132</v>
      </c>
      <c r="C173" s="4" t="s">
        <v>2281</v>
      </c>
      <c r="D173" s="4" t="s">
        <v>2282</v>
      </c>
      <c r="E173" s="10">
        <f>IFERROR(__xludf.DUMMYFUNCTION("SPLIT(B173,""T"")"),43109.0)</f>
        <v>43109</v>
      </c>
      <c r="F173" s="4" t="str">
        <f>IFERROR(__xludf.DUMMYFUNCTION("""COMPUTED_VALUE"""),"10:33:00Z")</f>
        <v>10:33:00Z</v>
      </c>
      <c r="G173" s="11" t="str">
        <f t="shared" si="1"/>
        <v>10:33:00</v>
      </c>
      <c r="H173" s="10">
        <f>IFERROR(__xludf.DUMMYFUNCTION("SPLIT(D173,""T"")"),42901.0)</f>
        <v>42901</v>
      </c>
      <c r="I173" s="4" t="str">
        <f>IFERROR(__xludf.DUMMYFUNCTION("""COMPUTED_VALUE"""),"07:30:00Z")</f>
        <v>07:30:00Z</v>
      </c>
      <c r="J173" s="4" t="str">
        <f t="shared" si="2"/>
        <v>07:30:00</v>
      </c>
      <c r="K173" s="4">
        <f t="shared" si="3"/>
        <v>208</v>
      </c>
      <c r="L173" s="4">
        <f t="shared" si="4"/>
        <v>0.1270833333</v>
      </c>
      <c r="M173" s="4">
        <f t="shared" si="5"/>
        <v>208.1270833</v>
      </c>
    </row>
    <row r="174">
      <c r="A174" s="4" t="s">
        <v>27</v>
      </c>
      <c r="B174" s="4" t="s">
        <v>2132</v>
      </c>
      <c r="C174" s="4" t="s">
        <v>1278</v>
      </c>
      <c r="D174" s="4" t="s">
        <v>2183</v>
      </c>
      <c r="E174" s="10">
        <f>IFERROR(__xludf.DUMMYFUNCTION("SPLIT(B174,""T"")"),43109.0)</f>
        <v>43109</v>
      </c>
      <c r="F174" s="4" t="str">
        <f>IFERROR(__xludf.DUMMYFUNCTION("""COMPUTED_VALUE"""),"10:33:00Z")</f>
        <v>10:33:00Z</v>
      </c>
      <c r="G174" s="11" t="str">
        <f t="shared" si="1"/>
        <v>10:33:00</v>
      </c>
      <c r="H174" s="10">
        <f>IFERROR(__xludf.DUMMYFUNCTION("SPLIT(D174,""T"")"),42901.0)</f>
        <v>42901</v>
      </c>
      <c r="I174" s="4" t="str">
        <f>IFERROR(__xludf.DUMMYFUNCTION("""COMPUTED_VALUE"""),"11:36:00Z")</f>
        <v>11:36:00Z</v>
      </c>
      <c r="J174" s="4" t="str">
        <f t="shared" si="2"/>
        <v>11:36:00</v>
      </c>
      <c r="K174" s="4">
        <f t="shared" si="3"/>
        <v>208</v>
      </c>
      <c r="L174" s="4">
        <f t="shared" si="4"/>
        <v>-0.04375</v>
      </c>
      <c r="M174" s="4">
        <f t="shared" si="5"/>
        <v>207.95625</v>
      </c>
    </row>
    <row r="175">
      <c r="A175" s="4" t="s">
        <v>27</v>
      </c>
      <c r="B175" s="4" t="s">
        <v>2132</v>
      </c>
      <c r="C175" s="4" t="s">
        <v>2456</v>
      </c>
      <c r="D175" s="4" t="s">
        <v>2457</v>
      </c>
      <c r="E175" s="10">
        <f>IFERROR(__xludf.DUMMYFUNCTION("SPLIT(B175,""T"")"),43109.0)</f>
        <v>43109</v>
      </c>
      <c r="F175" s="4" t="str">
        <f>IFERROR(__xludf.DUMMYFUNCTION("""COMPUTED_VALUE"""),"10:33:00Z")</f>
        <v>10:33:00Z</v>
      </c>
      <c r="G175" s="11" t="str">
        <f t="shared" si="1"/>
        <v>10:33:00</v>
      </c>
      <c r="H175" s="10">
        <f>IFERROR(__xludf.DUMMYFUNCTION("SPLIT(D175,""T"")"),42901.0)</f>
        <v>42901</v>
      </c>
      <c r="I175" s="4" t="str">
        <f>IFERROR(__xludf.DUMMYFUNCTION("""COMPUTED_VALUE"""),"15:51:00Z")</f>
        <v>15:51:00Z</v>
      </c>
      <c r="J175" s="4" t="str">
        <f t="shared" si="2"/>
        <v>15:51:00</v>
      </c>
      <c r="K175" s="4">
        <f t="shared" si="3"/>
        <v>208</v>
      </c>
      <c r="L175" s="4">
        <f t="shared" si="4"/>
        <v>-0.2208333333</v>
      </c>
      <c r="M175" s="4">
        <f t="shared" si="5"/>
        <v>207.7791667</v>
      </c>
    </row>
    <row r="176">
      <c r="A176" s="4" t="s">
        <v>87</v>
      </c>
      <c r="B176" s="4" t="s">
        <v>1974</v>
      </c>
      <c r="C176" s="4" t="s">
        <v>2150</v>
      </c>
      <c r="D176" s="4" t="s">
        <v>2151</v>
      </c>
      <c r="E176" s="10">
        <f>IFERROR(__xludf.DUMMYFUNCTION("SPLIT(B176,""T"")"),43109.0)</f>
        <v>43109</v>
      </c>
      <c r="F176" s="4" t="str">
        <f>IFERROR(__xludf.DUMMYFUNCTION("""COMPUTED_VALUE"""),"10:34:00Z")</f>
        <v>10:34:00Z</v>
      </c>
      <c r="G176" s="11" t="str">
        <f t="shared" si="1"/>
        <v>10:34:00</v>
      </c>
      <c r="H176" s="10">
        <f>IFERROR(__xludf.DUMMYFUNCTION("SPLIT(D176,""T"")"),42902.0)</f>
        <v>42902</v>
      </c>
      <c r="I176" s="4" t="str">
        <f>IFERROR(__xludf.DUMMYFUNCTION("""COMPUTED_VALUE"""),"09:27:00Z")</f>
        <v>09:27:00Z</v>
      </c>
      <c r="J176" s="4" t="str">
        <f t="shared" si="2"/>
        <v>09:27:00</v>
      </c>
      <c r="K176" s="4">
        <f t="shared" si="3"/>
        <v>207</v>
      </c>
      <c r="L176" s="4">
        <f t="shared" si="4"/>
        <v>0.04652777778</v>
      </c>
      <c r="M176" s="4">
        <f t="shared" si="5"/>
        <v>207.0465278</v>
      </c>
    </row>
    <row r="177">
      <c r="A177" s="4" t="s">
        <v>156</v>
      </c>
      <c r="B177" s="4" t="s">
        <v>2704</v>
      </c>
      <c r="C177" s="4" t="s">
        <v>2705</v>
      </c>
      <c r="D177" s="4" t="s">
        <v>2706</v>
      </c>
      <c r="E177" s="10">
        <f>IFERROR(__xludf.DUMMYFUNCTION("SPLIT(B177,""T"")"),43469.0)</f>
        <v>43469</v>
      </c>
      <c r="F177" s="4" t="str">
        <f>IFERROR(__xludf.DUMMYFUNCTION("""COMPUTED_VALUE"""),"10:03:00Z")</f>
        <v>10:03:00Z</v>
      </c>
      <c r="G177" s="11" t="str">
        <f t="shared" si="1"/>
        <v>10:03:00</v>
      </c>
      <c r="H177" s="10">
        <f>IFERROR(__xludf.DUMMYFUNCTION("SPLIT(D177,""T"")"),43262.0)</f>
        <v>43262</v>
      </c>
      <c r="I177" s="4" t="str">
        <f>IFERROR(__xludf.DUMMYFUNCTION("""COMPUTED_VALUE"""),"12:00:00Z")</f>
        <v>12:00:00Z</v>
      </c>
      <c r="J177" s="4" t="str">
        <f t="shared" si="2"/>
        <v>12:00:00</v>
      </c>
      <c r="K177" s="4">
        <f t="shared" si="3"/>
        <v>207</v>
      </c>
      <c r="L177" s="4">
        <f t="shared" si="4"/>
        <v>-0.08125</v>
      </c>
      <c r="M177" s="4">
        <f t="shared" si="5"/>
        <v>206.91875</v>
      </c>
    </row>
    <row r="178">
      <c r="A178" s="4" t="s">
        <v>179</v>
      </c>
      <c r="B178" s="4" t="s">
        <v>2876</v>
      </c>
      <c r="C178" s="4" t="s">
        <v>2062</v>
      </c>
      <c r="D178" s="4" t="s">
        <v>3016</v>
      </c>
      <c r="E178" s="10">
        <f>IFERROR(__xludf.DUMMYFUNCTION("SPLIT(B178,""T"")"),43469.0)</f>
        <v>43469</v>
      </c>
      <c r="F178" s="4" t="str">
        <f>IFERROR(__xludf.DUMMYFUNCTION("""COMPUTED_VALUE"""),"10:08:00Z")</f>
        <v>10:08:00Z</v>
      </c>
      <c r="G178" s="11" t="str">
        <f t="shared" si="1"/>
        <v>10:08:00</v>
      </c>
      <c r="H178" s="10">
        <f>IFERROR(__xludf.DUMMYFUNCTION("SPLIT(D178,""T"")"),43262.0)</f>
        <v>43262</v>
      </c>
      <c r="I178" s="4" t="str">
        <f>IFERROR(__xludf.DUMMYFUNCTION("""COMPUTED_VALUE"""),"12:16:00Z")</f>
        <v>12:16:00Z</v>
      </c>
      <c r="J178" s="4" t="str">
        <f t="shared" si="2"/>
        <v>12:16:00</v>
      </c>
      <c r="K178" s="4">
        <f t="shared" si="3"/>
        <v>207</v>
      </c>
      <c r="L178" s="4">
        <f t="shared" si="4"/>
        <v>-0.08888888889</v>
      </c>
      <c r="M178" s="4">
        <f t="shared" si="5"/>
        <v>206.9111111</v>
      </c>
    </row>
    <row r="179">
      <c r="A179" s="4" t="s">
        <v>27</v>
      </c>
      <c r="B179" s="4" t="s">
        <v>1974</v>
      </c>
      <c r="C179" s="4" t="s">
        <v>37</v>
      </c>
      <c r="D179" s="4" t="s">
        <v>2608</v>
      </c>
      <c r="E179" s="10">
        <f>IFERROR(__xludf.DUMMYFUNCTION("SPLIT(B179,""T"")"),43109.0)</f>
        <v>43109</v>
      </c>
      <c r="F179" s="4" t="str">
        <f>IFERROR(__xludf.DUMMYFUNCTION("""COMPUTED_VALUE"""),"10:34:00Z")</f>
        <v>10:34:00Z</v>
      </c>
      <c r="G179" s="11" t="str">
        <f t="shared" si="1"/>
        <v>10:34:00</v>
      </c>
      <c r="H179" s="10">
        <f>IFERROR(__xludf.DUMMYFUNCTION("SPLIT(D179,""T"")"),42902.0)</f>
        <v>42902</v>
      </c>
      <c r="I179" s="4" t="str">
        <f>IFERROR(__xludf.DUMMYFUNCTION("""COMPUTED_VALUE"""),"14:51:00Z")</f>
        <v>14:51:00Z</v>
      </c>
      <c r="J179" s="4" t="str">
        <f t="shared" si="2"/>
        <v>14:51:00</v>
      </c>
      <c r="K179" s="4">
        <f t="shared" si="3"/>
        <v>207</v>
      </c>
      <c r="L179" s="4">
        <f t="shared" si="4"/>
        <v>-0.1784722222</v>
      </c>
      <c r="M179" s="4">
        <f t="shared" si="5"/>
        <v>206.8215278</v>
      </c>
    </row>
    <row r="180">
      <c r="A180" s="4" t="s">
        <v>114</v>
      </c>
      <c r="B180" s="4" t="s">
        <v>1974</v>
      </c>
      <c r="C180" s="4" t="s">
        <v>2428</v>
      </c>
      <c r="D180" s="4" t="s">
        <v>2429</v>
      </c>
      <c r="E180" s="10">
        <f>IFERROR(__xludf.DUMMYFUNCTION("SPLIT(B180,""T"")"),43109.0)</f>
        <v>43109</v>
      </c>
      <c r="F180" s="4" t="str">
        <f>IFERROR(__xludf.DUMMYFUNCTION("""COMPUTED_VALUE"""),"10:34:00Z")</f>
        <v>10:34:00Z</v>
      </c>
      <c r="G180" s="11" t="str">
        <f t="shared" si="1"/>
        <v>10:34:00</v>
      </c>
      <c r="H180" s="10">
        <f>IFERROR(__xludf.DUMMYFUNCTION("SPLIT(D180,""T"")"),42902.0)</f>
        <v>42902</v>
      </c>
      <c r="I180" s="4" t="str">
        <f>IFERROR(__xludf.DUMMYFUNCTION("""COMPUTED_VALUE"""),"15:49:00Z")</f>
        <v>15:49:00Z</v>
      </c>
      <c r="J180" s="4" t="str">
        <f t="shared" si="2"/>
        <v>15:49:00</v>
      </c>
      <c r="K180" s="4">
        <f t="shared" si="3"/>
        <v>207</v>
      </c>
      <c r="L180" s="4">
        <f t="shared" si="4"/>
        <v>-0.21875</v>
      </c>
      <c r="M180" s="4">
        <f t="shared" si="5"/>
        <v>206.78125</v>
      </c>
    </row>
    <row r="181">
      <c r="A181" s="4" t="s">
        <v>435</v>
      </c>
      <c r="B181" s="4" t="s">
        <v>2876</v>
      </c>
      <c r="C181" s="4" t="s">
        <v>2898</v>
      </c>
      <c r="D181" s="4" t="s">
        <v>2899</v>
      </c>
      <c r="E181" s="10">
        <f>IFERROR(__xludf.DUMMYFUNCTION("SPLIT(B181,""T"")"),43469.0)</f>
        <v>43469</v>
      </c>
      <c r="F181" s="4" t="str">
        <f>IFERROR(__xludf.DUMMYFUNCTION("""COMPUTED_VALUE"""),"10:08:00Z")</f>
        <v>10:08:00Z</v>
      </c>
      <c r="G181" s="11" t="str">
        <f t="shared" si="1"/>
        <v>10:08:00</v>
      </c>
      <c r="H181" s="10">
        <f>IFERROR(__xludf.DUMMYFUNCTION("SPLIT(D181,""T"")"),43262.0)</f>
        <v>43262</v>
      </c>
      <c r="I181" s="4" t="str">
        <f>IFERROR(__xludf.DUMMYFUNCTION("""COMPUTED_VALUE"""),"17:04:00Z")</f>
        <v>17:04:00Z</v>
      </c>
      <c r="J181" s="4" t="str">
        <f t="shared" si="2"/>
        <v>17:04:00</v>
      </c>
      <c r="K181" s="4">
        <f t="shared" si="3"/>
        <v>207</v>
      </c>
      <c r="L181" s="4">
        <f t="shared" si="4"/>
        <v>-0.2888888889</v>
      </c>
      <c r="M181" s="4">
        <f t="shared" si="5"/>
        <v>206.7111111</v>
      </c>
    </row>
    <row r="182">
      <c r="A182" s="4" t="s">
        <v>23</v>
      </c>
      <c r="B182" s="4" t="s">
        <v>1974</v>
      </c>
      <c r="C182" s="4" t="s">
        <v>125</v>
      </c>
      <c r="D182" s="4" t="s">
        <v>1975</v>
      </c>
      <c r="E182" s="10">
        <f>IFERROR(__xludf.DUMMYFUNCTION("SPLIT(B182,""T"")"),43109.0)</f>
        <v>43109</v>
      </c>
      <c r="F182" s="4" t="str">
        <f>IFERROR(__xludf.DUMMYFUNCTION("""COMPUTED_VALUE"""),"10:34:00Z")</f>
        <v>10:34:00Z</v>
      </c>
      <c r="G182" s="11" t="str">
        <f t="shared" si="1"/>
        <v>10:34:00</v>
      </c>
      <c r="H182" s="10">
        <f>IFERROR(__xludf.DUMMYFUNCTION("SPLIT(D182,""T"")"),42903.0)</f>
        <v>42903</v>
      </c>
      <c r="I182" s="4" t="str">
        <f>IFERROR(__xludf.DUMMYFUNCTION("""COMPUTED_VALUE"""),"13:55:00Z")</f>
        <v>13:55:00Z</v>
      </c>
      <c r="J182" s="4" t="str">
        <f t="shared" si="2"/>
        <v>13:55:00</v>
      </c>
      <c r="K182" s="4">
        <f t="shared" si="3"/>
        <v>206</v>
      </c>
      <c r="L182" s="4">
        <f t="shared" si="4"/>
        <v>-0.1395833333</v>
      </c>
      <c r="M182" s="4">
        <f t="shared" si="5"/>
        <v>205.8604167</v>
      </c>
    </row>
    <row r="183">
      <c r="A183" s="4" t="s">
        <v>27</v>
      </c>
      <c r="B183" s="4" t="s">
        <v>2862</v>
      </c>
      <c r="C183" s="4" t="s">
        <v>2900</v>
      </c>
      <c r="D183" s="4" t="s">
        <v>2901</v>
      </c>
      <c r="E183" s="10">
        <f>IFERROR(__xludf.DUMMYFUNCTION("SPLIT(B183,""T"")"),43469.0)</f>
        <v>43469</v>
      </c>
      <c r="F183" s="4" t="str">
        <f>IFERROR(__xludf.DUMMYFUNCTION("""COMPUTED_VALUE"""),"10:07:00Z")</f>
        <v>10:07:00Z</v>
      </c>
      <c r="G183" s="11" t="str">
        <f t="shared" si="1"/>
        <v>10:07:00</v>
      </c>
      <c r="H183" s="10">
        <f>IFERROR(__xludf.DUMMYFUNCTION("SPLIT(D183,""T"")"),43263.0)</f>
        <v>43263</v>
      </c>
      <c r="I183" s="4" t="str">
        <f>IFERROR(__xludf.DUMMYFUNCTION("""COMPUTED_VALUE"""),"14:22:00Z")</f>
        <v>14:22:00Z</v>
      </c>
      <c r="J183" s="4" t="str">
        <f t="shared" si="2"/>
        <v>14:22:00</v>
      </c>
      <c r="K183" s="4">
        <f t="shared" si="3"/>
        <v>206</v>
      </c>
      <c r="L183" s="4">
        <f t="shared" si="4"/>
        <v>-0.1770833333</v>
      </c>
      <c r="M183" s="4">
        <f t="shared" si="5"/>
        <v>205.8229167</v>
      </c>
    </row>
    <row r="184">
      <c r="A184" s="4" t="s">
        <v>23</v>
      </c>
      <c r="B184" s="4" t="s">
        <v>2862</v>
      </c>
      <c r="C184" s="4" t="s">
        <v>2486</v>
      </c>
      <c r="D184" s="4" t="s">
        <v>3156</v>
      </c>
      <c r="E184" s="10">
        <f>IFERROR(__xludf.DUMMYFUNCTION("SPLIT(B184,""T"")"),43469.0)</f>
        <v>43469</v>
      </c>
      <c r="F184" s="4" t="str">
        <f>IFERROR(__xludf.DUMMYFUNCTION("""COMPUTED_VALUE"""),"10:07:00Z")</f>
        <v>10:07:00Z</v>
      </c>
      <c r="G184" s="11" t="str">
        <f t="shared" si="1"/>
        <v>10:07:00</v>
      </c>
      <c r="H184" s="10">
        <f>IFERROR(__xludf.DUMMYFUNCTION("SPLIT(D184,""T"")"),43263.0)</f>
        <v>43263</v>
      </c>
      <c r="I184" s="4" t="str">
        <f>IFERROR(__xludf.DUMMYFUNCTION("""COMPUTED_VALUE"""),"14:56:00Z")</f>
        <v>14:56:00Z</v>
      </c>
      <c r="J184" s="4" t="str">
        <f t="shared" si="2"/>
        <v>14:56:00</v>
      </c>
      <c r="K184" s="4">
        <f t="shared" si="3"/>
        <v>206</v>
      </c>
      <c r="L184" s="4">
        <f t="shared" si="4"/>
        <v>-0.2006944444</v>
      </c>
      <c r="M184" s="4">
        <f t="shared" si="5"/>
        <v>205.7993056</v>
      </c>
    </row>
    <row r="185">
      <c r="A185" s="4" t="s">
        <v>170</v>
      </c>
      <c r="B185" s="4" t="s">
        <v>2862</v>
      </c>
      <c r="C185" s="4" t="s">
        <v>533</v>
      </c>
      <c r="D185" s="4" t="s">
        <v>2863</v>
      </c>
      <c r="E185" s="10">
        <f>IFERROR(__xludf.DUMMYFUNCTION("SPLIT(B185,""T"")"),43469.0)</f>
        <v>43469</v>
      </c>
      <c r="F185" s="4" t="str">
        <f>IFERROR(__xludf.DUMMYFUNCTION("""COMPUTED_VALUE"""),"10:07:00Z")</f>
        <v>10:07:00Z</v>
      </c>
      <c r="G185" s="11" t="str">
        <f t="shared" si="1"/>
        <v>10:07:00</v>
      </c>
      <c r="H185" s="10">
        <f>IFERROR(__xludf.DUMMYFUNCTION("SPLIT(D185,""T"")"),43263.0)</f>
        <v>43263</v>
      </c>
      <c r="I185" s="4" t="str">
        <f>IFERROR(__xludf.DUMMYFUNCTION("""COMPUTED_VALUE"""),"15:06:00Z")</f>
        <v>15:06:00Z</v>
      </c>
      <c r="J185" s="4" t="str">
        <f t="shared" si="2"/>
        <v>15:06:00</v>
      </c>
      <c r="K185" s="4">
        <f t="shared" si="3"/>
        <v>206</v>
      </c>
      <c r="L185" s="4">
        <f t="shared" si="4"/>
        <v>-0.2076388889</v>
      </c>
      <c r="M185" s="4">
        <f t="shared" si="5"/>
        <v>205.7923611</v>
      </c>
    </row>
    <row r="186">
      <c r="A186" s="4" t="s">
        <v>54</v>
      </c>
      <c r="B186" s="4" t="s">
        <v>2289</v>
      </c>
      <c r="C186" s="4" t="s">
        <v>2290</v>
      </c>
      <c r="D186" s="4" t="s">
        <v>2291</v>
      </c>
      <c r="E186" s="10">
        <f>IFERROR(__xludf.DUMMYFUNCTION("SPLIT(B186,""T"")"),43109.0)</f>
        <v>43109</v>
      </c>
      <c r="F186" s="4" t="str">
        <f>IFERROR(__xludf.DUMMYFUNCTION("""COMPUTED_VALUE"""),"10:35:00Z")</f>
        <v>10:35:00Z</v>
      </c>
      <c r="G186" s="11" t="str">
        <f t="shared" si="1"/>
        <v>10:35:00</v>
      </c>
      <c r="H186" s="10">
        <f>IFERROR(__xludf.DUMMYFUNCTION("SPLIT(D186,""T"")"),42904.0)</f>
        <v>42904</v>
      </c>
      <c r="I186" s="4" t="str">
        <f>IFERROR(__xludf.DUMMYFUNCTION("""COMPUTED_VALUE"""),"07:15:00Z")</f>
        <v>07:15:00Z</v>
      </c>
      <c r="J186" s="4" t="str">
        <f t="shared" si="2"/>
        <v>07:15:00</v>
      </c>
      <c r="K186" s="4">
        <f t="shared" si="3"/>
        <v>205</v>
      </c>
      <c r="L186" s="4">
        <f t="shared" si="4"/>
        <v>0.1388888889</v>
      </c>
      <c r="M186" s="4">
        <f t="shared" si="5"/>
        <v>205.1388889</v>
      </c>
    </row>
    <row r="187">
      <c r="A187" s="4" t="s">
        <v>27</v>
      </c>
      <c r="B187" s="4" t="s">
        <v>2289</v>
      </c>
      <c r="C187" s="4" t="s">
        <v>2606</v>
      </c>
      <c r="D187" s="4" t="s">
        <v>2607</v>
      </c>
      <c r="E187" s="10">
        <f>IFERROR(__xludf.DUMMYFUNCTION("SPLIT(B187,""T"")"),43109.0)</f>
        <v>43109</v>
      </c>
      <c r="F187" s="4" t="str">
        <f>IFERROR(__xludf.DUMMYFUNCTION("""COMPUTED_VALUE"""),"10:35:00Z")</f>
        <v>10:35:00Z</v>
      </c>
      <c r="G187" s="11" t="str">
        <f t="shared" si="1"/>
        <v>10:35:00</v>
      </c>
      <c r="H187" s="10">
        <f>IFERROR(__xludf.DUMMYFUNCTION("SPLIT(D187,""T"")"),42904.0)</f>
        <v>42904</v>
      </c>
      <c r="I187" s="4" t="str">
        <f>IFERROR(__xludf.DUMMYFUNCTION("""COMPUTED_VALUE"""),"12:28:00Z")</f>
        <v>12:28:00Z</v>
      </c>
      <c r="J187" s="4" t="str">
        <f t="shared" si="2"/>
        <v>12:28:00</v>
      </c>
      <c r="K187" s="4">
        <f t="shared" si="3"/>
        <v>205</v>
      </c>
      <c r="L187" s="4">
        <f t="shared" si="4"/>
        <v>-0.07847222222</v>
      </c>
      <c r="M187" s="4">
        <f t="shared" si="5"/>
        <v>204.9215278</v>
      </c>
    </row>
    <row r="188">
      <c r="A188" s="4" t="s">
        <v>149</v>
      </c>
      <c r="B188" s="4" t="s">
        <v>2862</v>
      </c>
      <c r="C188" s="4" t="s">
        <v>2221</v>
      </c>
      <c r="D188" s="4" t="s">
        <v>3024</v>
      </c>
      <c r="E188" s="10">
        <f>IFERROR(__xludf.DUMMYFUNCTION("SPLIT(B188,""T"")"),43469.0)</f>
        <v>43469</v>
      </c>
      <c r="F188" s="4" t="str">
        <f>IFERROR(__xludf.DUMMYFUNCTION("""COMPUTED_VALUE"""),"10:07:00Z")</f>
        <v>10:07:00Z</v>
      </c>
      <c r="G188" s="11" t="str">
        <f t="shared" si="1"/>
        <v>10:07:00</v>
      </c>
      <c r="H188" s="10">
        <f>IFERROR(__xludf.DUMMYFUNCTION("SPLIT(D188,""T"")"),43264.0)</f>
        <v>43264</v>
      </c>
      <c r="I188" s="4" t="str">
        <f>IFERROR(__xludf.DUMMYFUNCTION("""COMPUTED_VALUE"""),"12:38:00Z")</f>
        <v>12:38:00Z</v>
      </c>
      <c r="J188" s="4" t="str">
        <f t="shared" si="2"/>
        <v>12:38:00</v>
      </c>
      <c r="K188" s="4">
        <f t="shared" si="3"/>
        <v>205</v>
      </c>
      <c r="L188" s="4">
        <f t="shared" si="4"/>
        <v>-0.1048611111</v>
      </c>
      <c r="M188" s="4">
        <f t="shared" si="5"/>
        <v>204.8951389</v>
      </c>
    </row>
    <row r="189">
      <c r="A189" s="4" t="s">
        <v>156</v>
      </c>
      <c r="B189" s="4" t="s">
        <v>2289</v>
      </c>
      <c r="C189" s="4" t="s">
        <v>2478</v>
      </c>
      <c r="D189" s="4" t="s">
        <v>2479</v>
      </c>
      <c r="E189" s="10">
        <f>IFERROR(__xludf.DUMMYFUNCTION("SPLIT(B189,""T"")"),43109.0)</f>
        <v>43109</v>
      </c>
      <c r="F189" s="4" t="str">
        <f>IFERROR(__xludf.DUMMYFUNCTION("""COMPUTED_VALUE"""),"10:35:00Z")</f>
        <v>10:35:00Z</v>
      </c>
      <c r="G189" s="11" t="str">
        <f t="shared" si="1"/>
        <v>10:35:00</v>
      </c>
      <c r="H189" s="10">
        <f>IFERROR(__xludf.DUMMYFUNCTION("SPLIT(D189,""T"")"),42904.0)</f>
        <v>42904</v>
      </c>
      <c r="I189" s="4" t="str">
        <f>IFERROR(__xludf.DUMMYFUNCTION("""COMPUTED_VALUE"""),"14:04:00Z")</f>
        <v>14:04:00Z</v>
      </c>
      <c r="J189" s="4" t="str">
        <f t="shared" si="2"/>
        <v>14:04:00</v>
      </c>
      <c r="K189" s="4">
        <f t="shared" si="3"/>
        <v>205</v>
      </c>
      <c r="L189" s="4">
        <f t="shared" si="4"/>
        <v>-0.1451388889</v>
      </c>
      <c r="M189" s="4">
        <f t="shared" si="5"/>
        <v>204.8548611</v>
      </c>
    </row>
    <row r="190">
      <c r="A190" s="4" t="s">
        <v>69</v>
      </c>
      <c r="B190" s="4" t="s">
        <v>1919</v>
      </c>
      <c r="C190" s="4" t="s">
        <v>653</v>
      </c>
      <c r="D190" s="4" t="s">
        <v>1920</v>
      </c>
      <c r="E190" s="10">
        <f>IFERROR(__xludf.DUMMYFUNCTION("SPLIT(B190,""T"")"),43109.0)</f>
        <v>43109</v>
      </c>
      <c r="F190" s="4" t="str">
        <f>IFERROR(__xludf.DUMMYFUNCTION("""COMPUTED_VALUE"""),"10:41:00Z")</f>
        <v>10:41:00Z</v>
      </c>
      <c r="G190" s="11" t="str">
        <f t="shared" si="1"/>
        <v>10:41:00</v>
      </c>
      <c r="H190" s="10">
        <f>IFERROR(__xludf.DUMMYFUNCTION("SPLIT(D190,""T"")"),42904.0)</f>
        <v>42904</v>
      </c>
      <c r="I190" s="4" t="str">
        <f>IFERROR(__xludf.DUMMYFUNCTION("""COMPUTED_VALUE"""),"14:22:00Z")</f>
        <v>14:22:00Z</v>
      </c>
      <c r="J190" s="4" t="str">
        <f t="shared" si="2"/>
        <v>14:22:00</v>
      </c>
      <c r="K190" s="4">
        <f t="shared" si="3"/>
        <v>205</v>
      </c>
      <c r="L190" s="4">
        <f t="shared" si="4"/>
        <v>-0.1534722222</v>
      </c>
      <c r="M190" s="4">
        <f t="shared" si="5"/>
        <v>204.8465278</v>
      </c>
    </row>
    <row r="191">
      <c r="A191" s="4" t="s">
        <v>27</v>
      </c>
      <c r="B191" s="4" t="s">
        <v>2128</v>
      </c>
      <c r="C191" s="4" t="s">
        <v>287</v>
      </c>
      <c r="D191" s="4" t="s">
        <v>2129</v>
      </c>
      <c r="E191" s="10">
        <f>IFERROR(__xludf.DUMMYFUNCTION("SPLIT(B191,""T"")"),43109.0)</f>
        <v>43109</v>
      </c>
      <c r="F191" s="4" t="str">
        <f>IFERROR(__xludf.DUMMYFUNCTION("""COMPUTED_VALUE"""),"10:46:00Z")</f>
        <v>10:46:00Z</v>
      </c>
      <c r="G191" s="11" t="str">
        <f t="shared" si="1"/>
        <v>10:46:00</v>
      </c>
      <c r="H191" s="10">
        <f>IFERROR(__xludf.DUMMYFUNCTION("SPLIT(D191,""T"")"),42904.0)</f>
        <v>42904</v>
      </c>
      <c r="I191" s="4" t="str">
        <f>IFERROR(__xludf.DUMMYFUNCTION("""COMPUTED_VALUE"""),"15:10:00Z")</f>
        <v>15:10:00Z</v>
      </c>
      <c r="J191" s="4" t="str">
        <f t="shared" si="2"/>
        <v>15:10:00</v>
      </c>
      <c r="K191" s="4">
        <f t="shared" si="3"/>
        <v>205</v>
      </c>
      <c r="L191" s="4">
        <f t="shared" si="4"/>
        <v>-0.1833333333</v>
      </c>
      <c r="M191" s="4">
        <f t="shared" si="5"/>
        <v>204.8166667</v>
      </c>
    </row>
    <row r="192">
      <c r="A192" s="4" t="s">
        <v>46</v>
      </c>
      <c r="B192" s="4" t="s">
        <v>2276</v>
      </c>
      <c r="C192" s="4" t="s">
        <v>2305</v>
      </c>
      <c r="D192" s="4" t="s">
        <v>2306</v>
      </c>
      <c r="E192" s="10">
        <f>IFERROR(__xludf.DUMMYFUNCTION("SPLIT(B192,""T"")"),43109.0)</f>
        <v>43109</v>
      </c>
      <c r="F192" s="4" t="str">
        <f>IFERROR(__xludf.DUMMYFUNCTION("""COMPUTED_VALUE"""),"10:59:00Z")</f>
        <v>10:59:00Z</v>
      </c>
      <c r="G192" s="11" t="str">
        <f t="shared" si="1"/>
        <v>10:59:00</v>
      </c>
      <c r="H192" s="10">
        <f>IFERROR(__xludf.DUMMYFUNCTION("SPLIT(D192,""T"")"),42904.0)</f>
        <v>42904</v>
      </c>
      <c r="I192" s="4" t="str">
        <f>IFERROR(__xludf.DUMMYFUNCTION("""COMPUTED_VALUE"""),"15:45:00Z")</f>
        <v>15:45:00Z</v>
      </c>
      <c r="J192" s="4" t="str">
        <f t="shared" si="2"/>
        <v>15:45:00</v>
      </c>
      <c r="K192" s="4">
        <f t="shared" si="3"/>
        <v>205</v>
      </c>
      <c r="L192" s="4">
        <f t="shared" si="4"/>
        <v>-0.1986111111</v>
      </c>
      <c r="M192" s="4">
        <f t="shared" si="5"/>
        <v>204.8013889</v>
      </c>
    </row>
    <row r="193">
      <c r="A193" s="4" t="s">
        <v>27</v>
      </c>
      <c r="B193" s="4" t="s">
        <v>2276</v>
      </c>
      <c r="C193" s="4" t="s">
        <v>2465</v>
      </c>
      <c r="D193" s="4" t="s">
        <v>2466</v>
      </c>
      <c r="E193" s="10">
        <f>IFERROR(__xludf.DUMMYFUNCTION("SPLIT(B193,""T"")"),43109.0)</f>
        <v>43109</v>
      </c>
      <c r="F193" s="4" t="str">
        <f>IFERROR(__xludf.DUMMYFUNCTION("""COMPUTED_VALUE"""),"10:59:00Z")</f>
        <v>10:59:00Z</v>
      </c>
      <c r="G193" s="11" t="str">
        <f t="shared" si="1"/>
        <v>10:59:00</v>
      </c>
      <c r="H193" s="10">
        <f>IFERROR(__xludf.DUMMYFUNCTION("SPLIT(D193,""T"")"),42904.0)</f>
        <v>42904</v>
      </c>
      <c r="I193" s="4" t="str">
        <f>IFERROR(__xludf.DUMMYFUNCTION("""COMPUTED_VALUE"""),"16:03:00Z")</f>
        <v>16:03:00Z</v>
      </c>
      <c r="J193" s="4" t="str">
        <f t="shared" si="2"/>
        <v>16:03:00</v>
      </c>
      <c r="K193" s="4">
        <f t="shared" si="3"/>
        <v>205</v>
      </c>
      <c r="L193" s="4">
        <f t="shared" si="4"/>
        <v>-0.2111111111</v>
      </c>
      <c r="M193" s="4">
        <f t="shared" si="5"/>
        <v>204.7888889</v>
      </c>
    </row>
    <row r="194">
      <c r="A194" s="4" t="s">
        <v>54</v>
      </c>
      <c r="B194" s="4" t="s">
        <v>2862</v>
      </c>
      <c r="C194" s="4" t="s">
        <v>1598</v>
      </c>
      <c r="D194" s="4" t="s">
        <v>2992</v>
      </c>
      <c r="E194" s="10">
        <f>IFERROR(__xludf.DUMMYFUNCTION("SPLIT(B194,""T"")"),43469.0)</f>
        <v>43469</v>
      </c>
      <c r="F194" s="4" t="str">
        <f>IFERROR(__xludf.DUMMYFUNCTION("""COMPUTED_VALUE"""),"10:07:00Z")</f>
        <v>10:07:00Z</v>
      </c>
      <c r="G194" s="11" t="str">
        <f t="shared" si="1"/>
        <v>10:07:00</v>
      </c>
      <c r="H194" s="10">
        <f>IFERROR(__xludf.DUMMYFUNCTION("SPLIT(D194,""T"")"),43264.0)</f>
        <v>43264</v>
      </c>
      <c r="I194" s="4" t="str">
        <f>IFERROR(__xludf.DUMMYFUNCTION("""COMPUTED_VALUE"""),"21:06:00Z")</f>
        <v>21:06:00Z</v>
      </c>
      <c r="J194" s="4" t="str">
        <f t="shared" si="2"/>
        <v>21:06:00</v>
      </c>
      <c r="K194" s="4">
        <f t="shared" si="3"/>
        <v>205</v>
      </c>
      <c r="L194" s="4">
        <f t="shared" si="4"/>
        <v>-0.4576388889</v>
      </c>
      <c r="M194" s="4">
        <f t="shared" si="5"/>
        <v>204.5423611</v>
      </c>
    </row>
    <row r="195">
      <c r="A195" s="4" t="s">
        <v>134</v>
      </c>
      <c r="B195" s="4" t="s">
        <v>1921</v>
      </c>
      <c r="C195" s="4" t="s">
        <v>1922</v>
      </c>
      <c r="D195" s="4" t="s">
        <v>1923</v>
      </c>
      <c r="E195" s="10">
        <f>IFERROR(__xludf.DUMMYFUNCTION("SPLIT(B195,""T"")"),43109.0)</f>
        <v>43109</v>
      </c>
      <c r="F195" s="4" t="str">
        <f>IFERROR(__xludf.DUMMYFUNCTION("""COMPUTED_VALUE"""),"11:00:00Z")</f>
        <v>11:00:00Z</v>
      </c>
      <c r="G195" s="11" t="str">
        <f t="shared" si="1"/>
        <v>11:00:00</v>
      </c>
      <c r="H195" s="10">
        <f>IFERROR(__xludf.DUMMYFUNCTION("SPLIT(D195,""T"")"),42905.0)</f>
        <v>42905</v>
      </c>
      <c r="I195" s="4" t="str">
        <f>IFERROR(__xludf.DUMMYFUNCTION("""COMPUTED_VALUE"""),"15:05:00Z")</f>
        <v>15:05:00Z</v>
      </c>
      <c r="J195" s="4" t="str">
        <f t="shared" si="2"/>
        <v>15:05:00</v>
      </c>
      <c r="K195" s="4">
        <f t="shared" si="3"/>
        <v>204</v>
      </c>
      <c r="L195" s="4">
        <f t="shared" si="4"/>
        <v>-0.1701388889</v>
      </c>
      <c r="M195" s="4">
        <f t="shared" si="5"/>
        <v>203.8298611</v>
      </c>
    </row>
    <row r="196">
      <c r="A196" s="4" t="s">
        <v>87</v>
      </c>
      <c r="B196" s="4" t="s">
        <v>2862</v>
      </c>
      <c r="C196" s="4" t="s">
        <v>1607</v>
      </c>
      <c r="D196" s="4" t="s">
        <v>3155</v>
      </c>
      <c r="E196" s="10">
        <f>IFERROR(__xludf.DUMMYFUNCTION("SPLIT(B196,""T"")"),43469.0)</f>
        <v>43469</v>
      </c>
      <c r="F196" s="4" t="str">
        <f>IFERROR(__xludf.DUMMYFUNCTION("""COMPUTED_VALUE"""),"10:07:00Z")</f>
        <v>10:07:00Z</v>
      </c>
      <c r="G196" s="11" t="str">
        <f t="shared" si="1"/>
        <v>10:07:00</v>
      </c>
      <c r="H196" s="10">
        <f>IFERROR(__xludf.DUMMYFUNCTION("SPLIT(D196,""T"")"),43265.0)</f>
        <v>43265</v>
      </c>
      <c r="I196" s="4" t="str">
        <f>IFERROR(__xludf.DUMMYFUNCTION("""COMPUTED_VALUE"""),"15:18:00Z")</f>
        <v>15:18:00Z</v>
      </c>
      <c r="J196" s="4" t="str">
        <f t="shared" si="2"/>
        <v>15:18:00</v>
      </c>
      <c r="K196" s="4">
        <f t="shared" si="3"/>
        <v>204</v>
      </c>
      <c r="L196" s="4">
        <f t="shared" si="4"/>
        <v>-0.2159722222</v>
      </c>
      <c r="M196" s="4">
        <f t="shared" si="5"/>
        <v>203.7840278</v>
      </c>
    </row>
    <row r="197">
      <c r="A197" s="4" t="s">
        <v>27</v>
      </c>
      <c r="B197" s="4" t="s">
        <v>2696</v>
      </c>
      <c r="C197" s="4" t="s">
        <v>2932</v>
      </c>
      <c r="D197" s="4" t="s">
        <v>3154</v>
      </c>
      <c r="E197" s="10">
        <f>IFERROR(__xludf.DUMMYFUNCTION("SPLIT(B197,""T"")"),43469.0)</f>
        <v>43469</v>
      </c>
      <c r="F197" s="4" t="str">
        <f>IFERROR(__xludf.DUMMYFUNCTION("""COMPUTED_VALUE"""),"10:06:00Z")</f>
        <v>10:06:00Z</v>
      </c>
      <c r="G197" s="11" t="str">
        <f t="shared" si="1"/>
        <v>10:06:00</v>
      </c>
      <c r="H197" s="10">
        <f>IFERROR(__xludf.DUMMYFUNCTION("SPLIT(D197,""T"")"),43265.0)</f>
        <v>43265</v>
      </c>
      <c r="I197" s="4" t="str">
        <f>IFERROR(__xludf.DUMMYFUNCTION("""COMPUTED_VALUE"""),"17:02:00Z")</f>
        <v>17:02:00Z</v>
      </c>
      <c r="J197" s="4" t="str">
        <f t="shared" si="2"/>
        <v>17:02:00</v>
      </c>
      <c r="K197" s="4">
        <f t="shared" si="3"/>
        <v>204</v>
      </c>
      <c r="L197" s="4">
        <f t="shared" si="4"/>
        <v>-0.2888888889</v>
      </c>
      <c r="M197" s="4">
        <f t="shared" si="5"/>
        <v>203.7111111</v>
      </c>
    </row>
    <row r="198">
      <c r="A198" s="4" t="s">
        <v>149</v>
      </c>
      <c r="B198" s="4" t="s">
        <v>2696</v>
      </c>
      <c r="C198" s="4" t="s">
        <v>3022</v>
      </c>
      <c r="D198" s="4" t="s">
        <v>3023</v>
      </c>
      <c r="E198" s="10">
        <f>IFERROR(__xludf.DUMMYFUNCTION("SPLIT(B198,""T"")"),43469.0)</f>
        <v>43469</v>
      </c>
      <c r="F198" s="4" t="str">
        <f>IFERROR(__xludf.DUMMYFUNCTION("""COMPUTED_VALUE"""),"10:06:00Z")</f>
        <v>10:06:00Z</v>
      </c>
      <c r="G198" s="11" t="str">
        <f t="shared" si="1"/>
        <v>10:06:00</v>
      </c>
      <c r="H198" s="10">
        <f>IFERROR(__xludf.DUMMYFUNCTION("SPLIT(D198,""T"")"),43265.0)</f>
        <v>43265</v>
      </c>
      <c r="I198" s="4" t="str">
        <f>IFERROR(__xludf.DUMMYFUNCTION("""COMPUTED_VALUE"""),"17:23:00Z")</f>
        <v>17:23:00Z</v>
      </c>
      <c r="J198" s="4" t="str">
        <f t="shared" si="2"/>
        <v>17:23:00</v>
      </c>
      <c r="K198" s="4">
        <f t="shared" si="3"/>
        <v>204</v>
      </c>
      <c r="L198" s="4">
        <f t="shared" si="4"/>
        <v>-0.3034722222</v>
      </c>
      <c r="M198" s="4">
        <f t="shared" si="5"/>
        <v>203.6965278</v>
      </c>
    </row>
    <row r="199">
      <c r="A199" s="4" t="s">
        <v>320</v>
      </c>
      <c r="B199" s="4" t="s">
        <v>2696</v>
      </c>
      <c r="C199" s="4" t="s">
        <v>2788</v>
      </c>
      <c r="D199" s="4" t="s">
        <v>2789</v>
      </c>
      <c r="E199" s="10">
        <f>IFERROR(__xludf.DUMMYFUNCTION("SPLIT(B199,""T"")"),43469.0)</f>
        <v>43469</v>
      </c>
      <c r="F199" s="4" t="str">
        <f>IFERROR(__xludf.DUMMYFUNCTION("""COMPUTED_VALUE"""),"10:06:00Z")</f>
        <v>10:06:00Z</v>
      </c>
      <c r="G199" s="11" t="str">
        <f t="shared" si="1"/>
        <v>10:06:00</v>
      </c>
      <c r="H199" s="10">
        <f>IFERROR(__xludf.DUMMYFUNCTION("SPLIT(D199,""T"")"),43265.0)</f>
        <v>43265</v>
      </c>
      <c r="I199" s="4" t="str">
        <f>IFERROR(__xludf.DUMMYFUNCTION("""COMPUTED_VALUE"""),"17:45:00Z")</f>
        <v>17:45:00Z</v>
      </c>
      <c r="J199" s="4" t="str">
        <f t="shared" si="2"/>
        <v>17:45:00</v>
      </c>
      <c r="K199" s="4">
        <f t="shared" si="3"/>
        <v>204</v>
      </c>
      <c r="L199" s="4">
        <f t="shared" si="4"/>
        <v>-0.31875</v>
      </c>
      <c r="M199" s="4">
        <f t="shared" si="5"/>
        <v>203.68125</v>
      </c>
    </row>
    <row r="200">
      <c r="A200" s="4" t="s">
        <v>1981</v>
      </c>
      <c r="B200" s="4" t="s">
        <v>1921</v>
      </c>
      <c r="C200" s="4" t="s">
        <v>2116</v>
      </c>
      <c r="D200" s="4" t="s">
        <v>2117</v>
      </c>
      <c r="E200" s="10">
        <f>IFERROR(__xludf.DUMMYFUNCTION("SPLIT(B200,""T"")"),43109.0)</f>
        <v>43109</v>
      </c>
      <c r="F200" s="4" t="str">
        <f>IFERROR(__xludf.DUMMYFUNCTION("""COMPUTED_VALUE"""),"11:00:00Z")</f>
        <v>11:00:00Z</v>
      </c>
      <c r="G200" s="11" t="str">
        <f t="shared" si="1"/>
        <v>11:00:00</v>
      </c>
      <c r="H200" s="10">
        <f>IFERROR(__xludf.DUMMYFUNCTION("SPLIT(D200,""T"")"),42905.0)</f>
        <v>42905</v>
      </c>
      <c r="I200" s="4" t="str">
        <f>IFERROR(__xludf.DUMMYFUNCTION("""COMPUTED_VALUE"""),"21:41:00Z")</f>
        <v>21:41:00Z</v>
      </c>
      <c r="J200" s="4" t="str">
        <f t="shared" si="2"/>
        <v>21:41:00</v>
      </c>
      <c r="K200" s="4">
        <f t="shared" si="3"/>
        <v>204</v>
      </c>
      <c r="L200" s="4">
        <f t="shared" si="4"/>
        <v>-0.4451388889</v>
      </c>
      <c r="M200" s="4">
        <f t="shared" si="5"/>
        <v>203.5548611</v>
      </c>
    </row>
    <row r="201">
      <c r="A201" s="4" t="s">
        <v>23</v>
      </c>
      <c r="B201" s="4" t="s">
        <v>2438</v>
      </c>
      <c r="C201" s="4" t="s">
        <v>2439</v>
      </c>
      <c r="D201" s="4" t="s">
        <v>2440</v>
      </c>
      <c r="E201" s="10">
        <f>IFERROR(__xludf.DUMMYFUNCTION("SPLIT(B201,""T"")"),43181.0)</f>
        <v>43181</v>
      </c>
      <c r="F201" s="4" t="str">
        <f>IFERROR(__xludf.DUMMYFUNCTION("""COMPUTED_VALUE"""),"16:34:00Z")</f>
        <v>16:34:00Z</v>
      </c>
      <c r="G201" s="11" t="str">
        <f t="shared" si="1"/>
        <v>16:34:00</v>
      </c>
      <c r="H201" s="10">
        <f>IFERROR(__xludf.DUMMYFUNCTION("SPLIT(D201,""T"")"),42978.0)</f>
        <v>42978</v>
      </c>
      <c r="I201" s="4" t="str">
        <f>IFERROR(__xludf.DUMMYFUNCTION("""COMPUTED_VALUE"""),"16:32:00Z")</f>
        <v>16:32:00Z</v>
      </c>
      <c r="J201" s="4" t="str">
        <f t="shared" si="2"/>
        <v>16:32:00</v>
      </c>
      <c r="K201" s="4">
        <f t="shared" si="3"/>
        <v>203</v>
      </c>
      <c r="L201" s="4">
        <f t="shared" si="4"/>
        <v>0.001388888889</v>
      </c>
      <c r="M201" s="4">
        <f t="shared" si="5"/>
        <v>203.0013889</v>
      </c>
    </row>
    <row r="202">
      <c r="A202" s="4" t="s">
        <v>282</v>
      </c>
      <c r="B202" s="4" t="s">
        <v>2696</v>
      </c>
      <c r="C202" s="4" t="s">
        <v>2697</v>
      </c>
      <c r="D202" s="4" t="s">
        <v>2698</v>
      </c>
      <c r="E202" s="10">
        <f>IFERROR(__xludf.DUMMYFUNCTION("SPLIT(B202,""T"")"),43469.0)</f>
        <v>43469</v>
      </c>
      <c r="F202" s="4" t="str">
        <f>IFERROR(__xludf.DUMMYFUNCTION("""COMPUTED_VALUE"""),"10:06:00Z")</f>
        <v>10:06:00Z</v>
      </c>
      <c r="G202" s="11" t="str">
        <f t="shared" si="1"/>
        <v>10:06:00</v>
      </c>
      <c r="H202" s="10">
        <f>IFERROR(__xludf.DUMMYFUNCTION("SPLIT(D202,""T"")"),43266.0)</f>
        <v>43266</v>
      </c>
      <c r="I202" s="4" t="str">
        <f>IFERROR(__xludf.DUMMYFUNCTION("""COMPUTED_VALUE"""),"10:34:00Z")</f>
        <v>10:34:00Z</v>
      </c>
      <c r="J202" s="4" t="str">
        <f t="shared" si="2"/>
        <v>10:34:00</v>
      </c>
      <c r="K202" s="4">
        <f t="shared" si="3"/>
        <v>203</v>
      </c>
      <c r="L202" s="4">
        <f t="shared" si="4"/>
        <v>-0.01944444444</v>
      </c>
      <c r="M202" s="4">
        <f t="shared" si="5"/>
        <v>202.9805556</v>
      </c>
    </row>
    <row r="203">
      <c r="A203" s="4" t="s">
        <v>156</v>
      </c>
      <c r="B203" s="4" t="s">
        <v>2696</v>
      </c>
      <c r="C203" s="4" t="s">
        <v>3020</v>
      </c>
      <c r="D203" s="4" t="s">
        <v>3021</v>
      </c>
      <c r="E203" s="10">
        <f>IFERROR(__xludf.DUMMYFUNCTION("SPLIT(B203,""T"")"),43469.0)</f>
        <v>43469</v>
      </c>
      <c r="F203" s="4" t="str">
        <f>IFERROR(__xludf.DUMMYFUNCTION("""COMPUTED_VALUE"""),"10:06:00Z")</f>
        <v>10:06:00Z</v>
      </c>
      <c r="G203" s="11" t="str">
        <f t="shared" si="1"/>
        <v>10:06:00</v>
      </c>
      <c r="H203" s="10">
        <f>IFERROR(__xludf.DUMMYFUNCTION("SPLIT(D203,""T"")"),43266.0)</f>
        <v>43266</v>
      </c>
      <c r="I203" s="4" t="str">
        <f>IFERROR(__xludf.DUMMYFUNCTION("""COMPUTED_VALUE"""),"11:46:00Z")</f>
        <v>11:46:00Z</v>
      </c>
      <c r="J203" s="4" t="str">
        <f t="shared" si="2"/>
        <v>11:46:00</v>
      </c>
      <c r="K203" s="4">
        <f t="shared" si="3"/>
        <v>203</v>
      </c>
      <c r="L203" s="4">
        <f t="shared" si="4"/>
        <v>-0.06944444444</v>
      </c>
      <c r="M203" s="4">
        <f t="shared" si="5"/>
        <v>202.9305556</v>
      </c>
    </row>
    <row r="204">
      <c r="A204" s="4" t="s">
        <v>101</v>
      </c>
      <c r="B204" s="4" t="s">
        <v>3044</v>
      </c>
      <c r="C204" s="4" t="s">
        <v>3045</v>
      </c>
      <c r="D204" s="4" t="s">
        <v>3046</v>
      </c>
      <c r="E204" s="10">
        <f>IFERROR(__xludf.DUMMYFUNCTION("SPLIT(B204,""T"")"),43469.0)</f>
        <v>43469</v>
      </c>
      <c r="F204" s="4" t="str">
        <f>IFERROR(__xludf.DUMMYFUNCTION("""COMPUTED_VALUE"""),"10:05:00Z")</f>
        <v>10:05:00Z</v>
      </c>
      <c r="G204" s="11" t="str">
        <f t="shared" si="1"/>
        <v>10:05:00</v>
      </c>
      <c r="H204" s="10">
        <f>IFERROR(__xludf.DUMMYFUNCTION("SPLIT(D204,""T"")"),43266.0)</f>
        <v>43266</v>
      </c>
      <c r="I204" s="4" t="str">
        <f>IFERROR(__xludf.DUMMYFUNCTION("""COMPUTED_VALUE"""),"13:37:00Z")</f>
        <v>13:37:00Z</v>
      </c>
      <c r="J204" s="4" t="str">
        <f t="shared" si="2"/>
        <v>13:37:00</v>
      </c>
      <c r="K204" s="4">
        <f t="shared" si="3"/>
        <v>203</v>
      </c>
      <c r="L204" s="4">
        <f t="shared" si="4"/>
        <v>-0.1472222222</v>
      </c>
      <c r="M204" s="4">
        <f t="shared" si="5"/>
        <v>202.8527778</v>
      </c>
    </row>
    <row r="205">
      <c r="A205" s="4" t="s">
        <v>87</v>
      </c>
      <c r="B205" s="4" t="s">
        <v>3044</v>
      </c>
      <c r="C205" s="4" t="s">
        <v>632</v>
      </c>
      <c r="D205" s="4" t="s">
        <v>3071</v>
      </c>
      <c r="E205" s="10">
        <f>IFERROR(__xludf.DUMMYFUNCTION("SPLIT(B205,""T"")"),43469.0)</f>
        <v>43469</v>
      </c>
      <c r="F205" s="4" t="str">
        <f>IFERROR(__xludf.DUMMYFUNCTION("""COMPUTED_VALUE"""),"10:05:00Z")</f>
        <v>10:05:00Z</v>
      </c>
      <c r="G205" s="11" t="str">
        <f t="shared" si="1"/>
        <v>10:05:00</v>
      </c>
      <c r="H205" s="10">
        <f>IFERROR(__xludf.DUMMYFUNCTION("SPLIT(D205,""T"")"),43267.0)</f>
        <v>43267</v>
      </c>
      <c r="I205" s="4" t="str">
        <f>IFERROR(__xludf.DUMMYFUNCTION("""COMPUTED_VALUE"""),"11:47:00Z")</f>
        <v>11:47:00Z</v>
      </c>
      <c r="J205" s="4" t="str">
        <f t="shared" si="2"/>
        <v>11:47:00</v>
      </c>
      <c r="K205" s="4">
        <f t="shared" si="3"/>
        <v>202</v>
      </c>
      <c r="L205" s="4">
        <f t="shared" si="4"/>
        <v>-0.07083333333</v>
      </c>
      <c r="M205" s="4">
        <f t="shared" si="5"/>
        <v>201.9291667</v>
      </c>
    </row>
    <row r="206">
      <c r="A206" s="4" t="s">
        <v>260</v>
      </c>
      <c r="B206" s="4" t="s">
        <v>2276</v>
      </c>
      <c r="C206" s="4" t="s">
        <v>2277</v>
      </c>
      <c r="D206" s="4" t="s">
        <v>2278</v>
      </c>
      <c r="E206" s="10">
        <f>IFERROR(__xludf.DUMMYFUNCTION("SPLIT(B206,""T"")"),43109.0)</f>
        <v>43109</v>
      </c>
      <c r="F206" s="4" t="str">
        <f>IFERROR(__xludf.DUMMYFUNCTION("""COMPUTED_VALUE"""),"10:59:00Z")</f>
        <v>10:59:00Z</v>
      </c>
      <c r="G206" s="11" t="str">
        <f t="shared" si="1"/>
        <v>10:59:00</v>
      </c>
      <c r="H206" s="10">
        <f>IFERROR(__xludf.DUMMYFUNCTION("SPLIT(D206,""T"")"),42907.0)</f>
        <v>42907</v>
      </c>
      <c r="I206" s="4" t="str">
        <f>IFERROR(__xludf.DUMMYFUNCTION("""COMPUTED_VALUE"""),"14:45:00Z")</f>
        <v>14:45:00Z</v>
      </c>
      <c r="J206" s="4" t="str">
        <f t="shared" si="2"/>
        <v>14:45:00</v>
      </c>
      <c r="K206" s="4">
        <f t="shared" si="3"/>
        <v>202</v>
      </c>
      <c r="L206" s="4">
        <f t="shared" si="4"/>
        <v>-0.1569444444</v>
      </c>
      <c r="M206" s="4">
        <f t="shared" si="5"/>
        <v>201.8430556</v>
      </c>
    </row>
    <row r="207">
      <c r="A207" s="4" t="s">
        <v>186</v>
      </c>
      <c r="B207" s="4" t="s">
        <v>3044</v>
      </c>
      <c r="C207" s="4" t="s">
        <v>329</v>
      </c>
      <c r="D207" s="4" t="s">
        <v>3112</v>
      </c>
      <c r="E207" s="10">
        <f>IFERROR(__xludf.DUMMYFUNCTION("SPLIT(B207,""T"")"),43469.0)</f>
        <v>43469</v>
      </c>
      <c r="F207" s="4" t="str">
        <f>IFERROR(__xludf.DUMMYFUNCTION("""COMPUTED_VALUE"""),"10:05:00Z")</f>
        <v>10:05:00Z</v>
      </c>
      <c r="G207" s="11" t="str">
        <f t="shared" si="1"/>
        <v>10:05:00</v>
      </c>
      <c r="H207" s="10">
        <f>IFERROR(__xludf.DUMMYFUNCTION("SPLIT(D207,""T"")"),43267.0)</f>
        <v>43267</v>
      </c>
      <c r="I207" s="4" t="str">
        <f>IFERROR(__xludf.DUMMYFUNCTION("""COMPUTED_VALUE"""),"14:04:00Z")</f>
        <v>14:04:00Z</v>
      </c>
      <c r="J207" s="4" t="str">
        <f t="shared" si="2"/>
        <v>14:04:00</v>
      </c>
      <c r="K207" s="4">
        <f t="shared" si="3"/>
        <v>202</v>
      </c>
      <c r="L207" s="4">
        <f t="shared" si="4"/>
        <v>-0.1659722222</v>
      </c>
      <c r="M207" s="4">
        <f t="shared" si="5"/>
        <v>201.8340278</v>
      </c>
    </row>
    <row r="208">
      <c r="A208" s="4" t="s">
        <v>80</v>
      </c>
      <c r="B208" s="4" t="s">
        <v>3044</v>
      </c>
      <c r="C208" s="4" t="s">
        <v>879</v>
      </c>
      <c r="D208" s="4" t="s">
        <v>3134</v>
      </c>
      <c r="E208" s="10">
        <f>IFERROR(__xludf.DUMMYFUNCTION("SPLIT(B208,""T"")"),43469.0)</f>
        <v>43469</v>
      </c>
      <c r="F208" s="4" t="str">
        <f>IFERROR(__xludf.DUMMYFUNCTION("""COMPUTED_VALUE"""),"10:05:00Z")</f>
        <v>10:05:00Z</v>
      </c>
      <c r="G208" s="11" t="str">
        <f t="shared" si="1"/>
        <v>10:05:00</v>
      </c>
      <c r="H208" s="10">
        <f>IFERROR(__xludf.DUMMYFUNCTION("SPLIT(D208,""T"")"),43267.0)</f>
        <v>43267</v>
      </c>
      <c r="I208" s="4" t="str">
        <f>IFERROR(__xludf.DUMMYFUNCTION("""COMPUTED_VALUE"""),"15:10:00Z")</f>
        <v>15:10:00Z</v>
      </c>
      <c r="J208" s="4" t="str">
        <f t="shared" si="2"/>
        <v>15:10:00</v>
      </c>
      <c r="K208" s="4">
        <f t="shared" si="3"/>
        <v>202</v>
      </c>
      <c r="L208" s="4">
        <f t="shared" si="4"/>
        <v>-0.2118055556</v>
      </c>
      <c r="M208" s="4">
        <f t="shared" si="5"/>
        <v>201.7881944</v>
      </c>
    </row>
    <row r="209">
      <c r="A209" s="4" t="s">
        <v>401</v>
      </c>
      <c r="B209" s="4" t="s">
        <v>1921</v>
      </c>
      <c r="C209" s="4" t="s">
        <v>2315</v>
      </c>
      <c r="D209" s="4" t="s">
        <v>2316</v>
      </c>
      <c r="E209" s="10">
        <f>IFERROR(__xludf.DUMMYFUNCTION("SPLIT(B209,""T"")"),43109.0)</f>
        <v>43109</v>
      </c>
      <c r="F209" s="4" t="str">
        <f>IFERROR(__xludf.DUMMYFUNCTION("""COMPUTED_VALUE"""),"11:00:00Z")</f>
        <v>11:00:00Z</v>
      </c>
      <c r="G209" s="11" t="str">
        <f t="shared" si="1"/>
        <v>11:00:00</v>
      </c>
      <c r="H209" s="10">
        <f>IFERROR(__xludf.DUMMYFUNCTION("SPLIT(D209,""T"")"),42907.0)</f>
        <v>42907</v>
      </c>
      <c r="I209" s="4" t="str">
        <f>IFERROR(__xludf.DUMMYFUNCTION("""COMPUTED_VALUE"""),"18:02:00Z")</f>
        <v>18:02:00Z</v>
      </c>
      <c r="J209" s="4" t="str">
        <f t="shared" si="2"/>
        <v>18:02:00</v>
      </c>
      <c r="K209" s="4">
        <f t="shared" si="3"/>
        <v>202</v>
      </c>
      <c r="L209" s="4">
        <f t="shared" si="4"/>
        <v>-0.2930555556</v>
      </c>
      <c r="M209" s="4">
        <f t="shared" si="5"/>
        <v>201.7069444</v>
      </c>
    </row>
    <row r="210">
      <c r="A210" s="4" t="s">
        <v>87</v>
      </c>
      <c r="B210" s="4" t="s">
        <v>1921</v>
      </c>
      <c r="C210" s="4" t="s">
        <v>653</v>
      </c>
      <c r="D210" s="4" t="s">
        <v>2498</v>
      </c>
      <c r="E210" s="10">
        <f>IFERROR(__xludf.DUMMYFUNCTION("SPLIT(B210,""T"")"),43109.0)</f>
        <v>43109</v>
      </c>
      <c r="F210" s="4" t="str">
        <f>IFERROR(__xludf.DUMMYFUNCTION("""COMPUTED_VALUE"""),"11:00:00Z")</f>
        <v>11:00:00Z</v>
      </c>
      <c r="G210" s="11" t="str">
        <f t="shared" si="1"/>
        <v>11:00:00</v>
      </c>
      <c r="H210" s="10">
        <f>IFERROR(__xludf.DUMMYFUNCTION("SPLIT(D210,""T"")"),42908.0)</f>
        <v>42908</v>
      </c>
      <c r="I210" s="4" t="str">
        <f>IFERROR(__xludf.DUMMYFUNCTION("""COMPUTED_VALUE"""),"09:49:00Z")</f>
        <v>09:49:00Z</v>
      </c>
      <c r="J210" s="4" t="str">
        <f t="shared" si="2"/>
        <v>09:49:00</v>
      </c>
      <c r="K210" s="4">
        <f t="shared" si="3"/>
        <v>201</v>
      </c>
      <c r="L210" s="4">
        <f t="shared" si="4"/>
        <v>0.04930555556</v>
      </c>
      <c r="M210" s="4">
        <f t="shared" si="5"/>
        <v>201.0493056</v>
      </c>
    </row>
    <row r="211">
      <c r="A211" s="4" t="s">
        <v>87</v>
      </c>
      <c r="B211" s="4" t="s">
        <v>1804</v>
      </c>
      <c r="C211" s="4" t="s">
        <v>184</v>
      </c>
      <c r="D211" s="4" t="s">
        <v>2179</v>
      </c>
      <c r="E211" s="10">
        <f>IFERROR(__xludf.DUMMYFUNCTION("SPLIT(B211,""T"")"),43109.0)</f>
        <v>43109</v>
      </c>
      <c r="F211" s="4" t="str">
        <f>IFERROR(__xludf.DUMMYFUNCTION("""COMPUTED_VALUE"""),"11:01:00Z")</f>
        <v>11:01:00Z</v>
      </c>
      <c r="G211" s="11" t="str">
        <f t="shared" si="1"/>
        <v>11:01:00</v>
      </c>
      <c r="H211" s="10">
        <f>IFERROR(__xludf.DUMMYFUNCTION("SPLIT(D211,""T"")"),42908.0)</f>
        <v>42908</v>
      </c>
      <c r="I211" s="4" t="str">
        <f>IFERROR(__xludf.DUMMYFUNCTION("""COMPUTED_VALUE"""),"11:10:00Z")</f>
        <v>11:10:00Z</v>
      </c>
      <c r="J211" s="4" t="str">
        <f t="shared" si="2"/>
        <v>11:10:00</v>
      </c>
      <c r="K211" s="4">
        <f t="shared" si="3"/>
        <v>201</v>
      </c>
      <c r="L211" s="4">
        <f t="shared" si="4"/>
        <v>-0.00625</v>
      </c>
      <c r="M211" s="4">
        <f t="shared" si="5"/>
        <v>200.99375</v>
      </c>
    </row>
    <row r="212">
      <c r="A212" s="4" t="s">
        <v>278</v>
      </c>
      <c r="B212" s="4" t="s">
        <v>1804</v>
      </c>
      <c r="C212" s="4" t="s">
        <v>2102</v>
      </c>
      <c r="D212" s="4" t="s">
        <v>2396</v>
      </c>
      <c r="E212" s="10">
        <f>IFERROR(__xludf.DUMMYFUNCTION("SPLIT(B212,""T"")"),43109.0)</f>
        <v>43109</v>
      </c>
      <c r="F212" s="4" t="str">
        <f>IFERROR(__xludf.DUMMYFUNCTION("""COMPUTED_VALUE"""),"11:01:00Z")</f>
        <v>11:01:00Z</v>
      </c>
      <c r="G212" s="11" t="str">
        <f t="shared" si="1"/>
        <v>11:01:00</v>
      </c>
      <c r="H212" s="10">
        <f>IFERROR(__xludf.DUMMYFUNCTION("SPLIT(D212,""T"")"),42908.0)</f>
        <v>42908</v>
      </c>
      <c r="I212" s="4" t="str">
        <f>IFERROR(__xludf.DUMMYFUNCTION("""COMPUTED_VALUE"""),"13:08:00Z")</f>
        <v>13:08:00Z</v>
      </c>
      <c r="J212" s="4" t="str">
        <f t="shared" si="2"/>
        <v>13:08:00</v>
      </c>
      <c r="K212" s="4">
        <f t="shared" si="3"/>
        <v>201</v>
      </c>
      <c r="L212" s="4">
        <f t="shared" si="4"/>
        <v>-0.08819444444</v>
      </c>
      <c r="M212" s="4">
        <f t="shared" si="5"/>
        <v>200.9118056</v>
      </c>
    </row>
    <row r="213">
      <c r="A213" s="4" t="s">
        <v>324</v>
      </c>
      <c r="B213" s="4" t="s">
        <v>3044</v>
      </c>
      <c r="C213" s="4" t="s">
        <v>987</v>
      </c>
      <c r="D213" s="4" t="s">
        <v>3164</v>
      </c>
      <c r="E213" s="10">
        <f>IFERROR(__xludf.DUMMYFUNCTION("SPLIT(B213,""T"")"),43469.0)</f>
        <v>43469</v>
      </c>
      <c r="F213" s="4" t="str">
        <f>IFERROR(__xludf.DUMMYFUNCTION("""COMPUTED_VALUE"""),"10:05:00Z")</f>
        <v>10:05:00Z</v>
      </c>
      <c r="G213" s="11" t="str">
        <f t="shared" si="1"/>
        <v>10:05:00</v>
      </c>
      <c r="H213" s="10">
        <f>IFERROR(__xludf.DUMMYFUNCTION("SPLIT(D213,""T"")"),43268.0)</f>
        <v>43268</v>
      </c>
      <c r="I213" s="4" t="str">
        <f>IFERROR(__xludf.DUMMYFUNCTION("""COMPUTED_VALUE"""),"13:58:00Z")</f>
        <v>13:58:00Z</v>
      </c>
      <c r="J213" s="4" t="str">
        <f t="shared" si="2"/>
        <v>13:58:00</v>
      </c>
      <c r="K213" s="4">
        <f t="shared" si="3"/>
        <v>201</v>
      </c>
      <c r="L213" s="4">
        <f t="shared" si="4"/>
        <v>-0.1618055556</v>
      </c>
      <c r="M213" s="4">
        <f t="shared" si="5"/>
        <v>200.8381944</v>
      </c>
    </row>
    <row r="214">
      <c r="A214" s="4" t="s">
        <v>282</v>
      </c>
      <c r="B214" s="4" t="s">
        <v>2874</v>
      </c>
      <c r="C214" s="4" t="s">
        <v>1353</v>
      </c>
      <c r="D214" s="4" t="s">
        <v>2875</v>
      </c>
      <c r="E214" s="10">
        <f>IFERROR(__xludf.DUMMYFUNCTION("SPLIT(B214,""T"")"),43469.0)</f>
        <v>43469</v>
      </c>
      <c r="F214" s="4" t="str">
        <f>IFERROR(__xludf.DUMMYFUNCTION("""COMPUTED_VALUE"""),"10:04:00Z")</f>
        <v>10:04:00Z</v>
      </c>
      <c r="G214" s="11" t="str">
        <f t="shared" si="1"/>
        <v>10:04:00</v>
      </c>
      <c r="H214" s="10">
        <f>IFERROR(__xludf.DUMMYFUNCTION("SPLIT(D214,""T"")"),43268.0)</f>
        <v>43268</v>
      </c>
      <c r="I214" s="4" t="str">
        <f>IFERROR(__xludf.DUMMYFUNCTION("""COMPUTED_VALUE"""),"15:09:00Z")</f>
        <v>15:09:00Z</v>
      </c>
      <c r="J214" s="4" t="str">
        <f t="shared" si="2"/>
        <v>15:09:00</v>
      </c>
      <c r="K214" s="4">
        <f t="shared" si="3"/>
        <v>201</v>
      </c>
      <c r="L214" s="4">
        <f t="shared" si="4"/>
        <v>-0.2118055556</v>
      </c>
      <c r="M214" s="4">
        <f t="shared" si="5"/>
        <v>200.7881944</v>
      </c>
    </row>
    <row r="215">
      <c r="A215" s="4" t="s">
        <v>205</v>
      </c>
      <c r="B215" s="4" t="s">
        <v>2874</v>
      </c>
      <c r="C215" s="4" t="s">
        <v>3152</v>
      </c>
      <c r="D215" s="4" t="s">
        <v>3153</v>
      </c>
      <c r="E215" s="10">
        <f>IFERROR(__xludf.DUMMYFUNCTION("SPLIT(B215,""T"")"),43469.0)</f>
        <v>43469</v>
      </c>
      <c r="F215" s="4" t="str">
        <f>IFERROR(__xludf.DUMMYFUNCTION("""COMPUTED_VALUE"""),"10:04:00Z")</f>
        <v>10:04:00Z</v>
      </c>
      <c r="G215" s="11" t="str">
        <f t="shared" si="1"/>
        <v>10:04:00</v>
      </c>
      <c r="H215" s="10">
        <f>IFERROR(__xludf.DUMMYFUNCTION("SPLIT(D215,""T"")"),43268.0)</f>
        <v>43268</v>
      </c>
      <c r="I215" s="4" t="str">
        <f>IFERROR(__xludf.DUMMYFUNCTION("""COMPUTED_VALUE"""),"15:56:00Z")</f>
        <v>15:56:00Z</v>
      </c>
      <c r="J215" s="4" t="str">
        <f t="shared" si="2"/>
        <v>15:56:00</v>
      </c>
      <c r="K215" s="4">
        <f t="shared" si="3"/>
        <v>201</v>
      </c>
      <c r="L215" s="4">
        <f t="shared" si="4"/>
        <v>-0.2444444444</v>
      </c>
      <c r="M215" s="4">
        <f t="shared" si="5"/>
        <v>200.7555556</v>
      </c>
    </row>
    <row r="216">
      <c r="A216" s="4" t="s">
        <v>101</v>
      </c>
      <c r="B216" s="4" t="s">
        <v>2874</v>
      </c>
      <c r="C216" s="4" t="s">
        <v>380</v>
      </c>
      <c r="D216" s="4" t="s">
        <v>2934</v>
      </c>
      <c r="E216" s="10">
        <f>IFERROR(__xludf.DUMMYFUNCTION("SPLIT(B216,""T"")"),43469.0)</f>
        <v>43469</v>
      </c>
      <c r="F216" s="4" t="str">
        <f>IFERROR(__xludf.DUMMYFUNCTION("""COMPUTED_VALUE"""),"10:04:00Z")</f>
        <v>10:04:00Z</v>
      </c>
      <c r="G216" s="11" t="str">
        <f t="shared" si="1"/>
        <v>10:04:00</v>
      </c>
      <c r="H216" s="10">
        <f>IFERROR(__xludf.DUMMYFUNCTION("SPLIT(D216,""T"")"),43269.0)</f>
        <v>43269</v>
      </c>
      <c r="I216" s="4" t="str">
        <f>IFERROR(__xludf.DUMMYFUNCTION("""COMPUTED_VALUE"""),"12:30:00Z")</f>
        <v>12:30:00Z</v>
      </c>
      <c r="J216" s="4" t="str">
        <f t="shared" si="2"/>
        <v>12:30:00</v>
      </c>
      <c r="K216" s="4">
        <f t="shared" si="3"/>
        <v>200</v>
      </c>
      <c r="L216" s="4">
        <f t="shared" si="4"/>
        <v>-0.1013888889</v>
      </c>
      <c r="M216" s="4">
        <f t="shared" si="5"/>
        <v>199.8986111</v>
      </c>
    </row>
    <row r="217">
      <c r="A217" s="4" t="s">
        <v>39</v>
      </c>
      <c r="B217" s="4" t="s">
        <v>1804</v>
      </c>
      <c r="C217" s="4" t="s">
        <v>329</v>
      </c>
      <c r="D217" s="4" t="s">
        <v>2048</v>
      </c>
      <c r="E217" s="10">
        <f>IFERROR(__xludf.DUMMYFUNCTION("SPLIT(B217,""T"")"),43109.0)</f>
        <v>43109</v>
      </c>
      <c r="F217" s="4" t="str">
        <f>IFERROR(__xludf.DUMMYFUNCTION("""COMPUTED_VALUE"""),"11:01:00Z")</f>
        <v>11:01:00Z</v>
      </c>
      <c r="G217" s="11" t="str">
        <f t="shared" si="1"/>
        <v>11:01:00</v>
      </c>
      <c r="H217" s="10">
        <f>IFERROR(__xludf.DUMMYFUNCTION("SPLIT(D217,""T"")"),42909.0)</f>
        <v>42909</v>
      </c>
      <c r="I217" s="4" t="str">
        <f>IFERROR(__xludf.DUMMYFUNCTION("""COMPUTED_VALUE"""),"16:00:00Z")</f>
        <v>16:00:00Z</v>
      </c>
      <c r="J217" s="4" t="str">
        <f t="shared" si="2"/>
        <v>16:00:00</v>
      </c>
      <c r="K217" s="4">
        <f t="shared" si="3"/>
        <v>200</v>
      </c>
      <c r="L217" s="4">
        <f t="shared" si="4"/>
        <v>-0.2076388889</v>
      </c>
      <c r="M217" s="4">
        <f t="shared" si="5"/>
        <v>199.7923611</v>
      </c>
    </row>
    <row r="218">
      <c r="A218" s="4" t="s">
        <v>94</v>
      </c>
      <c r="B218" s="4" t="s">
        <v>1804</v>
      </c>
      <c r="C218" s="4" t="s">
        <v>2639</v>
      </c>
      <c r="D218" s="4" t="s">
        <v>2640</v>
      </c>
      <c r="E218" s="10">
        <f>IFERROR(__xludf.DUMMYFUNCTION("SPLIT(B218,""T"")"),43109.0)</f>
        <v>43109</v>
      </c>
      <c r="F218" s="4" t="str">
        <f>IFERROR(__xludf.DUMMYFUNCTION("""COMPUTED_VALUE"""),"11:01:00Z")</f>
        <v>11:01:00Z</v>
      </c>
      <c r="G218" s="11" t="str">
        <f t="shared" si="1"/>
        <v>11:01:00</v>
      </c>
      <c r="H218" s="10">
        <f>IFERROR(__xludf.DUMMYFUNCTION("SPLIT(D218,""T"")"),42909.0)</f>
        <v>42909</v>
      </c>
      <c r="I218" s="4" t="str">
        <f>IFERROR(__xludf.DUMMYFUNCTION("""COMPUTED_VALUE"""),"22:32:00Z")</f>
        <v>22:32:00Z</v>
      </c>
      <c r="J218" s="4" t="str">
        <f t="shared" si="2"/>
        <v>22:32:00</v>
      </c>
      <c r="K218" s="4">
        <f t="shared" si="3"/>
        <v>200</v>
      </c>
      <c r="L218" s="4">
        <f t="shared" si="4"/>
        <v>-0.4798611111</v>
      </c>
      <c r="M218" s="4">
        <f t="shared" si="5"/>
        <v>199.5201389</v>
      </c>
    </row>
    <row r="219">
      <c r="A219" s="4" t="s">
        <v>54</v>
      </c>
      <c r="B219" s="4" t="s">
        <v>2364</v>
      </c>
      <c r="C219" s="4" t="s">
        <v>232</v>
      </c>
      <c r="D219" s="4" t="s">
        <v>2365</v>
      </c>
      <c r="E219" s="10">
        <f>IFERROR(__xludf.DUMMYFUNCTION("SPLIT(B219,""T"")"),43109.0)</f>
        <v>43109</v>
      </c>
      <c r="F219" s="4" t="str">
        <f>IFERROR(__xludf.DUMMYFUNCTION("""COMPUTED_VALUE"""),"11:07:00Z")</f>
        <v>11:07:00Z</v>
      </c>
      <c r="G219" s="11" t="str">
        <f t="shared" si="1"/>
        <v>11:07:00</v>
      </c>
      <c r="H219" s="10">
        <f>IFERROR(__xludf.DUMMYFUNCTION("SPLIT(D219,""T"")"),42910.0)</f>
        <v>42910</v>
      </c>
      <c r="I219" s="4" t="str">
        <f>IFERROR(__xludf.DUMMYFUNCTION("""COMPUTED_VALUE"""),"11:15:00Z")</f>
        <v>11:15:00Z</v>
      </c>
      <c r="J219" s="4" t="str">
        <f t="shared" si="2"/>
        <v>11:15:00</v>
      </c>
      <c r="K219" s="4">
        <f t="shared" si="3"/>
        <v>199</v>
      </c>
      <c r="L219" s="4">
        <f t="shared" si="4"/>
        <v>-0.005555555556</v>
      </c>
      <c r="M219" s="4">
        <f t="shared" si="5"/>
        <v>198.9944444</v>
      </c>
    </row>
    <row r="220">
      <c r="A220" s="4" t="s">
        <v>80</v>
      </c>
      <c r="B220" s="4" t="s">
        <v>2874</v>
      </c>
      <c r="C220" s="4" t="s">
        <v>3069</v>
      </c>
      <c r="D220" s="4" t="s">
        <v>3070</v>
      </c>
      <c r="E220" s="10">
        <f>IFERROR(__xludf.DUMMYFUNCTION("SPLIT(B220,""T"")"),43469.0)</f>
        <v>43469</v>
      </c>
      <c r="F220" s="4" t="str">
        <f>IFERROR(__xludf.DUMMYFUNCTION("""COMPUTED_VALUE"""),"10:04:00Z")</f>
        <v>10:04:00Z</v>
      </c>
      <c r="G220" s="11" t="str">
        <f t="shared" si="1"/>
        <v>10:04:00</v>
      </c>
      <c r="H220" s="10">
        <f>IFERROR(__xludf.DUMMYFUNCTION("SPLIT(D220,""T"")"),43270.0)</f>
        <v>43270</v>
      </c>
      <c r="I220" s="4" t="str">
        <f>IFERROR(__xludf.DUMMYFUNCTION("""COMPUTED_VALUE"""),"15:19:00Z")</f>
        <v>15:19:00Z</v>
      </c>
      <c r="J220" s="4" t="str">
        <f t="shared" si="2"/>
        <v>15:19:00</v>
      </c>
      <c r="K220" s="4">
        <f t="shared" si="3"/>
        <v>199</v>
      </c>
      <c r="L220" s="4">
        <f t="shared" si="4"/>
        <v>-0.21875</v>
      </c>
      <c r="M220" s="4">
        <f t="shared" si="5"/>
        <v>198.78125</v>
      </c>
    </row>
    <row r="221">
      <c r="A221" s="4" t="s">
        <v>94</v>
      </c>
      <c r="B221" s="4" t="s">
        <v>1804</v>
      </c>
      <c r="C221" s="4" t="s">
        <v>1805</v>
      </c>
      <c r="D221" s="4" t="s">
        <v>1806</v>
      </c>
      <c r="E221" s="10">
        <f>IFERROR(__xludf.DUMMYFUNCTION("SPLIT(B221,""T"")"),43109.0)</f>
        <v>43109</v>
      </c>
      <c r="F221" s="4" t="str">
        <f>IFERROR(__xludf.DUMMYFUNCTION("""COMPUTED_VALUE"""),"11:01:00Z")</f>
        <v>11:01:00Z</v>
      </c>
      <c r="G221" s="11" t="str">
        <f t="shared" si="1"/>
        <v>11:01:00</v>
      </c>
      <c r="H221" s="10">
        <f>IFERROR(__xludf.DUMMYFUNCTION("SPLIT(D221,""T"")"),42910.0)</f>
        <v>42910</v>
      </c>
      <c r="I221" s="4" t="str">
        <f>IFERROR(__xludf.DUMMYFUNCTION("""COMPUTED_VALUE"""),"16:16:00Z")</f>
        <v>16:16:00Z</v>
      </c>
      <c r="J221" s="4" t="str">
        <f t="shared" si="2"/>
        <v>16:16:00</v>
      </c>
      <c r="K221" s="4">
        <f t="shared" si="3"/>
        <v>199</v>
      </c>
      <c r="L221" s="4">
        <f t="shared" si="4"/>
        <v>-0.21875</v>
      </c>
      <c r="M221" s="4">
        <f t="shared" si="5"/>
        <v>198.78125</v>
      </c>
    </row>
    <row r="222">
      <c r="A222" s="4" t="s">
        <v>114</v>
      </c>
      <c r="B222" s="4" t="s">
        <v>2874</v>
      </c>
      <c r="C222" s="4" t="s">
        <v>3235</v>
      </c>
      <c r="D222" s="4" t="s">
        <v>3236</v>
      </c>
      <c r="E222" s="10">
        <f>IFERROR(__xludf.DUMMYFUNCTION("SPLIT(B222,""T"")"),43469.0)</f>
        <v>43469</v>
      </c>
      <c r="F222" s="4" t="str">
        <f>IFERROR(__xludf.DUMMYFUNCTION("""COMPUTED_VALUE"""),"10:04:00Z")</f>
        <v>10:04:00Z</v>
      </c>
      <c r="G222" s="11" t="str">
        <f t="shared" si="1"/>
        <v>10:04:00</v>
      </c>
      <c r="H222" s="10">
        <f>IFERROR(__xludf.DUMMYFUNCTION("SPLIT(D222,""T"")"),43270.0)</f>
        <v>43270</v>
      </c>
      <c r="I222" s="4" t="str">
        <f>IFERROR(__xludf.DUMMYFUNCTION("""COMPUTED_VALUE"""),"16:06:00Z")</f>
        <v>16:06:00Z</v>
      </c>
      <c r="J222" s="4" t="str">
        <f t="shared" si="2"/>
        <v>16:06:00</v>
      </c>
      <c r="K222" s="4">
        <f t="shared" si="3"/>
        <v>199</v>
      </c>
      <c r="L222" s="4">
        <f t="shared" si="4"/>
        <v>-0.2513888889</v>
      </c>
      <c r="M222" s="4">
        <f t="shared" si="5"/>
        <v>198.7486111</v>
      </c>
    </row>
    <row r="223">
      <c r="A223" s="4" t="s">
        <v>62</v>
      </c>
      <c r="B223" s="4" t="s">
        <v>2364</v>
      </c>
      <c r="C223" s="4" t="s">
        <v>644</v>
      </c>
      <c r="D223" s="4" t="s">
        <v>2403</v>
      </c>
      <c r="E223" s="10">
        <f>IFERROR(__xludf.DUMMYFUNCTION("SPLIT(B223,""T"")"),43109.0)</f>
        <v>43109</v>
      </c>
      <c r="F223" s="4" t="str">
        <f>IFERROR(__xludf.DUMMYFUNCTION("""COMPUTED_VALUE"""),"11:07:00Z")</f>
        <v>11:07:00Z</v>
      </c>
      <c r="G223" s="11" t="str">
        <f t="shared" si="1"/>
        <v>11:07:00</v>
      </c>
      <c r="H223" s="10">
        <f>IFERROR(__xludf.DUMMYFUNCTION("SPLIT(D223,""T"")"),42911.0)</f>
        <v>42911</v>
      </c>
      <c r="I223" s="4" t="str">
        <f>IFERROR(__xludf.DUMMYFUNCTION("""COMPUTED_VALUE"""),"12:09:00Z")</f>
        <v>12:09:00Z</v>
      </c>
      <c r="J223" s="4" t="str">
        <f t="shared" si="2"/>
        <v>12:09:00</v>
      </c>
      <c r="K223" s="4">
        <f t="shared" si="3"/>
        <v>198</v>
      </c>
      <c r="L223" s="4">
        <f t="shared" si="4"/>
        <v>-0.04305555556</v>
      </c>
      <c r="M223" s="4">
        <f t="shared" si="5"/>
        <v>197.9569444</v>
      </c>
    </row>
    <row r="224">
      <c r="A224" s="4" t="s">
        <v>23</v>
      </c>
      <c r="B224" s="4" t="s">
        <v>1837</v>
      </c>
      <c r="C224" s="4" t="s">
        <v>1979</v>
      </c>
      <c r="D224" s="4" t="s">
        <v>1980</v>
      </c>
      <c r="E224" s="10">
        <f>IFERROR(__xludf.DUMMYFUNCTION("SPLIT(B224,""T"")"),43109.0)</f>
        <v>43109</v>
      </c>
      <c r="F224" s="4" t="str">
        <f>IFERROR(__xludf.DUMMYFUNCTION("""COMPUTED_VALUE"""),"11:08:00Z")</f>
        <v>11:08:00Z</v>
      </c>
      <c r="G224" s="11" t="str">
        <f t="shared" si="1"/>
        <v>11:08:00</v>
      </c>
      <c r="H224" s="10">
        <f>IFERROR(__xludf.DUMMYFUNCTION("SPLIT(D224,""T"")"),42911.0)</f>
        <v>42911</v>
      </c>
      <c r="I224" s="4" t="str">
        <f>IFERROR(__xludf.DUMMYFUNCTION("""COMPUTED_VALUE"""),"12:47:00Z")</f>
        <v>12:47:00Z</v>
      </c>
      <c r="J224" s="4" t="str">
        <f t="shared" si="2"/>
        <v>12:47:00</v>
      </c>
      <c r="K224" s="4">
        <f t="shared" si="3"/>
        <v>198</v>
      </c>
      <c r="L224" s="4">
        <f t="shared" si="4"/>
        <v>-0.06875</v>
      </c>
      <c r="M224" s="4">
        <f t="shared" si="5"/>
        <v>197.93125</v>
      </c>
    </row>
    <row r="225">
      <c r="A225" s="4" t="s">
        <v>205</v>
      </c>
      <c r="B225" s="4" t="s">
        <v>2123</v>
      </c>
      <c r="C225" s="4" t="s">
        <v>2124</v>
      </c>
      <c r="D225" s="4" t="s">
        <v>2125</v>
      </c>
      <c r="E225" s="10">
        <f>IFERROR(__xludf.DUMMYFUNCTION("SPLIT(B225,""T"")"),43195.0)</f>
        <v>43195</v>
      </c>
      <c r="F225" s="4" t="str">
        <f>IFERROR(__xludf.DUMMYFUNCTION("""COMPUTED_VALUE"""),"10:48:00Z")</f>
        <v>10:48:00Z</v>
      </c>
      <c r="G225" s="11" t="str">
        <f t="shared" si="1"/>
        <v>10:48:00</v>
      </c>
      <c r="H225" s="10">
        <f>IFERROR(__xludf.DUMMYFUNCTION("SPLIT(D225,""T"")"),42997.0)</f>
        <v>42997</v>
      </c>
      <c r="I225" s="4" t="str">
        <f>IFERROR(__xludf.DUMMYFUNCTION("""COMPUTED_VALUE"""),"14:05:00Z")</f>
        <v>14:05:00Z</v>
      </c>
      <c r="J225" s="4" t="str">
        <f t="shared" si="2"/>
        <v>14:05:00</v>
      </c>
      <c r="K225" s="4">
        <f t="shared" si="3"/>
        <v>198</v>
      </c>
      <c r="L225" s="4">
        <f t="shared" si="4"/>
        <v>-0.1368055556</v>
      </c>
      <c r="M225" s="4">
        <f t="shared" si="5"/>
        <v>197.8631944</v>
      </c>
    </row>
    <row r="226">
      <c r="A226" s="4" t="s">
        <v>46</v>
      </c>
      <c r="B226" s="4" t="s">
        <v>2364</v>
      </c>
      <c r="C226" s="4" t="s">
        <v>2637</v>
      </c>
      <c r="D226" s="4" t="s">
        <v>2638</v>
      </c>
      <c r="E226" s="10">
        <f>IFERROR(__xludf.DUMMYFUNCTION("SPLIT(B226,""T"")"),43109.0)</f>
        <v>43109</v>
      </c>
      <c r="F226" s="4" t="str">
        <f>IFERROR(__xludf.DUMMYFUNCTION("""COMPUTED_VALUE"""),"11:07:00Z")</f>
        <v>11:07:00Z</v>
      </c>
      <c r="G226" s="11" t="str">
        <f t="shared" si="1"/>
        <v>11:07:00</v>
      </c>
      <c r="H226" s="10">
        <f>IFERROR(__xludf.DUMMYFUNCTION("SPLIT(D226,""T"")"),42911.0)</f>
        <v>42911</v>
      </c>
      <c r="I226" s="4" t="str">
        <f>IFERROR(__xludf.DUMMYFUNCTION("""COMPUTED_VALUE"""),"17:00:00Z")</f>
        <v>17:00:00Z</v>
      </c>
      <c r="J226" s="4" t="str">
        <f t="shared" si="2"/>
        <v>17:00:00</v>
      </c>
      <c r="K226" s="4">
        <f t="shared" si="3"/>
        <v>198</v>
      </c>
      <c r="L226" s="4">
        <f t="shared" si="4"/>
        <v>-0.2451388889</v>
      </c>
      <c r="M226" s="4">
        <f t="shared" si="5"/>
        <v>197.7548611</v>
      </c>
    </row>
    <row r="227">
      <c r="A227" s="4" t="s">
        <v>149</v>
      </c>
      <c r="B227" s="4" t="s">
        <v>2704</v>
      </c>
      <c r="C227" s="4" t="s">
        <v>1977</v>
      </c>
      <c r="D227" s="4" t="s">
        <v>2751</v>
      </c>
      <c r="E227" s="10">
        <f>IFERROR(__xludf.DUMMYFUNCTION("SPLIT(B227,""T"")"),43469.0)</f>
        <v>43469</v>
      </c>
      <c r="F227" s="4" t="str">
        <f>IFERROR(__xludf.DUMMYFUNCTION("""COMPUTED_VALUE"""),"10:03:00Z")</f>
        <v>10:03:00Z</v>
      </c>
      <c r="G227" s="11" t="str">
        <f t="shared" si="1"/>
        <v>10:03:00</v>
      </c>
      <c r="H227" s="10">
        <f>IFERROR(__xludf.DUMMYFUNCTION("SPLIT(D227,""T"")"),43271.0)</f>
        <v>43271</v>
      </c>
      <c r="I227" s="4" t="str">
        <f>IFERROR(__xludf.DUMMYFUNCTION("""COMPUTED_VALUE"""),"18:22:00Z")</f>
        <v>18:22:00Z</v>
      </c>
      <c r="J227" s="4" t="str">
        <f t="shared" si="2"/>
        <v>18:22:00</v>
      </c>
      <c r="K227" s="4">
        <f t="shared" si="3"/>
        <v>198</v>
      </c>
      <c r="L227" s="4">
        <f t="shared" si="4"/>
        <v>-0.3465277778</v>
      </c>
      <c r="M227" s="4">
        <f t="shared" si="5"/>
        <v>197.6534722</v>
      </c>
    </row>
    <row r="228">
      <c r="A228" s="4" t="s">
        <v>46</v>
      </c>
      <c r="B228" s="4" t="s">
        <v>1837</v>
      </c>
      <c r="C228" s="4" t="s">
        <v>521</v>
      </c>
      <c r="D228" s="4" t="s">
        <v>2525</v>
      </c>
      <c r="E228" s="10">
        <f>IFERROR(__xludf.DUMMYFUNCTION("SPLIT(B228,""T"")"),43109.0)</f>
        <v>43109</v>
      </c>
      <c r="F228" s="4" t="str">
        <f>IFERROR(__xludf.DUMMYFUNCTION("""COMPUTED_VALUE"""),"11:08:00Z")</f>
        <v>11:08:00Z</v>
      </c>
      <c r="G228" s="11" t="str">
        <f t="shared" si="1"/>
        <v>11:08:00</v>
      </c>
      <c r="H228" s="10">
        <f>IFERROR(__xludf.DUMMYFUNCTION("SPLIT(D228,""T"")"),42912.0)</f>
        <v>42912</v>
      </c>
      <c r="I228" s="4" t="str">
        <f>IFERROR(__xludf.DUMMYFUNCTION("""COMPUTED_VALUE"""),"12:30:00Z")</f>
        <v>12:30:00Z</v>
      </c>
      <c r="J228" s="4" t="str">
        <f t="shared" si="2"/>
        <v>12:30:00</v>
      </c>
      <c r="K228" s="4">
        <f t="shared" si="3"/>
        <v>197</v>
      </c>
      <c r="L228" s="4">
        <f t="shared" si="4"/>
        <v>-0.05694444444</v>
      </c>
      <c r="M228" s="4">
        <f t="shared" si="5"/>
        <v>196.9430556</v>
      </c>
    </row>
    <row r="229">
      <c r="A229" s="4" t="s">
        <v>27</v>
      </c>
      <c r="B229" s="4" t="s">
        <v>1837</v>
      </c>
      <c r="C229" s="4" t="s">
        <v>1838</v>
      </c>
      <c r="D229" s="4" t="s">
        <v>1839</v>
      </c>
      <c r="E229" s="10">
        <f>IFERROR(__xludf.DUMMYFUNCTION("SPLIT(B229,""T"")"),43109.0)</f>
        <v>43109</v>
      </c>
      <c r="F229" s="4" t="str">
        <f>IFERROR(__xludf.DUMMYFUNCTION("""COMPUTED_VALUE"""),"11:08:00Z")</f>
        <v>11:08:00Z</v>
      </c>
      <c r="G229" s="11" t="str">
        <f t="shared" si="1"/>
        <v>11:08:00</v>
      </c>
      <c r="H229" s="10">
        <f>IFERROR(__xludf.DUMMYFUNCTION("SPLIT(D229,""T"")"),42912.0)</f>
        <v>42912</v>
      </c>
      <c r="I229" s="4" t="str">
        <f>IFERROR(__xludf.DUMMYFUNCTION("""COMPUTED_VALUE"""),"15:10:00Z")</f>
        <v>15:10:00Z</v>
      </c>
      <c r="J229" s="4" t="str">
        <f t="shared" si="2"/>
        <v>15:10:00</v>
      </c>
      <c r="K229" s="4">
        <f t="shared" si="3"/>
        <v>197</v>
      </c>
      <c r="L229" s="4">
        <f t="shared" si="4"/>
        <v>-0.1680555556</v>
      </c>
      <c r="M229" s="4">
        <f t="shared" si="5"/>
        <v>196.8319444</v>
      </c>
    </row>
    <row r="230">
      <c r="A230" s="4" t="s">
        <v>149</v>
      </c>
      <c r="B230" s="4" t="s">
        <v>1837</v>
      </c>
      <c r="C230" s="4" t="s">
        <v>1914</v>
      </c>
      <c r="D230" s="4" t="s">
        <v>1915</v>
      </c>
      <c r="E230" s="10">
        <f>IFERROR(__xludf.DUMMYFUNCTION("SPLIT(B230,""T"")"),43109.0)</f>
        <v>43109</v>
      </c>
      <c r="F230" s="4" t="str">
        <f>IFERROR(__xludf.DUMMYFUNCTION("""COMPUTED_VALUE"""),"11:08:00Z")</f>
        <v>11:08:00Z</v>
      </c>
      <c r="G230" s="11" t="str">
        <f t="shared" si="1"/>
        <v>11:08:00</v>
      </c>
      <c r="H230" s="10">
        <f>IFERROR(__xludf.DUMMYFUNCTION("SPLIT(D230,""T"")"),42912.0)</f>
        <v>42912</v>
      </c>
      <c r="I230" s="4" t="str">
        <f>IFERROR(__xludf.DUMMYFUNCTION("""COMPUTED_VALUE"""),"15:27:00Z")</f>
        <v>15:27:00Z</v>
      </c>
      <c r="J230" s="4" t="str">
        <f t="shared" si="2"/>
        <v>15:27:00</v>
      </c>
      <c r="K230" s="4">
        <f t="shared" si="3"/>
        <v>197</v>
      </c>
      <c r="L230" s="4">
        <f t="shared" si="4"/>
        <v>-0.1798611111</v>
      </c>
      <c r="M230" s="4">
        <f t="shared" si="5"/>
        <v>196.8201389</v>
      </c>
    </row>
    <row r="231">
      <c r="A231" s="4" t="s">
        <v>149</v>
      </c>
      <c r="B231" s="4" t="s">
        <v>2704</v>
      </c>
      <c r="C231" s="4" t="s">
        <v>329</v>
      </c>
      <c r="D231" s="4" t="s">
        <v>3234</v>
      </c>
      <c r="E231" s="10">
        <f>IFERROR(__xludf.DUMMYFUNCTION("SPLIT(B231,""T"")"),43469.0)</f>
        <v>43469</v>
      </c>
      <c r="F231" s="4" t="str">
        <f>IFERROR(__xludf.DUMMYFUNCTION("""COMPUTED_VALUE"""),"10:03:00Z")</f>
        <v>10:03:00Z</v>
      </c>
      <c r="G231" s="11" t="str">
        <f t="shared" si="1"/>
        <v>10:03:00</v>
      </c>
      <c r="H231" s="10">
        <f>IFERROR(__xludf.DUMMYFUNCTION("SPLIT(D231,""T"")"),43272.0)</f>
        <v>43272</v>
      </c>
      <c r="I231" s="4" t="str">
        <f>IFERROR(__xludf.DUMMYFUNCTION("""COMPUTED_VALUE"""),"16:45:00Z")</f>
        <v>16:45:00Z</v>
      </c>
      <c r="J231" s="4" t="str">
        <f t="shared" si="2"/>
        <v>16:45:00</v>
      </c>
      <c r="K231" s="4">
        <f t="shared" si="3"/>
        <v>197</v>
      </c>
      <c r="L231" s="4">
        <f t="shared" si="4"/>
        <v>-0.2791666667</v>
      </c>
      <c r="M231" s="4">
        <f t="shared" si="5"/>
        <v>196.7208333</v>
      </c>
    </row>
    <row r="232">
      <c r="A232" s="4" t="s">
        <v>856</v>
      </c>
      <c r="B232" s="4" t="s">
        <v>1837</v>
      </c>
      <c r="C232" s="4" t="s">
        <v>2428</v>
      </c>
      <c r="D232" s="4" t="s">
        <v>2455</v>
      </c>
      <c r="E232" s="10">
        <f>IFERROR(__xludf.DUMMYFUNCTION("SPLIT(B232,""T"")"),43109.0)</f>
        <v>43109</v>
      </c>
      <c r="F232" s="4" t="str">
        <f>IFERROR(__xludf.DUMMYFUNCTION("""COMPUTED_VALUE"""),"11:08:00Z")</f>
        <v>11:08:00Z</v>
      </c>
      <c r="G232" s="11" t="str">
        <f t="shared" si="1"/>
        <v>11:08:00</v>
      </c>
      <c r="H232" s="10">
        <f>IFERROR(__xludf.DUMMYFUNCTION("SPLIT(D232,""T"")"),42912.0)</f>
        <v>42912</v>
      </c>
      <c r="I232" s="4" t="str">
        <f>IFERROR(__xludf.DUMMYFUNCTION("""COMPUTED_VALUE"""),"21:30:00Z")</f>
        <v>21:30:00Z</v>
      </c>
      <c r="J232" s="4" t="str">
        <f t="shared" si="2"/>
        <v>21:30:00</v>
      </c>
      <c r="K232" s="4">
        <f t="shared" si="3"/>
        <v>197</v>
      </c>
      <c r="L232" s="4">
        <f t="shared" si="4"/>
        <v>-0.4319444444</v>
      </c>
      <c r="M232" s="4">
        <f t="shared" si="5"/>
        <v>196.5680556</v>
      </c>
    </row>
    <row r="233">
      <c r="A233" s="4" t="s">
        <v>247</v>
      </c>
      <c r="B233" s="4" t="s">
        <v>1990</v>
      </c>
      <c r="C233" s="4" t="s">
        <v>1936</v>
      </c>
      <c r="D233" s="4" t="s">
        <v>2409</v>
      </c>
      <c r="E233" s="10">
        <f>IFERROR(__xludf.DUMMYFUNCTION("SPLIT(B233,""T"")"),43109.0)</f>
        <v>43109</v>
      </c>
      <c r="F233" s="4" t="str">
        <f>IFERROR(__xludf.DUMMYFUNCTION("""COMPUTED_VALUE"""),"11:09:00Z")</f>
        <v>11:09:00Z</v>
      </c>
      <c r="G233" s="11" t="str">
        <f t="shared" si="1"/>
        <v>11:09:00</v>
      </c>
      <c r="H233" s="10">
        <f>IFERROR(__xludf.DUMMYFUNCTION("SPLIT(D233,""T"")"),42913.0)</f>
        <v>42913</v>
      </c>
      <c r="I233" s="4" t="str">
        <f>IFERROR(__xludf.DUMMYFUNCTION("""COMPUTED_VALUE"""),"07:39:00Z")</f>
        <v>07:39:00Z</v>
      </c>
      <c r="J233" s="4" t="str">
        <f t="shared" si="2"/>
        <v>07:39:00</v>
      </c>
      <c r="K233" s="4">
        <f t="shared" si="3"/>
        <v>196</v>
      </c>
      <c r="L233" s="4">
        <f t="shared" si="4"/>
        <v>0.1458333333</v>
      </c>
      <c r="M233" s="4">
        <f t="shared" si="5"/>
        <v>196.1458333</v>
      </c>
    </row>
    <row r="234">
      <c r="A234" s="4" t="s">
        <v>62</v>
      </c>
      <c r="B234" s="4" t="s">
        <v>1990</v>
      </c>
      <c r="C234" s="4" t="s">
        <v>2476</v>
      </c>
      <c r="D234" s="4" t="s">
        <v>2477</v>
      </c>
      <c r="E234" s="10">
        <f>IFERROR(__xludf.DUMMYFUNCTION("SPLIT(B234,""T"")"),43109.0)</f>
        <v>43109</v>
      </c>
      <c r="F234" s="4" t="str">
        <f>IFERROR(__xludf.DUMMYFUNCTION("""COMPUTED_VALUE"""),"11:09:00Z")</f>
        <v>11:09:00Z</v>
      </c>
      <c r="G234" s="11" t="str">
        <f t="shared" si="1"/>
        <v>11:09:00</v>
      </c>
      <c r="H234" s="10">
        <f>IFERROR(__xludf.DUMMYFUNCTION("SPLIT(D234,""T"")"),42913.0)</f>
        <v>42913</v>
      </c>
      <c r="I234" s="4" t="str">
        <f>IFERROR(__xludf.DUMMYFUNCTION("""COMPUTED_VALUE"""),"09:38:00Z")</f>
        <v>09:38:00Z</v>
      </c>
      <c r="J234" s="4" t="str">
        <f t="shared" si="2"/>
        <v>09:38:00</v>
      </c>
      <c r="K234" s="4">
        <f t="shared" si="3"/>
        <v>196</v>
      </c>
      <c r="L234" s="4">
        <f t="shared" si="4"/>
        <v>0.06319444444</v>
      </c>
      <c r="M234" s="4">
        <f t="shared" si="5"/>
        <v>196.0631944</v>
      </c>
    </row>
    <row r="235">
      <c r="A235" s="4" t="s">
        <v>2397</v>
      </c>
      <c r="B235" s="4" t="s">
        <v>1990</v>
      </c>
      <c r="C235" s="4" t="s">
        <v>1338</v>
      </c>
      <c r="D235" s="4" t="s">
        <v>2398</v>
      </c>
      <c r="E235" s="10">
        <f>IFERROR(__xludf.DUMMYFUNCTION("SPLIT(B235,""T"")"),43109.0)</f>
        <v>43109</v>
      </c>
      <c r="F235" s="4" t="str">
        <f>IFERROR(__xludf.DUMMYFUNCTION("""COMPUTED_VALUE"""),"11:09:00Z")</f>
        <v>11:09:00Z</v>
      </c>
      <c r="G235" s="11" t="str">
        <f t="shared" si="1"/>
        <v>11:09:00</v>
      </c>
      <c r="H235" s="10">
        <f>IFERROR(__xludf.DUMMYFUNCTION("SPLIT(D235,""T"")"),42913.0)</f>
        <v>42913</v>
      </c>
      <c r="I235" s="4" t="str">
        <f>IFERROR(__xludf.DUMMYFUNCTION("""COMPUTED_VALUE"""),"10:39:00Z")</f>
        <v>10:39:00Z</v>
      </c>
      <c r="J235" s="4" t="str">
        <f t="shared" si="2"/>
        <v>10:39:00</v>
      </c>
      <c r="K235" s="4">
        <f t="shared" si="3"/>
        <v>196</v>
      </c>
      <c r="L235" s="4">
        <f t="shared" si="4"/>
        <v>0.02083333333</v>
      </c>
      <c r="M235" s="4">
        <f t="shared" si="5"/>
        <v>196.0208333</v>
      </c>
    </row>
    <row r="236">
      <c r="A236" s="4" t="s">
        <v>134</v>
      </c>
      <c r="B236" s="4" t="s">
        <v>1990</v>
      </c>
      <c r="C236" s="4" t="s">
        <v>1991</v>
      </c>
      <c r="D236" s="4" t="s">
        <v>1992</v>
      </c>
      <c r="E236" s="10">
        <f>IFERROR(__xludf.DUMMYFUNCTION("SPLIT(B236,""T"")"),43109.0)</f>
        <v>43109</v>
      </c>
      <c r="F236" s="4" t="str">
        <f>IFERROR(__xludf.DUMMYFUNCTION("""COMPUTED_VALUE"""),"11:09:00Z")</f>
        <v>11:09:00Z</v>
      </c>
      <c r="G236" s="11" t="str">
        <f t="shared" si="1"/>
        <v>11:09:00</v>
      </c>
      <c r="H236" s="10">
        <f>IFERROR(__xludf.DUMMYFUNCTION("SPLIT(D236,""T"")"),42913.0)</f>
        <v>42913</v>
      </c>
      <c r="I236" s="4" t="str">
        <f>IFERROR(__xludf.DUMMYFUNCTION("""COMPUTED_VALUE"""),"15:22:00Z")</f>
        <v>15:22:00Z</v>
      </c>
      <c r="J236" s="4" t="str">
        <f t="shared" si="2"/>
        <v>15:22:00</v>
      </c>
      <c r="K236" s="4">
        <f t="shared" si="3"/>
        <v>196</v>
      </c>
      <c r="L236" s="4">
        <f t="shared" si="4"/>
        <v>-0.1756944444</v>
      </c>
      <c r="M236" s="4">
        <f t="shared" si="5"/>
        <v>195.8243056</v>
      </c>
    </row>
    <row r="237">
      <c r="A237" s="4" t="s">
        <v>114</v>
      </c>
      <c r="B237" s="4" t="s">
        <v>1993</v>
      </c>
      <c r="C237" s="4" t="s">
        <v>2553</v>
      </c>
      <c r="D237" s="4" t="s">
        <v>2554</v>
      </c>
      <c r="E237" s="10">
        <f>IFERROR(__xludf.DUMMYFUNCTION("SPLIT(B237,""T"")"),43109.0)</f>
        <v>43109</v>
      </c>
      <c r="F237" s="4" t="str">
        <f>IFERROR(__xludf.DUMMYFUNCTION("""COMPUTED_VALUE"""),"11:10:00Z")</f>
        <v>11:10:00Z</v>
      </c>
      <c r="G237" s="11" t="str">
        <f t="shared" si="1"/>
        <v>11:10:00</v>
      </c>
      <c r="H237" s="10">
        <f>IFERROR(__xludf.DUMMYFUNCTION("SPLIT(D237,""T"")"),42914.0)</f>
        <v>42914</v>
      </c>
      <c r="I237" s="4" t="str">
        <f>IFERROR(__xludf.DUMMYFUNCTION("""COMPUTED_VALUE"""),"09:30:00Z")</f>
        <v>09:30:00Z</v>
      </c>
      <c r="J237" s="4" t="str">
        <f t="shared" si="2"/>
        <v>09:30:00</v>
      </c>
      <c r="K237" s="4">
        <f t="shared" si="3"/>
        <v>195</v>
      </c>
      <c r="L237" s="4">
        <f t="shared" si="4"/>
        <v>0.06944444444</v>
      </c>
      <c r="M237" s="4">
        <f t="shared" si="5"/>
        <v>195.0694444</v>
      </c>
    </row>
    <row r="238">
      <c r="A238" s="4" t="s">
        <v>54</v>
      </c>
      <c r="B238" s="4" t="s">
        <v>2709</v>
      </c>
      <c r="C238" s="4" t="s">
        <v>2710</v>
      </c>
      <c r="D238" s="4" t="s">
        <v>2711</v>
      </c>
      <c r="E238" s="10">
        <f>IFERROR(__xludf.DUMMYFUNCTION("SPLIT(B238,""T"")"),43469.0)</f>
        <v>43469</v>
      </c>
      <c r="F238" s="4" t="str">
        <f>IFERROR(__xludf.DUMMYFUNCTION("""COMPUTED_VALUE"""),"10:02:00Z")</f>
        <v>10:02:00Z</v>
      </c>
      <c r="G238" s="11" t="str">
        <f t="shared" si="1"/>
        <v>10:02:00</v>
      </c>
      <c r="H238" s="10">
        <f>IFERROR(__xludf.DUMMYFUNCTION("SPLIT(D238,""T"")"),43274.0)</f>
        <v>43274</v>
      </c>
      <c r="I238" s="4" t="str">
        <f>IFERROR(__xludf.DUMMYFUNCTION("""COMPUTED_VALUE"""),"11:38:00Z")</f>
        <v>11:38:00Z</v>
      </c>
      <c r="J238" s="4" t="str">
        <f t="shared" si="2"/>
        <v>11:38:00</v>
      </c>
      <c r="K238" s="4">
        <f t="shared" si="3"/>
        <v>195</v>
      </c>
      <c r="L238" s="4">
        <f t="shared" si="4"/>
        <v>-0.06666666667</v>
      </c>
      <c r="M238" s="4">
        <f t="shared" si="5"/>
        <v>194.9333333</v>
      </c>
    </row>
    <row r="239">
      <c r="A239" s="4" t="s">
        <v>145</v>
      </c>
      <c r="B239" s="4" t="s">
        <v>1993</v>
      </c>
      <c r="C239" s="4" t="s">
        <v>1996</v>
      </c>
      <c r="D239" s="4" t="s">
        <v>1997</v>
      </c>
      <c r="E239" s="10">
        <f>IFERROR(__xludf.DUMMYFUNCTION("SPLIT(B239,""T"")"),43109.0)</f>
        <v>43109</v>
      </c>
      <c r="F239" s="4" t="str">
        <f>IFERROR(__xludf.DUMMYFUNCTION("""COMPUTED_VALUE"""),"11:10:00Z")</f>
        <v>11:10:00Z</v>
      </c>
      <c r="G239" s="11" t="str">
        <f t="shared" si="1"/>
        <v>11:10:00</v>
      </c>
      <c r="H239" s="10">
        <f>IFERROR(__xludf.DUMMYFUNCTION("SPLIT(D239,""T"")"),42914.0)</f>
        <v>42914</v>
      </c>
      <c r="I239" s="4" t="str">
        <f>IFERROR(__xludf.DUMMYFUNCTION("""COMPUTED_VALUE"""),"13:50:00Z")</f>
        <v>13:50:00Z</v>
      </c>
      <c r="J239" s="4" t="str">
        <f t="shared" si="2"/>
        <v>13:50:00</v>
      </c>
      <c r="K239" s="4">
        <f t="shared" si="3"/>
        <v>195</v>
      </c>
      <c r="L239" s="4">
        <f t="shared" si="4"/>
        <v>-0.1111111111</v>
      </c>
      <c r="M239" s="4">
        <f t="shared" si="5"/>
        <v>194.8888889</v>
      </c>
    </row>
    <row r="240">
      <c r="A240" s="4" t="s">
        <v>54</v>
      </c>
      <c r="B240" s="4" t="s">
        <v>2709</v>
      </c>
      <c r="C240" s="4" t="s">
        <v>2841</v>
      </c>
      <c r="D240" s="4" t="s">
        <v>2842</v>
      </c>
      <c r="E240" s="10">
        <f>IFERROR(__xludf.DUMMYFUNCTION("SPLIT(B240,""T"")"),43469.0)</f>
        <v>43469</v>
      </c>
      <c r="F240" s="4" t="str">
        <f>IFERROR(__xludf.DUMMYFUNCTION("""COMPUTED_VALUE"""),"10:02:00Z")</f>
        <v>10:02:00Z</v>
      </c>
      <c r="G240" s="11" t="str">
        <f t="shared" si="1"/>
        <v>10:02:00</v>
      </c>
      <c r="H240" s="10">
        <f>IFERROR(__xludf.DUMMYFUNCTION("SPLIT(D240,""T"")"),43274.0)</f>
        <v>43274</v>
      </c>
      <c r="I240" s="4" t="str">
        <f>IFERROR(__xludf.DUMMYFUNCTION("""COMPUTED_VALUE"""),"12:52:00Z")</f>
        <v>12:52:00Z</v>
      </c>
      <c r="J240" s="4" t="str">
        <f t="shared" si="2"/>
        <v>12:52:00</v>
      </c>
      <c r="K240" s="4">
        <f t="shared" si="3"/>
        <v>195</v>
      </c>
      <c r="L240" s="4">
        <f t="shared" si="4"/>
        <v>-0.1180555556</v>
      </c>
      <c r="M240" s="4">
        <f t="shared" si="5"/>
        <v>194.8819444</v>
      </c>
    </row>
    <row r="241">
      <c r="A241" s="4" t="s">
        <v>58</v>
      </c>
      <c r="B241" s="4" t="s">
        <v>2709</v>
      </c>
      <c r="C241" s="4" t="s">
        <v>2817</v>
      </c>
      <c r="D241" s="4" t="s">
        <v>2818</v>
      </c>
      <c r="E241" s="10">
        <f>IFERROR(__xludf.DUMMYFUNCTION("SPLIT(B241,""T"")"),43469.0)</f>
        <v>43469</v>
      </c>
      <c r="F241" s="4" t="str">
        <f>IFERROR(__xludf.DUMMYFUNCTION("""COMPUTED_VALUE"""),"10:02:00Z")</f>
        <v>10:02:00Z</v>
      </c>
      <c r="G241" s="11" t="str">
        <f t="shared" si="1"/>
        <v>10:02:00</v>
      </c>
      <c r="H241" s="10">
        <f>IFERROR(__xludf.DUMMYFUNCTION("SPLIT(D241,""T"")"),43274.0)</f>
        <v>43274</v>
      </c>
      <c r="I241" s="4" t="str">
        <f>IFERROR(__xludf.DUMMYFUNCTION("""COMPUTED_VALUE"""),"12:54:00Z")</f>
        <v>12:54:00Z</v>
      </c>
      <c r="J241" s="4" t="str">
        <f t="shared" si="2"/>
        <v>12:54:00</v>
      </c>
      <c r="K241" s="4">
        <f t="shared" si="3"/>
        <v>195</v>
      </c>
      <c r="L241" s="4">
        <f t="shared" si="4"/>
        <v>-0.1194444444</v>
      </c>
      <c r="M241" s="4">
        <f t="shared" si="5"/>
        <v>194.8805556</v>
      </c>
    </row>
    <row r="242">
      <c r="A242" s="4" t="s">
        <v>54</v>
      </c>
      <c r="B242" s="4" t="s">
        <v>2709</v>
      </c>
      <c r="C242" s="4" t="s">
        <v>223</v>
      </c>
      <c r="D242" s="4" t="s">
        <v>2884</v>
      </c>
      <c r="E242" s="10">
        <f>IFERROR(__xludf.DUMMYFUNCTION("SPLIT(B242,""T"")"),43469.0)</f>
        <v>43469</v>
      </c>
      <c r="F242" s="4" t="str">
        <f>IFERROR(__xludf.DUMMYFUNCTION("""COMPUTED_VALUE"""),"10:02:00Z")</f>
        <v>10:02:00Z</v>
      </c>
      <c r="G242" s="11" t="str">
        <f t="shared" si="1"/>
        <v>10:02:00</v>
      </c>
      <c r="H242" s="10">
        <f>IFERROR(__xludf.DUMMYFUNCTION("SPLIT(D242,""T"")"),43274.0)</f>
        <v>43274</v>
      </c>
      <c r="I242" s="4" t="str">
        <f>IFERROR(__xludf.DUMMYFUNCTION("""COMPUTED_VALUE"""),"13:15:00Z")</f>
        <v>13:15:00Z</v>
      </c>
      <c r="J242" s="4" t="str">
        <f t="shared" si="2"/>
        <v>13:15:00</v>
      </c>
      <c r="K242" s="4">
        <f t="shared" si="3"/>
        <v>195</v>
      </c>
      <c r="L242" s="4">
        <f t="shared" si="4"/>
        <v>-0.1340277778</v>
      </c>
      <c r="M242" s="4">
        <f t="shared" si="5"/>
        <v>194.8659722</v>
      </c>
    </row>
    <row r="243">
      <c r="A243" s="4" t="s">
        <v>101</v>
      </c>
      <c r="B243" s="4" t="s">
        <v>1993</v>
      </c>
      <c r="C243" s="4" t="s">
        <v>1994</v>
      </c>
      <c r="D243" s="4" t="s">
        <v>1995</v>
      </c>
      <c r="E243" s="10">
        <f>IFERROR(__xludf.DUMMYFUNCTION("SPLIT(B243,""T"")"),43109.0)</f>
        <v>43109</v>
      </c>
      <c r="F243" s="4" t="str">
        <f>IFERROR(__xludf.DUMMYFUNCTION("""COMPUTED_VALUE"""),"11:10:00Z")</f>
        <v>11:10:00Z</v>
      </c>
      <c r="G243" s="11" t="str">
        <f t="shared" si="1"/>
        <v>11:10:00</v>
      </c>
      <c r="H243" s="10">
        <f>IFERROR(__xludf.DUMMYFUNCTION("SPLIT(D243,""T"")"),42914.0)</f>
        <v>42914</v>
      </c>
      <c r="I243" s="4" t="str">
        <f>IFERROR(__xludf.DUMMYFUNCTION("""COMPUTED_VALUE"""),"15:49:00Z")</f>
        <v>15:49:00Z</v>
      </c>
      <c r="J243" s="4" t="str">
        <f t="shared" si="2"/>
        <v>15:49:00</v>
      </c>
      <c r="K243" s="4">
        <f t="shared" si="3"/>
        <v>195</v>
      </c>
      <c r="L243" s="4">
        <f t="shared" si="4"/>
        <v>-0.19375</v>
      </c>
      <c r="M243" s="4">
        <f t="shared" si="5"/>
        <v>194.80625</v>
      </c>
    </row>
    <row r="244">
      <c r="A244" s="4" t="s">
        <v>62</v>
      </c>
      <c r="B244" s="4" t="s">
        <v>1993</v>
      </c>
      <c r="C244" s="4" t="s">
        <v>2635</v>
      </c>
      <c r="D244" s="4" t="s">
        <v>2636</v>
      </c>
      <c r="E244" s="10">
        <f>IFERROR(__xludf.DUMMYFUNCTION("SPLIT(B244,""T"")"),43109.0)</f>
        <v>43109</v>
      </c>
      <c r="F244" s="4" t="str">
        <f>IFERROR(__xludf.DUMMYFUNCTION("""COMPUTED_VALUE"""),"11:10:00Z")</f>
        <v>11:10:00Z</v>
      </c>
      <c r="G244" s="11" t="str">
        <f t="shared" si="1"/>
        <v>11:10:00</v>
      </c>
      <c r="H244" s="10">
        <f>IFERROR(__xludf.DUMMYFUNCTION("SPLIT(D244,""T"")"),42914.0)</f>
        <v>42914</v>
      </c>
      <c r="I244" s="4" t="str">
        <f>IFERROR(__xludf.DUMMYFUNCTION("""COMPUTED_VALUE"""),"17:56:00Z")</f>
        <v>17:56:00Z</v>
      </c>
      <c r="J244" s="4" t="str">
        <f t="shared" si="2"/>
        <v>17:56:00</v>
      </c>
      <c r="K244" s="4">
        <f t="shared" si="3"/>
        <v>195</v>
      </c>
      <c r="L244" s="4">
        <f t="shared" si="4"/>
        <v>-0.2819444444</v>
      </c>
      <c r="M244" s="4">
        <f t="shared" si="5"/>
        <v>194.7180556</v>
      </c>
    </row>
    <row r="245">
      <c r="A245" s="4" t="s">
        <v>186</v>
      </c>
      <c r="B245" s="4" t="s">
        <v>2684</v>
      </c>
      <c r="C245" s="4" t="s">
        <v>2685</v>
      </c>
      <c r="D245" s="4" t="s">
        <v>2686</v>
      </c>
      <c r="E245" s="10">
        <f>IFERROR(__xludf.DUMMYFUNCTION("SPLIT(B245,""T"")"),43469.0)</f>
        <v>43469</v>
      </c>
      <c r="F245" s="4" t="str">
        <f>IFERROR(__xludf.DUMMYFUNCTION("""COMPUTED_VALUE"""),"10:01:00Z")</f>
        <v>10:01:00Z</v>
      </c>
      <c r="G245" s="11" t="str">
        <f t="shared" si="1"/>
        <v>10:01:00</v>
      </c>
      <c r="H245" s="10">
        <f>IFERROR(__xludf.DUMMYFUNCTION("SPLIT(D245,""T"")"),43274.0)</f>
        <v>43274</v>
      </c>
      <c r="I245" s="4" t="str">
        <f>IFERROR(__xludf.DUMMYFUNCTION("""COMPUTED_VALUE"""),"17:21:00Z")</f>
        <v>17:21:00Z</v>
      </c>
      <c r="J245" s="4" t="str">
        <f t="shared" si="2"/>
        <v>17:21:00</v>
      </c>
      <c r="K245" s="4">
        <f t="shared" si="3"/>
        <v>195</v>
      </c>
      <c r="L245" s="4">
        <f t="shared" si="4"/>
        <v>-0.3055555556</v>
      </c>
      <c r="M245" s="4">
        <f t="shared" si="5"/>
        <v>194.6944444</v>
      </c>
    </row>
    <row r="246">
      <c r="A246" s="4" t="s">
        <v>23</v>
      </c>
      <c r="B246" s="4" t="s">
        <v>2684</v>
      </c>
      <c r="C246" s="4" t="s">
        <v>1278</v>
      </c>
      <c r="D246" s="4" t="s">
        <v>3015</v>
      </c>
      <c r="E246" s="10">
        <f>IFERROR(__xludf.DUMMYFUNCTION("SPLIT(B246,""T"")"),43469.0)</f>
        <v>43469</v>
      </c>
      <c r="F246" s="4" t="str">
        <f>IFERROR(__xludf.DUMMYFUNCTION("""COMPUTED_VALUE"""),"10:01:00Z")</f>
        <v>10:01:00Z</v>
      </c>
      <c r="G246" s="11" t="str">
        <f t="shared" si="1"/>
        <v>10:01:00</v>
      </c>
      <c r="H246" s="10">
        <f>IFERROR(__xludf.DUMMYFUNCTION("SPLIT(D246,""T"")"),43274.0)</f>
        <v>43274</v>
      </c>
      <c r="I246" s="4" t="str">
        <f>IFERROR(__xludf.DUMMYFUNCTION("""COMPUTED_VALUE"""),"19:39:00Z")</f>
        <v>19:39:00Z</v>
      </c>
      <c r="J246" s="4" t="str">
        <f t="shared" si="2"/>
        <v>19:39:00</v>
      </c>
      <c r="K246" s="4">
        <f t="shared" si="3"/>
        <v>195</v>
      </c>
      <c r="L246" s="4">
        <f t="shared" si="4"/>
        <v>-0.4013888889</v>
      </c>
      <c r="M246" s="4">
        <f t="shared" si="5"/>
        <v>194.5986111</v>
      </c>
    </row>
    <row r="247">
      <c r="A247" s="4" t="s">
        <v>58</v>
      </c>
      <c r="B247" s="4" t="s">
        <v>2684</v>
      </c>
      <c r="C247" s="4" t="s">
        <v>329</v>
      </c>
      <c r="D247" s="4" t="s">
        <v>2747</v>
      </c>
      <c r="E247" s="10">
        <f>IFERROR(__xludf.DUMMYFUNCTION("SPLIT(B247,""T"")"),43469.0)</f>
        <v>43469</v>
      </c>
      <c r="F247" s="4" t="str">
        <f>IFERROR(__xludf.DUMMYFUNCTION("""COMPUTED_VALUE"""),"10:01:00Z")</f>
        <v>10:01:00Z</v>
      </c>
      <c r="G247" s="11" t="str">
        <f t="shared" si="1"/>
        <v>10:01:00</v>
      </c>
      <c r="H247" s="10">
        <f>IFERROR(__xludf.DUMMYFUNCTION("SPLIT(D247,""T"")"),43275.0)</f>
        <v>43275</v>
      </c>
      <c r="I247" s="4" t="str">
        <f>IFERROR(__xludf.DUMMYFUNCTION("""COMPUTED_VALUE"""),"12:29:00Z")</f>
        <v>12:29:00Z</v>
      </c>
      <c r="J247" s="4" t="str">
        <f t="shared" si="2"/>
        <v>12:29:00</v>
      </c>
      <c r="K247" s="4">
        <f t="shared" si="3"/>
        <v>194</v>
      </c>
      <c r="L247" s="4">
        <f t="shared" si="4"/>
        <v>-0.1027777778</v>
      </c>
      <c r="M247" s="4">
        <f t="shared" si="5"/>
        <v>193.8972222</v>
      </c>
    </row>
    <row r="248">
      <c r="A248" s="4" t="s">
        <v>401</v>
      </c>
      <c r="B248" s="4" t="s">
        <v>2230</v>
      </c>
      <c r="C248" s="4" t="s">
        <v>758</v>
      </c>
      <c r="D248" s="4" t="s">
        <v>2231</v>
      </c>
      <c r="E248" s="10">
        <f>IFERROR(__xludf.DUMMYFUNCTION("SPLIT(B248,""T"")"),43109.0)</f>
        <v>43109</v>
      </c>
      <c r="F248" s="4" t="str">
        <f>IFERROR(__xludf.DUMMYFUNCTION("""COMPUTED_VALUE"""),"11:11:00Z")</f>
        <v>11:11:00Z</v>
      </c>
      <c r="G248" s="11" t="str">
        <f t="shared" si="1"/>
        <v>11:11:00</v>
      </c>
      <c r="H248" s="10">
        <f>IFERROR(__xludf.DUMMYFUNCTION("SPLIT(D248,""T"")"),42915.0)</f>
        <v>42915</v>
      </c>
      <c r="I248" s="4" t="str">
        <f>IFERROR(__xludf.DUMMYFUNCTION("""COMPUTED_VALUE"""),"13:56:00Z")</f>
        <v>13:56:00Z</v>
      </c>
      <c r="J248" s="4" t="str">
        <f t="shared" si="2"/>
        <v>13:56:00</v>
      </c>
      <c r="K248" s="4">
        <f t="shared" si="3"/>
        <v>194</v>
      </c>
      <c r="L248" s="4">
        <f t="shared" si="4"/>
        <v>-0.1145833333</v>
      </c>
      <c r="M248" s="4">
        <f t="shared" si="5"/>
        <v>193.8854167</v>
      </c>
    </row>
    <row r="249">
      <c r="A249" s="4" t="s">
        <v>19</v>
      </c>
      <c r="B249" s="4" t="s">
        <v>2684</v>
      </c>
      <c r="C249" s="4" t="s">
        <v>1015</v>
      </c>
      <c r="D249" s="4" t="s">
        <v>2893</v>
      </c>
      <c r="E249" s="10">
        <f>IFERROR(__xludf.DUMMYFUNCTION("SPLIT(B249,""T"")"),43469.0)</f>
        <v>43469</v>
      </c>
      <c r="F249" s="4" t="str">
        <f>IFERROR(__xludf.DUMMYFUNCTION("""COMPUTED_VALUE"""),"10:01:00Z")</f>
        <v>10:01:00Z</v>
      </c>
      <c r="G249" s="11" t="str">
        <f t="shared" si="1"/>
        <v>10:01:00</v>
      </c>
      <c r="H249" s="10">
        <f>IFERROR(__xludf.DUMMYFUNCTION("SPLIT(D249,""T"")"),43275.0)</f>
        <v>43275</v>
      </c>
      <c r="I249" s="4" t="str">
        <f>IFERROR(__xludf.DUMMYFUNCTION("""COMPUTED_VALUE"""),"13:54:00Z")</f>
        <v>13:54:00Z</v>
      </c>
      <c r="J249" s="4" t="str">
        <f t="shared" si="2"/>
        <v>13:54:00</v>
      </c>
      <c r="K249" s="4">
        <f t="shared" si="3"/>
        <v>194</v>
      </c>
      <c r="L249" s="4">
        <f t="shared" si="4"/>
        <v>-0.1618055556</v>
      </c>
      <c r="M249" s="4">
        <f t="shared" si="5"/>
        <v>193.8381944</v>
      </c>
    </row>
    <row r="250">
      <c r="A250" s="4" t="s">
        <v>23</v>
      </c>
      <c r="B250" s="4" t="s">
        <v>2230</v>
      </c>
      <c r="C250" s="4" t="s">
        <v>2311</v>
      </c>
      <c r="D250" s="4" t="s">
        <v>2312</v>
      </c>
      <c r="E250" s="10">
        <f>IFERROR(__xludf.DUMMYFUNCTION("SPLIT(B250,""T"")"),43109.0)</f>
        <v>43109</v>
      </c>
      <c r="F250" s="4" t="str">
        <f>IFERROR(__xludf.DUMMYFUNCTION("""COMPUTED_VALUE"""),"11:11:00Z")</f>
        <v>11:11:00Z</v>
      </c>
      <c r="G250" s="11" t="str">
        <f t="shared" si="1"/>
        <v>11:11:00</v>
      </c>
      <c r="H250" s="10">
        <f>IFERROR(__xludf.DUMMYFUNCTION("SPLIT(D250,""T"")"),42915.0)</f>
        <v>42915</v>
      </c>
      <c r="I250" s="4" t="str">
        <f>IFERROR(__xludf.DUMMYFUNCTION("""COMPUTED_VALUE"""),"15:09:00Z")</f>
        <v>15:09:00Z</v>
      </c>
      <c r="J250" s="4" t="str">
        <f t="shared" si="2"/>
        <v>15:09:00</v>
      </c>
      <c r="K250" s="4">
        <f t="shared" si="3"/>
        <v>194</v>
      </c>
      <c r="L250" s="4">
        <f t="shared" si="4"/>
        <v>-0.1652777778</v>
      </c>
      <c r="M250" s="4">
        <f t="shared" si="5"/>
        <v>193.8347222</v>
      </c>
    </row>
    <row r="251">
      <c r="A251" s="4" t="s">
        <v>23</v>
      </c>
      <c r="B251" s="4" t="s">
        <v>2230</v>
      </c>
      <c r="C251" s="4" t="s">
        <v>2370</v>
      </c>
      <c r="D251" s="4" t="s">
        <v>2371</v>
      </c>
      <c r="E251" s="10">
        <f>IFERROR(__xludf.DUMMYFUNCTION("SPLIT(B251,""T"")"),43109.0)</f>
        <v>43109</v>
      </c>
      <c r="F251" s="4" t="str">
        <f>IFERROR(__xludf.DUMMYFUNCTION("""COMPUTED_VALUE"""),"11:11:00Z")</f>
        <v>11:11:00Z</v>
      </c>
      <c r="G251" s="11" t="str">
        <f t="shared" si="1"/>
        <v>11:11:00</v>
      </c>
      <c r="H251" s="10">
        <f>IFERROR(__xludf.DUMMYFUNCTION("SPLIT(D251,""T"")"),42915.0)</f>
        <v>42915</v>
      </c>
      <c r="I251" s="4" t="str">
        <f>IFERROR(__xludf.DUMMYFUNCTION("""COMPUTED_VALUE"""),"15:45:00Z")</f>
        <v>15:45:00Z</v>
      </c>
      <c r="J251" s="4" t="str">
        <f t="shared" si="2"/>
        <v>15:45:00</v>
      </c>
      <c r="K251" s="4">
        <f t="shared" si="3"/>
        <v>194</v>
      </c>
      <c r="L251" s="4">
        <f t="shared" si="4"/>
        <v>-0.1902777778</v>
      </c>
      <c r="M251" s="4">
        <f t="shared" si="5"/>
        <v>193.8097222</v>
      </c>
    </row>
    <row r="252">
      <c r="A252" s="4" t="s">
        <v>411</v>
      </c>
      <c r="B252" s="4" t="s">
        <v>2684</v>
      </c>
      <c r="C252" s="4" t="s">
        <v>1034</v>
      </c>
      <c r="D252" s="4" t="s">
        <v>2977</v>
      </c>
      <c r="E252" s="10">
        <f>IFERROR(__xludf.DUMMYFUNCTION("SPLIT(B252,""T"")"),43469.0)</f>
        <v>43469</v>
      </c>
      <c r="F252" s="4" t="str">
        <f>IFERROR(__xludf.DUMMYFUNCTION("""COMPUTED_VALUE"""),"10:01:00Z")</f>
        <v>10:01:00Z</v>
      </c>
      <c r="G252" s="11" t="str">
        <f t="shared" si="1"/>
        <v>10:01:00</v>
      </c>
      <c r="H252" s="10">
        <f>IFERROR(__xludf.DUMMYFUNCTION("SPLIT(D252,""T"")"),43275.0)</f>
        <v>43275</v>
      </c>
      <c r="I252" s="4" t="str">
        <f>IFERROR(__xludf.DUMMYFUNCTION("""COMPUTED_VALUE"""),"15:28:00Z")</f>
        <v>15:28:00Z</v>
      </c>
      <c r="J252" s="4" t="str">
        <f t="shared" si="2"/>
        <v>15:28:00</v>
      </c>
      <c r="K252" s="4">
        <f t="shared" si="3"/>
        <v>194</v>
      </c>
      <c r="L252" s="4">
        <f t="shared" si="4"/>
        <v>-0.2270833333</v>
      </c>
      <c r="M252" s="4">
        <f t="shared" si="5"/>
        <v>193.7729167</v>
      </c>
    </row>
    <row r="253">
      <c r="A253" s="4" t="s">
        <v>282</v>
      </c>
      <c r="B253" s="4" t="s">
        <v>2848</v>
      </c>
      <c r="C253" s="4" t="s">
        <v>2995</v>
      </c>
      <c r="D253" s="4" t="s">
        <v>2996</v>
      </c>
      <c r="E253" s="10">
        <f>IFERROR(__xludf.DUMMYFUNCTION("SPLIT(B253,""T"")"),43469.0)</f>
        <v>43469</v>
      </c>
      <c r="F253" s="4" t="str">
        <f>IFERROR(__xludf.DUMMYFUNCTION("""COMPUTED_VALUE"""),"10:00:00Z")</f>
        <v>10:00:00Z</v>
      </c>
      <c r="G253" s="11" t="str">
        <f t="shared" si="1"/>
        <v>10:00:00</v>
      </c>
      <c r="H253" s="10">
        <f>IFERROR(__xludf.DUMMYFUNCTION("SPLIT(D253,""T"")"),43275.0)</f>
        <v>43275</v>
      </c>
      <c r="I253" s="4" t="str">
        <f>IFERROR(__xludf.DUMMYFUNCTION("""COMPUTED_VALUE"""),"16:11:00Z")</f>
        <v>16:11:00Z</v>
      </c>
      <c r="J253" s="4" t="str">
        <f t="shared" si="2"/>
        <v>16:11:00</v>
      </c>
      <c r="K253" s="4">
        <f t="shared" si="3"/>
        <v>194</v>
      </c>
      <c r="L253" s="4">
        <f t="shared" si="4"/>
        <v>-0.2576388889</v>
      </c>
      <c r="M253" s="4">
        <f t="shared" si="5"/>
        <v>193.7423611</v>
      </c>
    </row>
    <row r="254">
      <c r="A254" s="4" t="s">
        <v>114</v>
      </c>
      <c r="B254" s="4" t="s">
        <v>2230</v>
      </c>
      <c r="C254" s="4" t="s">
        <v>2362</v>
      </c>
      <c r="D254" s="4" t="s">
        <v>2363</v>
      </c>
      <c r="E254" s="10">
        <f>IFERROR(__xludf.DUMMYFUNCTION("SPLIT(B254,""T"")"),43109.0)</f>
        <v>43109</v>
      </c>
      <c r="F254" s="4" t="str">
        <f>IFERROR(__xludf.DUMMYFUNCTION("""COMPUTED_VALUE"""),"11:11:00Z")</f>
        <v>11:11:00Z</v>
      </c>
      <c r="G254" s="11" t="str">
        <f t="shared" si="1"/>
        <v>11:11:00</v>
      </c>
      <c r="H254" s="10">
        <f>IFERROR(__xludf.DUMMYFUNCTION("SPLIT(D254,""T"")"),42915.0)</f>
        <v>42915</v>
      </c>
      <c r="I254" s="4" t="str">
        <f>IFERROR(__xludf.DUMMYFUNCTION("""COMPUTED_VALUE"""),"20:44:00Z")</f>
        <v>20:44:00Z</v>
      </c>
      <c r="J254" s="4" t="str">
        <f t="shared" si="2"/>
        <v>20:44:00</v>
      </c>
      <c r="K254" s="4">
        <f t="shared" si="3"/>
        <v>194</v>
      </c>
      <c r="L254" s="4">
        <f t="shared" si="4"/>
        <v>-0.3979166667</v>
      </c>
      <c r="M254" s="4">
        <f t="shared" si="5"/>
        <v>193.6020833</v>
      </c>
    </row>
    <row r="255">
      <c r="A255" s="4" t="s">
        <v>69</v>
      </c>
      <c r="B255" s="4" t="s">
        <v>1938</v>
      </c>
      <c r="C255" s="4" t="s">
        <v>1939</v>
      </c>
      <c r="D255" s="4" t="s">
        <v>1940</v>
      </c>
      <c r="E255" s="10">
        <f>IFERROR(__xludf.DUMMYFUNCTION("SPLIT(B255,""T"")"),43109.0)</f>
        <v>43109</v>
      </c>
      <c r="F255" s="4" t="str">
        <f>IFERROR(__xludf.DUMMYFUNCTION("""COMPUTED_VALUE"""),"11:16:00Z")</f>
        <v>11:16:00Z</v>
      </c>
      <c r="G255" s="11" t="str">
        <f t="shared" si="1"/>
        <v>11:16:00</v>
      </c>
      <c r="H255" s="10">
        <f>IFERROR(__xludf.DUMMYFUNCTION("SPLIT(D255,""T"")"),42916.0)</f>
        <v>42916</v>
      </c>
      <c r="I255" s="4" t="str">
        <f>IFERROR(__xludf.DUMMYFUNCTION("""COMPUTED_VALUE"""),"13:49:00Z")</f>
        <v>13:49:00Z</v>
      </c>
      <c r="J255" s="4" t="str">
        <f t="shared" si="2"/>
        <v>13:49:00</v>
      </c>
      <c r="K255" s="4">
        <f t="shared" si="3"/>
        <v>193</v>
      </c>
      <c r="L255" s="4">
        <f t="shared" si="4"/>
        <v>-0.10625</v>
      </c>
      <c r="M255" s="4">
        <f t="shared" si="5"/>
        <v>192.89375</v>
      </c>
    </row>
    <row r="256">
      <c r="A256" s="4" t="s">
        <v>58</v>
      </c>
      <c r="B256" s="4" t="s">
        <v>1938</v>
      </c>
      <c r="C256" s="4" t="s">
        <v>730</v>
      </c>
      <c r="D256" s="4" t="s">
        <v>2156</v>
      </c>
      <c r="E256" s="10">
        <f>IFERROR(__xludf.DUMMYFUNCTION("SPLIT(B256,""T"")"),43109.0)</f>
        <v>43109</v>
      </c>
      <c r="F256" s="4" t="str">
        <f>IFERROR(__xludf.DUMMYFUNCTION("""COMPUTED_VALUE"""),"11:16:00Z")</f>
        <v>11:16:00Z</v>
      </c>
      <c r="G256" s="11" t="str">
        <f t="shared" si="1"/>
        <v>11:16:00</v>
      </c>
      <c r="H256" s="10">
        <f>IFERROR(__xludf.DUMMYFUNCTION("SPLIT(D256,""T"")"),42917.0)</f>
        <v>42917</v>
      </c>
      <c r="I256" s="4" t="str">
        <f>IFERROR(__xludf.DUMMYFUNCTION("""COMPUTED_VALUE"""),"00:48:00Z")</f>
        <v>00:48:00Z</v>
      </c>
      <c r="J256" s="4" t="str">
        <f t="shared" si="2"/>
        <v>00:48:00</v>
      </c>
      <c r="K256" s="4">
        <f t="shared" si="3"/>
        <v>192</v>
      </c>
      <c r="L256" s="4">
        <f t="shared" si="4"/>
        <v>0.4361111111</v>
      </c>
      <c r="M256" s="4">
        <f t="shared" si="5"/>
        <v>192.4361111</v>
      </c>
    </row>
    <row r="257">
      <c r="A257" s="4" t="s">
        <v>149</v>
      </c>
      <c r="B257" s="4" t="s">
        <v>2848</v>
      </c>
      <c r="C257" s="4" t="s">
        <v>1219</v>
      </c>
      <c r="D257" s="4" t="s">
        <v>2849</v>
      </c>
      <c r="E257" s="10">
        <f>IFERROR(__xludf.DUMMYFUNCTION("SPLIT(B257,""T"")"),43469.0)</f>
        <v>43469</v>
      </c>
      <c r="F257" s="4" t="str">
        <f>IFERROR(__xludf.DUMMYFUNCTION("""COMPUTED_VALUE"""),"10:00:00Z")</f>
        <v>10:00:00Z</v>
      </c>
      <c r="G257" s="11" t="str">
        <f t="shared" si="1"/>
        <v>10:00:00</v>
      </c>
      <c r="H257" s="10">
        <f>IFERROR(__xludf.DUMMYFUNCTION("SPLIT(D257,""T"")"),43277.0)</f>
        <v>43277</v>
      </c>
      <c r="I257" s="4" t="str">
        <f>IFERROR(__xludf.DUMMYFUNCTION("""COMPUTED_VALUE"""),"11:16:00Z")</f>
        <v>11:16:00Z</v>
      </c>
      <c r="J257" s="4" t="str">
        <f t="shared" si="2"/>
        <v>11:16:00</v>
      </c>
      <c r="K257" s="4">
        <f t="shared" si="3"/>
        <v>192</v>
      </c>
      <c r="L257" s="4">
        <f t="shared" si="4"/>
        <v>-0.05277777778</v>
      </c>
      <c r="M257" s="4">
        <f t="shared" si="5"/>
        <v>191.9472222</v>
      </c>
    </row>
    <row r="258">
      <c r="A258" s="4" t="s">
        <v>87</v>
      </c>
      <c r="B258" s="4" t="s">
        <v>2801</v>
      </c>
      <c r="C258" s="4" t="s">
        <v>2814</v>
      </c>
      <c r="D258" s="4" t="s">
        <v>2815</v>
      </c>
      <c r="E258" s="10">
        <f>IFERROR(__xludf.DUMMYFUNCTION("SPLIT(B258,""T"")"),43469.0)</f>
        <v>43469</v>
      </c>
      <c r="F258" s="4" t="str">
        <f>IFERROR(__xludf.DUMMYFUNCTION("""COMPUTED_VALUE"""),"09:59:00Z")</f>
        <v>09:59:00Z</v>
      </c>
      <c r="G258" s="11" t="str">
        <f t="shared" si="1"/>
        <v>09:59:00</v>
      </c>
      <c r="H258" s="10">
        <f>IFERROR(__xludf.DUMMYFUNCTION("SPLIT(D258,""T"")"),43277.0)</f>
        <v>43277</v>
      </c>
      <c r="I258" s="4" t="str">
        <f>IFERROR(__xludf.DUMMYFUNCTION("""COMPUTED_VALUE"""),"12:56:00Z")</f>
        <v>12:56:00Z</v>
      </c>
      <c r="J258" s="4" t="str">
        <f t="shared" si="2"/>
        <v>12:56:00</v>
      </c>
      <c r="K258" s="4">
        <f t="shared" si="3"/>
        <v>192</v>
      </c>
      <c r="L258" s="4">
        <f t="shared" si="4"/>
        <v>-0.1229166667</v>
      </c>
      <c r="M258" s="4">
        <f t="shared" si="5"/>
        <v>191.8770833</v>
      </c>
    </row>
    <row r="259">
      <c r="A259" s="4" t="s">
        <v>388</v>
      </c>
      <c r="B259" s="4" t="s">
        <v>1938</v>
      </c>
      <c r="C259" s="4" t="s">
        <v>709</v>
      </c>
      <c r="D259" s="4" t="s">
        <v>2605</v>
      </c>
      <c r="E259" s="10">
        <f>IFERROR(__xludf.DUMMYFUNCTION("SPLIT(B259,""T"")"),43109.0)</f>
        <v>43109</v>
      </c>
      <c r="F259" s="4" t="str">
        <f>IFERROR(__xludf.DUMMYFUNCTION("""COMPUTED_VALUE"""),"11:16:00Z")</f>
        <v>11:16:00Z</v>
      </c>
      <c r="G259" s="11" t="str">
        <f t="shared" si="1"/>
        <v>11:16:00</v>
      </c>
      <c r="H259" s="10">
        <f>IFERROR(__xludf.DUMMYFUNCTION("SPLIT(D259,""T"")"),42918.0)</f>
        <v>42918</v>
      </c>
      <c r="I259" s="4" t="str">
        <f>IFERROR(__xludf.DUMMYFUNCTION("""COMPUTED_VALUE"""),"12:41:00Z")</f>
        <v>12:41:00Z</v>
      </c>
      <c r="J259" s="4" t="str">
        <f t="shared" si="2"/>
        <v>12:41:00</v>
      </c>
      <c r="K259" s="4">
        <f t="shared" si="3"/>
        <v>191</v>
      </c>
      <c r="L259" s="4">
        <f t="shared" si="4"/>
        <v>-0.05902777778</v>
      </c>
      <c r="M259" s="4">
        <f t="shared" si="5"/>
        <v>190.9409722</v>
      </c>
    </row>
    <row r="260">
      <c r="A260" s="4" t="s">
        <v>27</v>
      </c>
      <c r="B260" s="4" t="s">
        <v>1938</v>
      </c>
      <c r="C260" s="4" t="s">
        <v>2586</v>
      </c>
      <c r="D260" s="4" t="s">
        <v>2587</v>
      </c>
      <c r="E260" s="10">
        <f>IFERROR(__xludf.DUMMYFUNCTION("SPLIT(B260,""T"")"),43109.0)</f>
        <v>43109</v>
      </c>
      <c r="F260" s="4" t="str">
        <f>IFERROR(__xludf.DUMMYFUNCTION("""COMPUTED_VALUE"""),"11:16:00Z")</f>
        <v>11:16:00Z</v>
      </c>
      <c r="G260" s="11" t="str">
        <f t="shared" si="1"/>
        <v>11:16:00</v>
      </c>
      <c r="H260" s="10">
        <f>IFERROR(__xludf.DUMMYFUNCTION("SPLIT(D260,""T"")"),42918.0)</f>
        <v>42918</v>
      </c>
      <c r="I260" s="4" t="str">
        <f>IFERROR(__xludf.DUMMYFUNCTION("""COMPUTED_VALUE"""),"13:04:00Z")</f>
        <v>13:04:00Z</v>
      </c>
      <c r="J260" s="4" t="str">
        <f t="shared" si="2"/>
        <v>13:04:00</v>
      </c>
      <c r="K260" s="4">
        <f t="shared" si="3"/>
        <v>191</v>
      </c>
      <c r="L260" s="4">
        <f t="shared" si="4"/>
        <v>-0.075</v>
      </c>
      <c r="M260" s="4">
        <f t="shared" si="5"/>
        <v>190.925</v>
      </c>
    </row>
    <row r="261">
      <c r="A261" s="4" t="s">
        <v>101</v>
      </c>
      <c r="B261" s="4" t="s">
        <v>2079</v>
      </c>
      <c r="C261" s="4" t="s">
        <v>1598</v>
      </c>
      <c r="D261" s="4" t="s">
        <v>2080</v>
      </c>
      <c r="E261" s="10">
        <f>IFERROR(__xludf.DUMMYFUNCTION("SPLIT(B261,""T"")"),43109.0)</f>
        <v>43109</v>
      </c>
      <c r="F261" s="4" t="str">
        <f>IFERROR(__xludf.DUMMYFUNCTION("""COMPUTED_VALUE"""),"11:17:00Z")</f>
        <v>11:17:00Z</v>
      </c>
      <c r="G261" s="11" t="str">
        <f t="shared" si="1"/>
        <v>11:17:00</v>
      </c>
      <c r="H261" s="10">
        <f>IFERROR(__xludf.DUMMYFUNCTION("SPLIT(D261,""T"")"),42918.0)</f>
        <v>42918</v>
      </c>
      <c r="I261" s="4" t="str">
        <f>IFERROR(__xludf.DUMMYFUNCTION("""COMPUTED_VALUE"""),"13:36:00Z")</f>
        <v>13:36:00Z</v>
      </c>
      <c r="J261" s="4" t="str">
        <f t="shared" si="2"/>
        <v>13:36:00</v>
      </c>
      <c r="K261" s="4">
        <f t="shared" si="3"/>
        <v>191</v>
      </c>
      <c r="L261" s="4">
        <f t="shared" si="4"/>
        <v>-0.09652777778</v>
      </c>
      <c r="M261" s="4">
        <f t="shared" si="5"/>
        <v>190.9034722</v>
      </c>
    </row>
    <row r="262">
      <c r="A262" s="4" t="s">
        <v>87</v>
      </c>
      <c r="B262" s="4" t="s">
        <v>2079</v>
      </c>
      <c r="C262" s="4" t="s">
        <v>2564</v>
      </c>
      <c r="D262" s="4" t="s">
        <v>2565</v>
      </c>
      <c r="E262" s="10">
        <f>IFERROR(__xludf.DUMMYFUNCTION("SPLIT(B262,""T"")"),43109.0)</f>
        <v>43109</v>
      </c>
      <c r="F262" s="4" t="str">
        <f>IFERROR(__xludf.DUMMYFUNCTION("""COMPUTED_VALUE"""),"11:17:00Z")</f>
        <v>11:17:00Z</v>
      </c>
      <c r="G262" s="11" t="str">
        <f t="shared" si="1"/>
        <v>11:17:00</v>
      </c>
      <c r="H262" s="10">
        <f>IFERROR(__xludf.DUMMYFUNCTION("SPLIT(D262,""T"")"),42918.0)</f>
        <v>42918</v>
      </c>
      <c r="I262" s="4" t="str">
        <f>IFERROR(__xludf.DUMMYFUNCTION("""COMPUTED_VALUE"""),"13:43:00Z")</f>
        <v>13:43:00Z</v>
      </c>
      <c r="J262" s="4" t="str">
        <f t="shared" si="2"/>
        <v>13:43:00</v>
      </c>
      <c r="K262" s="4">
        <f t="shared" si="3"/>
        <v>191</v>
      </c>
      <c r="L262" s="4">
        <f t="shared" si="4"/>
        <v>-0.1013888889</v>
      </c>
      <c r="M262" s="4">
        <f t="shared" si="5"/>
        <v>190.8986111</v>
      </c>
    </row>
    <row r="263">
      <c r="A263" s="4" t="s">
        <v>39</v>
      </c>
      <c r="B263" s="4" t="s">
        <v>2801</v>
      </c>
      <c r="C263" s="4" t="s">
        <v>2981</v>
      </c>
      <c r="D263" s="4" t="s">
        <v>2982</v>
      </c>
      <c r="E263" s="10">
        <f>IFERROR(__xludf.DUMMYFUNCTION("SPLIT(B263,""T"")"),43469.0)</f>
        <v>43469</v>
      </c>
      <c r="F263" s="4" t="str">
        <f>IFERROR(__xludf.DUMMYFUNCTION("""COMPUTED_VALUE"""),"09:59:00Z")</f>
        <v>09:59:00Z</v>
      </c>
      <c r="G263" s="11" t="str">
        <f t="shared" si="1"/>
        <v>09:59:00</v>
      </c>
      <c r="H263" s="10">
        <f>IFERROR(__xludf.DUMMYFUNCTION("SPLIT(D263,""T"")"),43278.0)</f>
        <v>43278</v>
      </c>
      <c r="I263" s="4" t="str">
        <f>IFERROR(__xludf.DUMMYFUNCTION("""COMPUTED_VALUE"""),"12:39:00Z")</f>
        <v>12:39:00Z</v>
      </c>
      <c r="J263" s="4" t="str">
        <f t="shared" si="2"/>
        <v>12:39:00</v>
      </c>
      <c r="K263" s="4">
        <f t="shared" si="3"/>
        <v>191</v>
      </c>
      <c r="L263" s="4">
        <f t="shared" si="4"/>
        <v>-0.1111111111</v>
      </c>
      <c r="M263" s="4">
        <f t="shared" si="5"/>
        <v>190.8888889</v>
      </c>
    </row>
    <row r="264">
      <c r="A264" s="4" t="s">
        <v>320</v>
      </c>
      <c r="B264" s="4" t="s">
        <v>2801</v>
      </c>
      <c r="C264" s="4" t="s">
        <v>2802</v>
      </c>
      <c r="D264" s="4" t="s">
        <v>2803</v>
      </c>
      <c r="E264" s="10">
        <f>IFERROR(__xludf.DUMMYFUNCTION("SPLIT(B264,""T"")"),43469.0)</f>
        <v>43469</v>
      </c>
      <c r="F264" s="4" t="str">
        <f>IFERROR(__xludf.DUMMYFUNCTION("""COMPUTED_VALUE"""),"09:59:00Z")</f>
        <v>09:59:00Z</v>
      </c>
      <c r="G264" s="11" t="str">
        <f t="shared" si="1"/>
        <v>09:59:00</v>
      </c>
      <c r="H264" s="10">
        <f>IFERROR(__xludf.DUMMYFUNCTION("SPLIT(D264,""T"")"),43278.0)</f>
        <v>43278</v>
      </c>
      <c r="I264" s="4" t="str">
        <f>IFERROR(__xludf.DUMMYFUNCTION("""COMPUTED_VALUE"""),"15:09:00Z")</f>
        <v>15:09:00Z</v>
      </c>
      <c r="J264" s="4" t="str">
        <f t="shared" si="2"/>
        <v>15:09:00</v>
      </c>
      <c r="K264" s="4">
        <f t="shared" si="3"/>
        <v>191</v>
      </c>
      <c r="L264" s="4">
        <f t="shared" si="4"/>
        <v>-0.2152777778</v>
      </c>
      <c r="M264" s="4">
        <f t="shared" si="5"/>
        <v>190.7847222</v>
      </c>
    </row>
    <row r="265">
      <c r="A265" s="4" t="s">
        <v>46</v>
      </c>
      <c r="B265" s="4" t="s">
        <v>2801</v>
      </c>
      <c r="C265" s="4" t="s">
        <v>500</v>
      </c>
      <c r="D265" s="4" t="s">
        <v>3010</v>
      </c>
      <c r="E265" s="10">
        <f>IFERROR(__xludf.DUMMYFUNCTION("SPLIT(B265,""T"")"),43469.0)</f>
        <v>43469</v>
      </c>
      <c r="F265" s="4" t="str">
        <f>IFERROR(__xludf.DUMMYFUNCTION("""COMPUTED_VALUE"""),"09:59:00Z")</f>
        <v>09:59:00Z</v>
      </c>
      <c r="G265" s="11" t="str">
        <f t="shared" si="1"/>
        <v>09:59:00</v>
      </c>
      <c r="H265" s="10">
        <f>IFERROR(__xludf.DUMMYFUNCTION("SPLIT(D265,""T"")"),43278.0)</f>
        <v>43278</v>
      </c>
      <c r="I265" s="4" t="str">
        <f>IFERROR(__xludf.DUMMYFUNCTION("""COMPUTED_VALUE"""),"19:46:00Z")</f>
        <v>19:46:00Z</v>
      </c>
      <c r="J265" s="4" t="str">
        <f t="shared" si="2"/>
        <v>19:46:00</v>
      </c>
      <c r="K265" s="4">
        <f t="shared" si="3"/>
        <v>191</v>
      </c>
      <c r="L265" s="4">
        <f t="shared" si="4"/>
        <v>-0.4076388889</v>
      </c>
      <c r="M265" s="4">
        <f t="shared" si="5"/>
        <v>190.5923611</v>
      </c>
    </row>
    <row r="266">
      <c r="A266" s="4" t="s">
        <v>39</v>
      </c>
      <c r="B266" s="4" t="s">
        <v>1916</v>
      </c>
      <c r="C266" s="4" t="s">
        <v>1917</v>
      </c>
      <c r="D266" s="4" t="s">
        <v>1918</v>
      </c>
      <c r="E266" s="10">
        <f>IFERROR(__xludf.DUMMYFUNCTION("SPLIT(B266,""T"")"),43109.0)</f>
        <v>43109</v>
      </c>
      <c r="F266" s="4" t="str">
        <f>IFERROR(__xludf.DUMMYFUNCTION("""COMPUTED_VALUE"""),"11:41:00Z")</f>
        <v>11:41:00Z</v>
      </c>
      <c r="G266" s="11" t="str">
        <f t="shared" si="1"/>
        <v>11:41:00</v>
      </c>
      <c r="H266" s="10">
        <f>IFERROR(__xludf.DUMMYFUNCTION("SPLIT(D266,""T"")"),42918.0)</f>
        <v>42918</v>
      </c>
      <c r="I266" s="4" t="str">
        <f>IFERROR(__xludf.DUMMYFUNCTION("""COMPUTED_VALUE"""),"22:28:00Z")</f>
        <v>22:28:00Z</v>
      </c>
      <c r="J266" s="4" t="str">
        <f t="shared" si="2"/>
        <v>22:28:00</v>
      </c>
      <c r="K266" s="4">
        <f t="shared" si="3"/>
        <v>191</v>
      </c>
      <c r="L266" s="4">
        <f t="shared" si="4"/>
        <v>-0.4493055556</v>
      </c>
      <c r="M266" s="4">
        <f t="shared" si="5"/>
        <v>190.5506944</v>
      </c>
    </row>
    <row r="267">
      <c r="A267" s="4" t="s">
        <v>27</v>
      </c>
      <c r="B267" s="4" t="s">
        <v>1916</v>
      </c>
      <c r="C267" s="4" t="s">
        <v>1278</v>
      </c>
      <c r="D267" s="4" t="s">
        <v>2604</v>
      </c>
      <c r="E267" s="10">
        <f>IFERROR(__xludf.DUMMYFUNCTION("SPLIT(B267,""T"")"),43109.0)</f>
        <v>43109</v>
      </c>
      <c r="F267" s="4" t="str">
        <f>IFERROR(__xludf.DUMMYFUNCTION("""COMPUTED_VALUE"""),"11:41:00Z")</f>
        <v>11:41:00Z</v>
      </c>
      <c r="G267" s="11" t="str">
        <f t="shared" si="1"/>
        <v>11:41:00</v>
      </c>
      <c r="H267" s="10">
        <f>IFERROR(__xludf.DUMMYFUNCTION("SPLIT(D267,""T"")"),42919.0)</f>
        <v>42919</v>
      </c>
      <c r="I267" s="4" t="str">
        <f>IFERROR(__xludf.DUMMYFUNCTION("""COMPUTED_VALUE"""),"13:34:00Z")</f>
        <v>13:34:00Z</v>
      </c>
      <c r="J267" s="4" t="str">
        <f t="shared" si="2"/>
        <v>13:34:00</v>
      </c>
      <c r="K267" s="4">
        <f t="shared" si="3"/>
        <v>190</v>
      </c>
      <c r="L267" s="4">
        <f t="shared" si="4"/>
        <v>-0.07847222222</v>
      </c>
      <c r="M267" s="4">
        <f t="shared" si="5"/>
        <v>189.9215278</v>
      </c>
    </row>
    <row r="268">
      <c r="A268" s="4" t="s">
        <v>27</v>
      </c>
      <c r="B268" s="4" t="s">
        <v>1916</v>
      </c>
      <c r="C268" s="4" t="s">
        <v>2334</v>
      </c>
      <c r="D268" s="4" t="s">
        <v>2335</v>
      </c>
      <c r="E268" s="10">
        <f>IFERROR(__xludf.DUMMYFUNCTION("SPLIT(B268,""T"")"),43109.0)</f>
        <v>43109</v>
      </c>
      <c r="F268" s="4" t="str">
        <f>IFERROR(__xludf.DUMMYFUNCTION("""COMPUTED_VALUE"""),"11:41:00Z")</f>
        <v>11:41:00Z</v>
      </c>
      <c r="G268" s="11" t="str">
        <f t="shared" si="1"/>
        <v>11:41:00</v>
      </c>
      <c r="H268" s="10">
        <f>IFERROR(__xludf.DUMMYFUNCTION("SPLIT(D268,""T"")"),42919.0)</f>
        <v>42919</v>
      </c>
      <c r="I268" s="4" t="str">
        <f>IFERROR(__xludf.DUMMYFUNCTION("""COMPUTED_VALUE"""),"15:14:00Z")</f>
        <v>15:14:00Z</v>
      </c>
      <c r="J268" s="4" t="str">
        <f t="shared" si="2"/>
        <v>15:14:00</v>
      </c>
      <c r="K268" s="4">
        <f t="shared" si="3"/>
        <v>190</v>
      </c>
      <c r="L268" s="4">
        <f t="shared" si="4"/>
        <v>-0.1479166667</v>
      </c>
      <c r="M268" s="4">
        <f t="shared" si="5"/>
        <v>189.8520833</v>
      </c>
    </row>
    <row r="269">
      <c r="A269" s="4" t="s">
        <v>27</v>
      </c>
      <c r="B269" s="4" t="s">
        <v>2419</v>
      </c>
      <c r="C269" s="4" t="s">
        <v>2443</v>
      </c>
      <c r="D269" s="4" t="s">
        <v>2444</v>
      </c>
      <c r="E269" s="10">
        <f>IFERROR(__xludf.DUMMYFUNCTION("SPLIT(B269,""T"")"),43109.0)</f>
        <v>43109</v>
      </c>
      <c r="F269" s="4" t="str">
        <f>IFERROR(__xludf.DUMMYFUNCTION("""COMPUTED_VALUE"""),"11:42:00Z")</f>
        <v>11:42:00Z</v>
      </c>
      <c r="G269" s="11" t="str">
        <f t="shared" si="1"/>
        <v>11:42:00</v>
      </c>
      <c r="H269" s="10">
        <f>IFERROR(__xludf.DUMMYFUNCTION("SPLIT(D269,""T"")"),42919.0)</f>
        <v>42919</v>
      </c>
      <c r="I269" s="4" t="str">
        <f>IFERROR(__xludf.DUMMYFUNCTION("""COMPUTED_VALUE"""),"19:31:00Z")</f>
        <v>19:31:00Z</v>
      </c>
      <c r="J269" s="4" t="str">
        <f t="shared" si="2"/>
        <v>19:31:00</v>
      </c>
      <c r="K269" s="4">
        <f t="shared" si="3"/>
        <v>190</v>
      </c>
      <c r="L269" s="4">
        <f t="shared" si="4"/>
        <v>-0.3256944444</v>
      </c>
      <c r="M269" s="4">
        <f t="shared" si="5"/>
        <v>189.6743056</v>
      </c>
    </row>
    <row r="270">
      <c r="A270" s="4" t="s">
        <v>630</v>
      </c>
      <c r="B270" s="4" t="s">
        <v>2801</v>
      </c>
      <c r="C270" s="4" t="s">
        <v>1015</v>
      </c>
      <c r="D270" s="4" t="s">
        <v>2823</v>
      </c>
      <c r="E270" s="10">
        <f>IFERROR(__xludf.DUMMYFUNCTION("SPLIT(B270,""T"")"),43469.0)</f>
        <v>43469</v>
      </c>
      <c r="F270" s="4" t="str">
        <f>IFERROR(__xludf.DUMMYFUNCTION("""COMPUTED_VALUE"""),"09:59:00Z")</f>
        <v>09:59:00Z</v>
      </c>
      <c r="G270" s="11" t="str">
        <f t="shared" si="1"/>
        <v>09:59:00</v>
      </c>
      <c r="H270" s="10">
        <f>IFERROR(__xludf.DUMMYFUNCTION("SPLIT(D270,""T"")"),43279.0)</f>
        <v>43279</v>
      </c>
      <c r="I270" s="4" t="str">
        <f>IFERROR(__xludf.DUMMYFUNCTION("""COMPUTED_VALUE"""),"18:01:00Z")</f>
        <v>18:01:00Z</v>
      </c>
      <c r="J270" s="4" t="str">
        <f t="shared" si="2"/>
        <v>18:01:00</v>
      </c>
      <c r="K270" s="4">
        <f t="shared" si="3"/>
        <v>190</v>
      </c>
      <c r="L270" s="4">
        <f t="shared" si="4"/>
        <v>-0.3347222222</v>
      </c>
      <c r="M270" s="4">
        <f t="shared" si="5"/>
        <v>189.6652778</v>
      </c>
    </row>
    <row r="271" hidden="1">
      <c r="A271" s="4" t="s">
        <v>39</v>
      </c>
      <c r="B271" s="4" t="s">
        <v>816</v>
      </c>
      <c r="C271" s="4" t="s">
        <v>817</v>
      </c>
      <c r="D271" s="4" t="s">
        <v>785</v>
      </c>
      <c r="E271" s="10">
        <f>IFERROR(__xludf.DUMMYFUNCTION("SPLIT(B271,""T"")"),41799.0)</f>
        <v>41799</v>
      </c>
      <c r="F271" s="4" t="str">
        <f>IFERROR(__xludf.DUMMYFUNCTION("""COMPUTED_VALUE"""),"19:15:00Z")</f>
        <v>19:15:00Z</v>
      </c>
      <c r="G271" s="11" t="str">
        <f t="shared" si="1"/>
        <v>19:15:00</v>
      </c>
      <c r="H271" s="10">
        <f>IFERROR(__xludf.DUMMYFUNCTION("SPLIT(D271,""T"")"),41801.0)</f>
        <v>41801</v>
      </c>
      <c r="I271" s="4" t="str">
        <f>IFERROR(__xludf.DUMMYFUNCTION("""COMPUTED_VALUE"""),"07:30:00Z")</f>
        <v>07:30:00Z</v>
      </c>
      <c r="J271" s="4" t="str">
        <f t="shared" si="2"/>
        <v>07:30:00</v>
      </c>
      <c r="K271" s="4">
        <f t="shared" si="3"/>
        <v>-2</v>
      </c>
      <c r="L271" s="4">
        <f t="shared" si="4"/>
        <v>0.4895833333</v>
      </c>
      <c r="M271" s="4">
        <f t="shared" si="5"/>
        <v>-1.510416667</v>
      </c>
    </row>
    <row r="272" hidden="1">
      <c r="A272" s="4" t="s">
        <v>130</v>
      </c>
      <c r="B272" s="4" t="s">
        <v>818</v>
      </c>
      <c r="C272" s="4" t="s">
        <v>819</v>
      </c>
      <c r="D272" s="4" t="s">
        <v>820</v>
      </c>
      <c r="E272" s="10">
        <f>IFERROR(__xludf.DUMMYFUNCTION("SPLIT(B272,""T"")"),41907.0)</f>
        <v>41907</v>
      </c>
      <c r="F272" s="4" t="str">
        <f>IFERROR(__xludf.DUMMYFUNCTION("""COMPUTED_VALUE"""),"07:27:00Z")</f>
        <v>07:27:00Z</v>
      </c>
      <c r="G272" s="11" t="str">
        <f t="shared" si="1"/>
        <v>07:27:00</v>
      </c>
      <c r="H272" s="10">
        <f>IFERROR(__xludf.DUMMYFUNCTION("SPLIT(D272,""T"")"),41907.0)</f>
        <v>41907</v>
      </c>
      <c r="I272" s="4" t="str">
        <f>IFERROR(__xludf.DUMMYFUNCTION("""COMPUTED_VALUE"""),"18:00:00Z")</f>
        <v>18:00:00Z</v>
      </c>
      <c r="J272" s="4" t="str">
        <f t="shared" si="2"/>
        <v>18:00:00</v>
      </c>
      <c r="K272" s="4">
        <f t="shared" si="3"/>
        <v>0</v>
      </c>
      <c r="L272" s="4">
        <f t="shared" si="4"/>
        <v>-0.4395833333</v>
      </c>
      <c r="M272" s="4">
        <f t="shared" si="5"/>
        <v>-0.4395833333</v>
      </c>
    </row>
    <row r="273">
      <c r="A273" s="4" t="s">
        <v>134</v>
      </c>
      <c r="B273" s="4" t="s">
        <v>2419</v>
      </c>
      <c r="C273" s="4" t="s">
        <v>44</v>
      </c>
      <c r="D273" s="4" t="s">
        <v>2575</v>
      </c>
      <c r="E273" s="10">
        <f>IFERROR(__xludf.DUMMYFUNCTION("SPLIT(B273,""T"")"),43109.0)</f>
        <v>43109</v>
      </c>
      <c r="F273" s="4" t="str">
        <f>IFERROR(__xludf.DUMMYFUNCTION("""COMPUTED_VALUE"""),"11:42:00Z")</f>
        <v>11:42:00Z</v>
      </c>
      <c r="G273" s="11" t="str">
        <f t="shared" si="1"/>
        <v>11:42:00</v>
      </c>
      <c r="H273" s="10">
        <f>IFERROR(__xludf.DUMMYFUNCTION("SPLIT(D273,""T"")"),42920.0)</f>
        <v>42920</v>
      </c>
      <c r="I273" s="4" t="str">
        <f>IFERROR(__xludf.DUMMYFUNCTION("""COMPUTED_VALUE"""),"13:15:00Z")</f>
        <v>13:15:00Z</v>
      </c>
      <c r="J273" s="4" t="str">
        <f t="shared" si="2"/>
        <v>13:15:00</v>
      </c>
      <c r="K273" s="4">
        <f t="shared" si="3"/>
        <v>189</v>
      </c>
      <c r="L273" s="4">
        <f t="shared" si="4"/>
        <v>-0.06458333333</v>
      </c>
      <c r="M273" s="4">
        <f t="shared" si="5"/>
        <v>188.9354167</v>
      </c>
    </row>
    <row r="274">
      <c r="A274" s="4" t="s">
        <v>39</v>
      </c>
      <c r="B274" s="4" t="s">
        <v>2302</v>
      </c>
      <c r="C274" s="4" t="s">
        <v>2303</v>
      </c>
      <c r="D274" s="4" t="s">
        <v>2304</v>
      </c>
      <c r="E274" s="10">
        <f>IFERROR(__xludf.DUMMYFUNCTION("SPLIT(B274,""T"")"),43109.0)</f>
        <v>43109</v>
      </c>
      <c r="F274" s="4" t="str">
        <f>IFERROR(__xludf.DUMMYFUNCTION("""COMPUTED_VALUE"""),"11:43:00Z")</f>
        <v>11:43:00Z</v>
      </c>
      <c r="G274" s="11" t="str">
        <f t="shared" si="1"/>
        <v>11:43:00</v>
      </c>
      <c r="H274" s="10">
        <f>IFERROR(__xludf.DUMMYFUNCTION("SPLIT(D274,""T"")"),42920.0)</f>
        <v>42920</v>
      </c>
      <c r="I274" s="4" t="str">
        <f>IFERROR(__xludf.DUMMYFUNCTION("""COMPUTED_VALUE"""),"13:21:00Z")</f>
        <v>13:21:00Z</v>
      </c>
      <c r="J274" s="4" t="str">
        <f t="shared" si="2"/>
        <v>13:21:00</v>
      </c>
      <c r="K274" s="4">
        <f t="shared" si="3"/>
        <v>189</v>
      </c>
      <c r="L274" s="4">
        <f t="shared" si="4"/>
        <v>-0.06805555556</v>
      </c>
      <c r="M274" s="4">
        <f t="shared" si="5"/>
        <v>188.9319444</v>
      </c>
    </row>
    <row r="275">
      <c r="A275" s="4" t="s">
        <v>170</v>
      </c>
      <c r="B275" s="4" t="s">
        <v>2419</v>
      </c>
      <c r="C275" s="4" t="s">
        <v>440</v>
      </c>
      <c r="D275" s="4" t="s">
        <v>2304</v>
      </c>
      <c r="E275" s="10">
        <f>IFERROR(__xludf.DUMMYFUNCTION("SPLIT(B275,""T"")"),43109.0)</f>
        <v>43109</v>
      </c>
      <c r="F275" s="4" t="str">
        <f>IFERROR(__xludf.DUMMYFUNCTION("""COMPUTED_VALUE"""),"11:42:00Z")</f>
        <v>11:42:00Z</v>
      </c>
      <c r="G275" s="11" t="str">
        <f t="shared" si="1"/>
        <v>11:42:00</v>
      </c>
      <c r="H275" s="10">
        <f>IFERROR(__xludf.DUMMYFUNCTION("SPLIT(D275,""T"")"),42920.0)</f>
        <v>42920</v>
      </c>
      <c r="I275" s="4" t="str">
        <f>IFERROR(__xludf.DUMMYFUNCTION("""COMPUTED_VALUE"""),"13:21:00Z")</f>
        <v>13:21:00Z</v>
      </c>
      <c r="J275" s="4" t="str">
        <f t="shared" si="2"/>
        <v>13:21:00</v>
      </c>
      <c r="K275" s="4">
        <f t="shared" si="3"/>
        <v>189</v>
      </c>
      <c r="L275" s="4">
        <f t="shared" si="4"/>
        <v>-0.06875</v>
      </c>
      <c r="M275" s="4">
        <f t="shared" si="5"/>
        <v>188.93125</v>
      </c>
    </row>
    <row r="276">
      <c r="A276" s="4" t="s">
        <v>87</v>
      </c>
      <c r="B276" s="4" t="s">
        <v>2690</v>
      </c>
      <c r="C276" s="4" t="s">
        <v>3232</v>
      </c>
      <c r="D276" s="4" t="s">
        <v>3233</v>
      </c>
      <c r="E276" s="10">
        <f>IFERROR(__xludf.DUMMYFUNCTION("SPLIT(B276,""T"")"),43469.0)</f>
        <v>43469</v>
      </c>
      <c r="F276" s="4" t="str">
        <f>IFERROR(__xludf.DUMMYFUNCTION("""COMPUTED_VALUE"""),"09:58:00Z")</f>
        <v>09:58:00Z</v>
      </c>
      <c r="G276" s="11" t="str">
        <f t="shared" si="1"/>
        <v>09:58:00</v>
      </c>
      <c r="H276" s="10">
        <f>IFERROR(__xludf.DUMMYFUNCTION("SPLIT(D276,""T"")"),43280.0)</f>
        <v>43280</v>
      </c>
      <c r="I276" s="4" t="str">
        <f>IFERROR(__xludf.DUMMYFUNCTION("""COMPUTED_VALUE"""),"11:44:00Z")</f>
        <v>11:44:00Z</v>
      </c>
      <c r="J276" s="4" t="str">
        <f t="shared" si="2"/>
        <v>11:44:00</v>
      </c>
      <c r="K276" s="4">
        <f t="shared" si="3"/>
        <v>189</v>
      </c>
      <c r="L276" s="4">
        <f t="shared" si="4"/>
        <v>-0.07361111111</v>
      </c>
      <c r="M276" s="4">
        <f t="shared" si="5"/>
        <v>188.9263889</v>
      </c>
    </row>
    <row r="277">
      <c r="A277" s="4" t="s">
        <v>35</v>
      </c>
      <c r="B277" s="4" t="s">
        <v>2302</v>
      </c>
      <c r="C277" s="4" t="s">
        <v>1234</v>
      </c>
      <c r="D277" s="4" t="s">
        <v>2333</v>
      </c>
      <c r="E277" s="10">
        <f>IFERROR(__xludf.DUMMYFUNCTION("SPLIT(B277,""T"")"),43109.0)</f>
        <v>43109</v>
      </c>
      <c r="F277" s="4" t="str">
        <f>IFERROR(__xludf.DUMMYFUNCTION("""COMPUTED_VALUE"""),"11:43:00Z")</f>
        <v>11:43:00Z</v>
      </c>
      <c r="G277" s="11" t="str">
        <f t="shared" si="1"/>
        <v>11:43:00</v>
      </c>
      <c r="H277" s="10">
        <f>IFERROR(__xludf.DUMMYFUNCTION("SPLIT(D277,""T"")"),42920.0)</f>
        <v>42920</v>
      </c>
      <c r="I277" s="4" t="str">
        <f>IFERROR(__xludf.DUMMYFUNCTION("""COMPUTED_VALUE"""),"14:45:00Z")</f>
        <v>14:45:00Z</v>
      </c>
      <c r="J277" s="4" t="str">
        <f t="shared" si="2"/>
        <v>14:45:00</v>
      </c>
      <c r="K277" s="4">
        <f t="shared" si="3"/>
        <v>189</v>
      </c>
      <c r="L277" s="4">
        <f t="shared" si="4"/>
        <v>-0.1263888889</v>
      </c>
      <c r="M277" s="4">
        <f t="shared" si="5"/>
        <v>188.8736111</v>
      </c>
    </row>
    <row r="278">
      <c r="A278" s="4" t="s">
        <v>27</v>
      </c>
      <c r="B278" s="4" t="s">
        <v>2302</v>
      </c>
      <c r="C278" s="4" t="s">
        <v>175</v>
      </c>
      <c r="D278" s="4" t="s">
        <v>2408</v>
      </c>
      <c r="E278" s="10">
        <f>IFERROR(__xludf.DUMMYFUNCTION("SPLIT(B278,""T"")"),43109.0)</f>
        <v>43109</v>
      </c>
      <c r="F278" s="4" t="str">
        <f>IFERROR(__xludf.DUMMYFUNCTION("""COMPUTED_VALUE"""),"11:43:00Z")</f>
        <v>11:43:00Z</v>
      </c>
      <c r="G278" s="11" t="str">
        <f t="shared" si="1"/>
        <v>11:43:00</v>
      </c>
      <c r="H278" s="10">
        <f>IFERROR(__xludf.DUMMYFUNCTION("SPLIT(D278,""T"")"),42920.0)</f>
        <v>42920</v>
      </c>
      <c r="I278" s="4" t="str">
        <f>IFERROR(__xludf.DUMMYFUNCTION("""COMPUTED_VALUE"""),"15:20:00Z")</f>
        <v>15:20:00Z</v>
      </c>
      <c r="J278" s="4" t="str">
        <f t="shared" si="2"/>
        <v>15:20:00</v>
      </c>
      <c r="K278" s="4">
        <f t="shared" si="3"/>
        <v>189</v>
      </c>
      <c r="L278" s="4">
        <f t="shared" si="4"/>
        <v>-0.1506944444</v>
      </c>
      <c r="M278" s="4">
        <f t="shared" si="5"/>
        <v>188.8493056</v>
      </c>
    </row>
    <row r="279">
      <c r="A279" s="4" t="s">
        <v>46</v>
      </c>
      <c r="B279" s="4" t="s">
        <v>2302</v>
      </c>
      <c r="C279" s="4" t="s">
        <v>2633</v>
      </c>
      <c r="D279" s="4" t="s">
        <v>2634</v>
      </c>
      <c r="E279" s="10">
        <f>IFERROR(__xludf.DUMMYFUNCTION("SPLIT(B279,""T"")"),43109.0)</f>
        <v>43109</v>
      </c>
      <c r="F279" s="4" t="str">
        <f>IFERROR(__xludf.DUMMYFUNCTION("""COMPUTED_VALUE"""),"11:43:00Z")</f>
        <v>11:43:00Z</v>
      </c>
      <c r="G279" s="11" t="str">
        <f t="shared" si="1"/>
        <v>11:43:00</v>
      </c>
      <c r="H279" s="10">
        <f>IFERROR(__xludf.DUMMYFUNCTION("SPLIT(D279,""T"")"),42920.0)</f>
        <v>42920</v>
      </c>
      <c r="I279" s="4" t="str">
        <f>IFERROR(__xludf.DUMMYFUNCTION("""COMPUTED_VALUE"""),"15:21:00Z")</f>
        <v>15:21:00Z</v>
      </c>
      <c r="J279" s="4" t="str">
        <f t="shared" si="2"/>
        <v>15:21:00</v>
      </c>
      <c r="K279" s="4">
        <f t="shared" si="3"/>
        <v>189</v>
      </c>
      <c r="L279" s="4">
        <f t="shared" si="4"/>
        <v>-0.1513888889</v>
      </c>
      <c r="M279" s="4">
        <f t="shared" si="5"/>
        <v>188.8486111</v>
      </c>
    </row>
    <row r="280">
      <c r="A280" s="4" t="s">
        <v>87</v>
      </c>
      <c r="B280" s="4" t="s">
        <v>2302</v>
      </c>
      <c r="C280" s="4" t="s">
        <v>2529</v>
      </c>
      <c r="D280" s="4" t="s">
        <v>2530</v>
      </c>
      <c r="E280" s="10">
        <f>IFERROR(__xludf.DUMMYFUNCTION("SPLIT(B280,""T"")"),43109.0)</f>
        <v>43109</v>
      </c>
      <c r="F280" s="4" t="str">
        <f>IFERROR(__xludf.DUMMYFUNCTION("""COMPUTED_VALUE"""),"11:43:00Z")</f>
        <v>11:43:00Z</v>
      </c>
      <c r="G280" s="11" t="str">
        <f t="shared" si="1"/>
        <v>11:43:00</v>
      </c>
      <c r="H280" s="10">
        <f>IFERROR(__xludf.DUMMYFUNCTION("SPLIT(D280,""T"")"),42920.0)</f>
        <v>42920</v>
      </c>
      <c r="I280" s="4" t="str">
        <f>IFERROR(__xludf.DUMMYFUNCTION("""COMPUTED_VALUE"""),"15:45:00Z")</f>
        <v>15:45:00Z</v>
      </c>
      <c r="J280" s="4" t="str">
        <f t="shared" si="2"/>
        <v>15:45:00</v>
      </c>
      <c r="K280" s="4">
        <f t="shared" si="3"/>
        <v>189</v>
      </c>
      <c r="L280" s="4">
        <f t="shared" si="4"/>
        <v>-0.1680555556</v>
      </c>
      <c r="M280" s="4">
        <f t="shared" si="5"/>
        <v>188.8319444</v>
      </c>
    </row>
    <row r="281">
      <c r="A281" s="4" t="s">
        <v>27</v>
      </c>
      <c r="B281" s="4" t="s">
        <v>2007</v>
      </c>
      <c r="C281" s="4" t="s">
        <v>2090</v>
      </c>
      <c r="D281" s="4" t="s">
        <v>2091</v>
      </c>
      <c r="E281" s="10">
        <f>IFERROR(__xludf.DUMMYFUNCTION("SPLIT(B281,""T"")"),43109.0)</f>
        <v>43109</v>
      </c>
      <c r="F281" s="4" t="str">
        <f>IFERROR(__xludf.DUMMYFUNCTION("""COMPUTED_VALUE"""),"11:44:00Z")</f>
        <v>11:44:00Z</v>
      </c>
      <c r="G281" s="11" t="str">
        <f t="shared" si="1"/>
        <v>11:44:00</v>
      </c>
      <c r="H281" s="10">
        <f>IFERROR(__xludf.DUMMYFUNCTION("SPLIT(D281,""T"")"),42920.0)</f>
        <v>42920</v>
      </c>
      <c r="I281" s="4" t="str">
        <f>IFERROR(__xludf.DUMMYFUNCTION("""COMPUTED_VALUE"""),"16:55:00Z")</f>
        <v>16:55:00Z</v>
      </c>
      <c r="J281" s="4" t="str">
        <f t="shared" si="2"/>
        <v>16:55:00</v>
      </c>
      <c r="K281" s="4">
        <f t="shared" si="3"/>
        <v>189</v>
      </c>
      <c r="L281" s="4">
        <f t="shared" si="4"/>
        <v>-0.2159722222</v>
      </c>
      <c r="M281" s="4">
        <f t="shared" si="5"/>
        <v>188.7840278</v>
      </c>
    </row>
    <row r="282">
      <c r="A282" s="4" t="s">
        <v>179</v>
      </c>
      <c r="B282" s="4" t="s">
        <v>2690</v>
      </c>
      <c r="C282" s="4" t="s">
        <v>2691</v>
      </c>
      <c r="D282" s="4" t="s">
        <v>2692</v>
      </c>
      <c r="E282" s="10">
        <f>IFERROR(__xludf.DUMMYFUNCTION("SPLIT(B282,""T"")"),43469.0)</f>
        <v>43469</v>
      </c>
      <c r="F282" s="4" t="str">
        <f>IFERROR(__xludf.DUMMYFUNCTION("""COMPUTED_VALUE"""),"09:58:00Z")</f>
        <v>09:58:00Z</v>
      </c>
      <c r="G282" s="11" t="str">
        <f t="shared" si="1"/>
        <v>09:58:00</v>
      </c>
      <c r="H282" s="10">
        <f>IFERROR(__xludf.DUMMYFUNCTION("SPLIT(D282,""T"")"),43280.0)</f>
        <v>43280</v>
      </c>
      <c r="I282" s="4" t="str">
        <f>IFERROR(__xludf.DUMMYFUNCTION("""COMPUTED_VALUE"""),"15:11:00Z")</f>
        <v>15:11:00Z</v>
      </c>
      <c r="J282" s="4" t="str">
        <f t="shared" si="2"/>
        <v>15:11:00</v>
      </c>
      <c r="K282" s="4">
        <f t="shared" si="3"/>
        <v>189</v>
      </c>
      <c r="L282" s="4">
        <f t="shared" si="4"/>
        <v>-0.2173611111</v>
      </c>
      <c r="M282" s="4">
        <f t="shared" si="5"/>
        <v>188.7826389</v>
      </c>
    </row>
    <row r="283">
      <c r="A283" s="4" t="s">
        <v>247</v>
      </c>
      <c r="B283" s="4" t="s">
        <v>2690</v>
      </c>
      <c r="C283" s="4" t="s">
        <v>406</v>
      </c>
      <c r="D283" s="4" t="s">
        <v>3123</v>
      </c>
      <c r="E283" s="10">
        <f>IFERROR(__xludf.DUMMYFUNCTION("SPLIT(B283,""T"")"),43469.0)</f>
        <v>43469</v>
      </c>
      <c r="F283" s="4" t="str">
        <f>IFERROR(__xludf.DUMMYFUNCTION("""COMPUTED_VALUE"""),"09:58:00Z")</f>
        <v>09:58:00Z</v>
      </c>
      <c r="G283" s="11" t="str">
        <f t="shared" si="1"/>
        <v>09:58:00</v>
      </c>
      <c r="H283" s="10">
        <f>IFERROR(__xludf.DUMMYFUNCTION("SPLIT(D283,""T"")"),43280.0)</f>
        <v>43280</v>
      </c>
      <c r="I283" s="4" t="str">
        <f>IFERROR(__xludf.DUMMYFUNCTION("""COMPUTED_VALUE"""),"15:46:00Z")</f>
        <v>15:46:00Z</v>
      </c>
      <c r="J283" s="4" t="str">
        <f t="shared" si="2"/>
        <v>15:46:00</v>
      </c>
      <c r="K283" s="4">
        <f t="shared" si="3"/>
        <v>189</v>
      </c>
      <c r="L283" s="4">
        <f t="shared" si="4"/>
        <v>-0.2416666667</v>
      </c>
      <c r="M283" s="4">
        <f t="shared" si="5"/>
        <v>188.7583333</v>
      </c>
    </row>
    <row r="284">
      <c r="A284" s="4" t="s">
        <v>80</v>
      </c>
      <c r="B284" s="4" t="s">
        <v>2690</v>
      </c>
      <c r="C284" s="4" t="s">
        <v>440</v>
      </c>
      <c r="D284" s="4" t="s">
        <v>2840</v>
      </c>
      <c r="E284" s="10">
        <f>IFERROR(__xludf.DUMMYFUNCTION("SPLIT(B284,""T"")"),43469.0)</f>
        <v>43469</v>
      </c>
      <c r="F284" s="4" t="str">
        <f>IFERROR(__xludf.DUMMYFUNCTION("""COMPUTED_VALUE"""),"09:58:00Z")</f>
        <v>09:58:00Z</v>
      </c>
      <c r="G284" s="11" t="str">
        <f t="shared" si="1"/>
        <v>09:58:00</v>
      </c>
      <c r="H284" s="10">
        <f>IFERROR(__xludf.DUMMYFUNCTION("SPLIT(D284,""T"")"),43280.0)</f>
        <v>43280</v>
      </c>
      <c r="I284" s="4" t="str">
        <f>IFERROR(__xludf.DUMMYFUNCTION("""COMPUTED_VALUE"""),"16:06:00Z")</f>
        <v>16:06:00Z</v>
      </c>
      <c r="J284" s="4" t="str">
        <f t="shared" si="2"/>
        <v>16:06:00</v>
      </c>
      <c r="K284" s="4">
        <f t="shared" si="3"/>
        <v>189</v>
      </c>
      <c r="L284" s="4">
        <f t="shared" si="4"/>
        <v>-0.2555555556</v>
      </c>
      <c r="M284" s="4">
        <f t="shared" si="5"/>
        <v>188.7444444</v>
      </c>
    </row>
    <row r="285">
      <c r="A285" s="4" t="s">
        <v>69</v>
      </c>
      <c r="B285" s="4" t="s">
        <v>2659</v>
      </c>
      <c r="C285" s="4" t="s">
        <v>2958</v>
      </c>
      <c r="D285" s="4" t="s">
        <v>2959</v>
      </c>
      <c r="E285" s="10">
        <f>IFERROR(__xludf.DUMMYFUNCTION("SPLIT(B285,""T"")"),43469.0)</f>
        <v>43469</v>
      </c>
      <c r="F285" s="4" t="str">
        <f>IFERROR(__xludf.DUMMYFUNCTION("""COMPUTED_VALUE"""),"09:57:00Z")</f>
        <v>09:57:00Z</v>
      </c>
      <c r="G285" s="11" t="str">
        <f t="shared" si="1"/>
        <v>09:57:00</v>
      </c>
      <c r="H285" s="10">
        <f>IFERROR(__xludf.DUMMYFUNCTION("SPLIT(D285,""T"")"),43280.0)</f>
        <v>43280</v>
      </c>
      <c r="I285" s="4" t="str">
        <f>IFERROR(__xludf.DUMMYFUNCTION("""COMPUTED_VALUE"""),"17:53:00Z")</f>
        <v>17:53:00Z</v>
      </c>
      <c r="J285" s="4" t="str">
        <f t="shared" si="2"/>
        <v>17:53:00</v>
      </c>
      <c r="K285" s="4">
        <f t="shared" si="3"/>
        <v>189</v>
      </c>
      <c r="L285" s="4">
        <f t="shared" si="4"/>
        <v>-0.3305555556</v>
      </c>
      <c r="M285" s="4">
        <f t="shared" si="5"/>
        <v>188.6694444</v>
      </c>
    </row>
    <row r="286">
      <c r="A286" s="4" t="s">
        <v>401</v>
      </c>
      <c r="B286" s="4" t="s">
        <v>2659</v>
      </c>
      <c r="C286" s="4" t="s">
        <v>894</v>
      </c>
      <c r="D286" s="4" t="s">
        <v>2991</v>
      </c>
      <c r="E286" s="10">
        <f>IFERROR(__xludf.DUMMYFUNCTION("SPLIT(B286,""T"")"),43469.0)</f>
        <v>43469</v>
      </c>
      <c r="F286" s="4" t="str">
        <f>IFERROR(__xludf.DUMMYFUNCTION("""COMPUTED_VALUE"""),"09:57:00Z")</f>
        <v>09:57:00Z</v>
      </c>
      <c r="G286" s="11" t="str">
        <f t="shared" si="1"/>
        <v>09:57:00</v>
      </c>
      <c r="H286" s="10">
        <f>IFERROR(__xludf.DUMMYFUNCTION("SPLIT(D286,""T"")"),43280.0)</f>
        <v>43280</v>
      </c>
      <c r="I286" s="4" t="str">
        <f>IFERROR(__xludf.DUMMYFUNCTION("""COMPUTED_VALUE"""),"20:59:00Z")</f>
        <v>20:59:00Z</v>
      </c>
      <c r="J286" s="4" t="str">
        <f t="shared" si="2"/>
        <v>20:59:00</v>
      </c>
      <c r="K286" s="4">
        <f t="shared" si="3"/>
        <v>189</v>
      </c>
      <c r="L286" s="4">
        <f t="shared" si="4"/>
        <v>-0.4597222222</v>
      </c>
      <c r="M286" s="4">
        <f t="shared" si="5"/>
        <v>188.5402778</v>
      </c>
    </row>
    <row r="287">
      <c r="A287" s="4" t="s">
        <v>19</v>
      </c>
      <c r="B287" s="4" t="s">
        <v>2392</v>
      </c>
      <c r="C287" s="4" t="s">
        <v>1711</v>
      </c>
      <c r="D287" s="4" t="s">
        <v>2393</v>
      </c>
      <c r="E287" s="10">
        <f>IFERROR(__xludf.DUMMYFUNCTION("SPLIT(B287,""T"")"),43185.0)</f>
        <v>43185</v>
      </c>
      <c r="F287" s="4" t="str">
        <f>IFERROR(__xludf.DUMMYFUNCTION("""COMPUTED_VALUE"""),"10:49:00Z")</f>
        <v>10:49:00Z</v>
      </c>
      <c r="G287" s="11" t="str">
        <f t="shared" si="1"/>
        <v>10:49:00</v>
      </c>
      <c r="H287" s="10">
        <f>IFERROR(__xludf.DUMMYFUNCTION("SPLIT(D287,""T"")"),42997.0)</f>
        <v>42997</v>
      </c>
      <c r="I287" s="4" t="str">
        <f>IFERROR(__xludf.DUMMYFUNCTION("""COMPUTED_VALUE"""),"00:22:00Z")</f>
        <v>00:22:00Z</v>
      </c>
      <c r="J287" s="4" t="str">
        <f t="shared" si="2"/>
        <v>00:22:00</v>
      </c>
      <c r="K287" s="4">
        <f t="shared" si="3"/>
        <v>188</v>
      </c>
      <c r="L287" s="4">
        <f t="shared" si="4"/>
        <v>0.4354166667</v>
      </c>
      <c r="M287" s="4">
        <f t="shared" si="5"/>
        <v>188.4354167</v>
      </c>
    </row>
    <row r="288">
      <c r="A288" s="4" t="s">
        <v>94</v>
      </c>
      <c r="B288" s="4" t="s">
        <v>2007</v>
      </c>
      <c r="C288" s="4" t="s">
        <v>2496</v>
      </c>
      <c r="D288" s="4" t="s">
        <v>2497</v>
      </c>
      <c r="E288" s="10">
        <f>IFERROR(__xludf.DUMMYFUNCTION("SPLIT(B288,""T"")"),43109.0)</f>
        <v>43109</v>
      </c>
      <c r="F288" s="4" t="str">
        <f>IFERROR(__xludf.DUMMYFUNCTION("""COMPUTED_VALUE"""),"11:44:00Z")</f>
        <v>11:44:00Z</v>
      </c>
      <c r="G288" s="11" t="str">
        <f t="shared" si="1"/>
        <v>11:44:00</v>
      </c>
      <c r="H288" s="10">
        <f>IFERROR(__xludf.DUMMYFUNCTION("SPLIT(D288,""T"")"),42921.0)</f>
        <v>42921</v>
      </c>
      <c r="I288" s="4" t="str">
        <f>IFERROR(__xludf.DUMMYFUNCTION("""COMPUTED_VALUE"""),"08:24:00Z")</f>
        <v>08:24:00Z</v>
      </c>
      <c r="J288" s="4" t="str">
        <f t="shared" si="2"/>
        <v>08:24:00</v>
      </c>
      <c r="K288" s="4">
        <f t="shared" si="3"/>
        <v>188</v>
      </c>
      <c r="L288" s="4">
        <f t="shared" si="4"/>
        <v>0.1388888889</v>
      </c>
      <c r="M288" s="4">
        <f t="shared" si="5"/>
        <v>188.1388889</v>
      </c>
    </row>
    <row r="289">
      <c r="A289" s="4" t="s">
        <v>46</v>
      </c>
      <c r="B289" s="4" t="s">
        <v>2007</v>
      </c>
      <c r="C289" s="4" t="s">
        <v>2008</v>
      </c>
      <c r="D289" s="4" t="s">
        <v>2009</v>
      </c>
      <c r="E289" s="10">
        <f>IFERROR(__xludf.DUMMYFUNCTION("SPLIT(B289,""T"")"),43109.0)</f>
        <v>43109</v>
      </c>
      <c r="F289" s="4" t="str">
        <f>IFERROR(__xludf.DUMMYFUNCTION("""COMPUTED_VALUE"""),"11:44:00Z")</f>
        <v>11:44:00Z</v>
      </c>
      <c r="G289" s="11" t="str">
        <f t="shared" si="1"/>
        <v>11:44:00</v>
      </c>
      <c r="H289" s="10">
        <f>IFERROR(__xludf.DUMMYFUNCTION("SPLIT(D289,""T"")"),42921.0)</f>
        <v>42921</v>
      </c>
      <c r="I289" s="4" t="str">
        <f>IFERROR(__xludf.DUMMYFUNCTION("""COMPUTED_VALUE"""),"11:05:00Z")</f>
        <v>11:05:00Z</v>
      </c>
      <c r="J289" s="4" t="str">
        <f t="shared" si="2"/>
        <v>11:05:00</v>
      </c>
      <c r="K289" s="4">
        <f t="shared" si="3"/>
        <v>188</v>
      </c>
      <c r="L289" s="4">
        <f t="shared" si="4"/>
        <v>0.02708333333</v>
      </c>
      <c r="M289" s="4">
        <f t="shared" si="5"/>
        <v>188.0270833</v>
      </c>
    </row>
    <row r="290">
      <c r="A290" s="4" t="s">
        <v>134</v>
      </c>
      <c r="B290" s="4" t="s">
        <v>2659</v>
      </c>
      <c r="C290" s="4" t="s">
        <v>329</v>
      </c>
      <c r="D290" s="4" t="s">
        <v>3104</v>
      </c>
      <c r="E290" s="10">
        <f>IFERROR(__xludf.DUMMYFUNCTION("SPLIT(B290,""T"")"),43469.0)</f>
        <v>43469</v>
      </c>
      <c r="F290" s="4" t="str">
        <f>IFERROR(__xludf.DUMMYFUNCTION("""COMPUTED_VALUE"""),"09:57:00Z")</f>
        <v>09:57:00Z</v>
      </c>
      <c r="G290" s="11" t="str">
        <f t="shared" si="1"/>
        <v>09:57:00</v>
      </c>
      <c r="H290" s="10">
        <f>IFERROR(__xludf.DUMMYFUNCTION("SPLIT(D290,""T"")"),43281.0)</f>
        <v>43281</v>
      </c>
      <c r="I290" s="4" t="str">
        <f>IFERROR(__xludf.DUMMYFUNCTION("""COMPUTED_VALUE"""),"12:12:00Z")</f>
        <v>12:12:00Z</v>
      </c>
      <c r="J290" s="4" t="str">
        <f t="shared" si="2"/>
        <v>12:12:00</v>
      </c>
      <c r="K290" s="4">
        <f t="shared" si="3"/>
        <v>188</v>
      </c>
      <c r="L290" s="4">
        <f t="shared" si="4"/>
        <v>-0.09375</v>
      </c>
      <c r="M290" s="4">
        <f t="shared" si="5"/>
        <v>187.90625</v>
      </c>
    </row>
    <row r="291">
      <c r="A291" s="4" t="s">
        <v>39</v>
      </c>
      <c r="B291" s="4" t="s">
        <v>1888</v>
      </c>
      <c r="C291" s="4" t="s">
        <v>2212</v>
      </c>
      <c r="D291" s="4" t="s">
        <v>2213</v>
      </c>
      <c r="E291" s="10">
        <f>IFERROR(__xludf.DUMMYFUNCTION("SPLIT(B291,""T"")"),43109.0)</f>
        <v>43109</v>
      </c>
      <c r="F291" s="4" t="str">
        <f>IFERROR(__xludf.DUMMYFUNCTION("""COMPUTED_VALUE"""),"11:45:00Z")</f>
        <v>11:45:00Z</v>
      </c>
      <c r="G291" s="11" t="str">
        <f t="shared" si="1"/>
        <v>11:45:00</v>
      </c>
      <c r="H291" s="10">
        <f>IFERROR(__xludf.DUMMYFUNCTION("SPLIT(D291,""T"")"),42921.0)</f>
        <v>42921</v>
      </c>
      <c r="I291" s="4" t="str">
        <f>IFERROR(__xludf.DUMMYFUNCTION("""COMPUTED_VALUE"""),"15:40:00Z")</f>
        <v>15:40:00Z</v>
      </c>
      <c r="J291" s="4" t="str">
        <f t="shared" si="2"/>
        <v>15:40:00</v>
      </c>
      <c r="K291" s="4">
        <f t="shared" si="3"/>
        <v>188</v>
      </c>
      <c r="L291" s="4">
        <f t="shared" si="4"/>
        <v>-0.1631944444</v>
      </c>
      <c r="M291" s="4">
        <f t="shared" si="5"/>
        <v>187.8368056</v>
      </c>
    </row>
    <row r="292">
      <c r="A292" s="4" t="s">
        <v>166</v>
      </c>
      <c r="B292" s="4" t="s">
        <v>2659</v>
      </c>
      <c r="C292" s="4" t="s">
        <v>2660</v>
      </c>
      <c r="D292" s="4" t="s">
        <v>2661</v>
      </c>
      <c r="E292" s="10">
        <f>IFERROR(__xludf.DUMMYFUNCTION("SPLIT(B292,""T"")"),43469.0)</f>
        <v>43469</v>
      </c>
      <c r="F292" s="4" t="str">
        <f>IFERROR(__xludf.DUMMYFUNCTION("""COMPUTED_VALUE"""),"09:57:00Z")</f>
        <v>09:57:00Z</v>
      </c>
      <c r="G292" s="11" t="str">
        <f t="shared" si="1"/>
        <v>09:57:00</v>
      </c>
      <c r="H292" s="10">
        <f>IFERROR(__xludf.DUMMYFUNCTION("SPLIT(D292,""T"")"),43281.0)</f>
        <v>43281</v>
      </c>
      <c r="I292" s="4" t="str">
        <f>IFERROR(__xludf.DUMMYFUNCTION("""COMPUTED_VALUE"""),"14:12:00Z")</f>
        <v>14:12:00Z</v>
      </c>
      <c r="J292" s="4" t="str">
        <f t="shared" si="2"/>
        <v>14:12:00</v>
      </c>
      <c r="K292" s="4">
        <f t="shared" si="3"/>
        <v>188</v>
      </c>
      <c r="L292" s="4">
        <f t="shared" si="4"/>
        <v>-0.1770833333</v>
      </c>
      <c r="M292" s="4">
        <f t="shared" si="5"/>
        <v>187.8229167</v>
      </c>
    </row>
    <row r="293">
      <c r="A293" s="4" t="s">
        <v>240</v>
      </c>
      <c r="B293" s="4" t="s">
        <v>2659</v>
      </c>
      <c r="C293" s="4" t="s">
        <v>2660</v>
      </c>
      <c r="D293" s="4" t="s">
        <v>2661</v>
      </c>
      <c r="E293" s="10">
        <f>IFERROR(__xludf.DUMMYFUNCTION("SPLIT(B293,""T"")"),43469.0)</f>
        <v>43469</v>
      </c>
      <c r="F293" s="4" t="str">
        <f>IFERROR(__xludf.DUMMYFUNCTION("""COMPUTED_VALUE"""),"09:57:00Z")</f>
        <v>09:57:00Z</v>
      </c>
      <c r="G293" s="11" t="str">
        <f t="shared" si="1"/>
        <v>09:57:00</v>
      </c>
      <c r="H293" s="10">
        <f>IFERROR(__xludf.DUMMYFUNCTION("SPLIT(D293,""T"")"),43281.0)</f>
        <v>43281</v>
      </c>
      <c r="I293" s="4" t="str">
        <f>IFERROR(__xludf.DUMMYFUNCTION("""COMPUTED_VALUE"""),"14:12:00Z")</f>
        <v>14:12:00Z</v>
      </c>
      <c r="J293" s="4" t="str">
        <f t="shared" si="2"/>
        <v>14:12:00</v>
      </c>
      <c r="K293" s="4">
        <f t="shared" si="3"/>
        <v>188</v>
      </c>
      <c r="L293" s="4">
        <f t="shared" si="4"/>
        <v>-0.1770833333</v>
      </c>
      <c r="M293" s="4">
        <f t="shared" si="5"/>
        <v>187.8229167</v>
      </c>
    </row>
    <row r="294">
      <c r="A294" s="4" t="s">
        <v>411</v>
      </c>
      <c r="B294" s="4" t="s">
        <v>2007</v>
      </c>
      <c r="C294" s="4" t="s">
        <v>194</v>
      </c>
      <c r="D294" s="4" t="s">
        <v>2490</v>
      </c>
      <c r="E294" s="10">
        <f>IFERROR(__xludf.DUMMYFUNCTION("SPLIT(B294,""T"")"),43109.0)</f>
        <v>43109</v>
      </c>
      <c r="F294" s="4" t="str">
        <f>IFERROR(__xludf.DUMMYFUNCTION("""COMPUTED_VALUE"""),"11:44:00Z")</f>
        <v>11:44:00Z</v>
      </c>
      <c r="G294" s="11" t="str">
        <f t="shared" si="1"/>
        <v>11:44:00</v>
      </c>
      <c r="H294" s="10">
        <f>IFERROR(__xludf.DUMMYFUNCTION("SPLIT(D294,""T"")"),42921.0)</f>
        <v>42921</v>
      </c>
      <c r="I294" s="4" t="str">
        <f>IFERROR(__xludf.DUMMYFUNCTION("""COMPUTED_VALUE"""),"16:56:00Z")</f>
        <v>16:56:00Z</v>
      </c>
      <c r="J294" s="4" t="str">
        <f t="shared" si="2"/>
        <v>16:56:00</v>
      </c>
      <c r="K294" s="4">
        <f t="shared" si="3"/>
        <v>188</v>
      </c>
      <c r="L294" s="4">
        <f t="shared" si="4"/>
        <v>-0.2166666667</v>
      </c>
      <c r="M294" s="4">
        <f t="shared" si="5"/>
        <v>187.7833333</v>
      </c>
    </row>
    <row r="295">
      <c r="A295" s="4" t="s">
        <v>69</v>
      </c>
      <c r="B295" s="4" t="s">
        <v>1888</v>
      </c>
      <c r="C295" s="4" t="s">
        <v>1912</v>
      </c>
      <c r="D295" s="4" t="s">
        <v>1913</v>
      </c>
      <c r="E295" s="10">
        <f>IFERROR(__xludf.DUMMYFUNCTION("SPLIT(B295,""T"")"),43109.0)</f>
        <v>43109</v>
      </c>
      <c r="F295" s="4" t="str">
        <f>IFERROR(__xludf.DUMMYFUNCTION("""COMPUTED_VALUE"""),"11:45:00Z")</f>
        <v>11:45:00Z</v>
      </c>
      <c r="G295" s="11" t="str">
        <f t="shared" si="1"/>
        <v>11:45:00</v>
      </c>
      <c r="H295" s="10">
        <f>IFERROR(__xludf.DUMMYFUNCTION("SPLIT(D295,""T"")"),42922.0)</f>
        <v>42922</v>
      </c>
      <c r="I295" s="4" t="str">
        <f>IFERROR(__xludf.DUMMYFUNCTION("""COMPUTED_VALUE"""),"12:29:00Z")</f>
        <v>12:29:00Z</v>
      </c>
      <c r="J295" s="4" t="str">
        <f t="shared" si="2"/>
        <v>12:29:00</v>
      </c>
      <c r="K295" s="4">
        <f t="shared" si="3"/>
        <v>187</v>
      </c>
      <c r="L295" s="4">
        <f t="shared" si="4"/>
        <v>-0.03055555556</v>
      </c>
      <c r="M295" s="4">
        <f t="shared" si="5"/>
        <v>186.9694444</v>
      </c>
    </row>
    <row r="296">
      <c r="A296" s="4" t="s">
        <v>240</v>
      </c>
      <c r="B296" s="4" t="s">
        <v>1888</v>
      </c>
      <c r="C296" s="4" t="s">
        <v>1889</v>
      </c>
      <c r="D296" s="4" t="s">
        <v>1890</v>
      </c>
      <c r="E296" s="10">
        <f>IFERROR(__xludf.DUMMYFUNCTION("SPLIT(B296,""T"")"),43109.0)</f>
        <v>43109</v>
      </c>
      <c r="F296" s="4" t="str">
        <f>IFERROR(__xludf.DUMMYFUNCTION("""COMPUTED_VALUE"""),"11:45:00Z")</f>
        <v>11:45:00Z</v>
      </c>
      <c r="G296" s="11" t="str">
        <f t="shared" si="1"/>
        <v>11:45:00</v>
      </c>
      <c r="H296" s="10">
        <f>IFERROR(__xludf.DUMMYFUNCTION("SPLIT(D296,""T"")"),42922.0)</f>
        <v>42922</v>
      </c>
      <c r="I296" s="4" t="str">
        <f>IFERROR(__xludf.DUMMYFUNCTION("""COMPUTED_VALUE"""),"12:41:00Z")</f>
        <v>12:41:00Z</v>
      </c>
      <c r="J296" s="4" t="str">
        <f t="shared" si="2"/>
        <v>12:41:00</v>
      </c>
      <c r="K296" s="4">
        <f t="shared" si="3"/>
        <v>187</v>
      </c>
      <c r="L296" s="4">
        <f t="shared" si="4"/>
        <v>-0.03888888889</v>
      </c>
      <c r="M296" s="4">
        <f t="shared" si="5"/>
        <v>186.9611111</v>
      </c>
    </row>
    <row r="297">
      <c r="A297" s="4" t="s">
        <v>320</v>
      </c>
      <c r="B297" s="4" t="s">
        <v>1888</v>
      </c>
      <c r="C297" s="4" t="s">
        <v>1157</v>
      </c>
      <c r="D297" s="4" t="s">
        <v>2632</v>
      </c>
      <c r="E297" s="10">
        <f>IFERROR(__xludf.DUMMYFUNCTION("SPLIT(B297,""T"")"),43109.0)</f>
        <v>43109</v>
      </c>
      <c r="F297" s="4" t="str">
        <f>IFERROR(__xludf.DUMMYFUNCTION("""COMPUTED_VALUE"""),"11:45:00Z")</f>
        <v>11:45:00Z</v>
      </c>
      <c r="G297" s="11" t="str">
        <f t="shared" si="1"/>
        <v>11:45:00</v>
      </c>
      <c r="H297" s="10">
        <f>IFERROR(__xludf.DUMMYFUNCTION("SPLIT(D297,""T"")"),42922.0)</f>
        <v>42922</v>
      </c>
      <c r="I297" s="4" t="str">
        <f>IFERROR(__xludf.DUMMYFUNCTION("""COMPUTED_VALUE"""),"13:00:00Z")</f>
        <v>13:00:00Z</v>
      </c>
      <c r="J297" s="4" t="str">
        <f t="shared" si="2"/>
        <v>13:00:00</v>
      </c>
      <c r="K297" s="4">
        <f t="shared" si="3"/>
        <v>187</v>
      </c>
      <c r="L297" s="4">
        <f t="shared" si="4"/>
        <v>-0.05208333333</v>
      </c>
      <c r="M297" s="4">
        <f t="shared" si="5"/>
        <v>186.9479167</v>
      </c>
    </row>
    <row r="298">
      <c r="A298" s="4" t="s">
        <v>149</v>
      </c>
      <c r="B298" s="4" t="s">
        <v>1784</v>
      </c>
      <c r="C298" s="4" t="s">
        <v>1785</v>
      </c>
      <c r="D298" s="4" t="s">
        <v>1786</v>
      </c>
      <c r="E298" s="10">
        <f>IFERROR(__xludf.DUMMYFUNCTION("SPLIT(B298,""T"")"),43109.0)</f>
        <v>43109</v>
      </c>
      <c r="F298" s="4" t="str">
        <f>IFERROR(__xludf.DUMMYFUNCTION("""COMPUTED_VALUE"""),"11:46:00Z")</f>
        <v>11:46:00Z</v>
      </c>
      <c r="G298" s="11" t="str">
        <f t="shared" si="1"/>
        <v>11:46:00</v>
      </c>
      <c r="H298" s="10">
        <f>IFERROR(__xludf.DUMMYFUNCTION("SPLIT(D298,""T"")"),42922.0)</f>
        <v>42922</v>
      </c>
      <c r="I298" s="4" t="str">
        <f>IFERROR(__xludf.DUMMYFUNCTION("""COMPUTED_VALUE"""),"15:44:00Z")</f>
        <v>15:44:00Z</v>
      </c>
      <c r="J298" s="4" t="str">
        <f t="shared" si="2"/>
        <v>15:44:00</v>
      </c>
      <c r="K298" s="4">
        <f t="shared" si="3"/>
        <v>187</v>
      </c>
      <c r="L298" s="4">
        <f t="shared" si="4"/>
        <v>-0.1652777778</v>
      </c>
      <c r="M298" s="4">
        <f t="shared" si="5"/>
        <v>186.8347222</v>
      </c>
    </row>
    <row r="299">
      <c r="A299" s="4" t="s">
        <v>46</v>
      </c>
      <c r="B299" s="4" t="s">
        <v>2820</v>
      </c>
      <c r="C299" s="4" t="s">
        <v>2860</v>
      </c>
      <c r="D299" s="4" t="s">
        <v>2861</v>
      </c>
      <c r="E299" s="10">
        <f>IFERROR(__xludf.DUMMYFUNCTION("SPLIT(B299,""T"")"),43469.0)</f>
        <v>43469</v>
      </c>
      <c r="F299" s="4" t="str">
        <f>IFERROR(__xludf.DUMMYFUNCTION("""COMPUTED_VALUE"""),"09:56:00Z")</f>
        <v>09:56:00Z</v>
      </c>
      <c r="G299" s="11" t="str">
        <f t="shared" si="1"/>
        <v>09:56:00</v>
      </c>
      <c r="H299" s="10">
        <f>IFERROR(__xludf.DUMMYFUNCTION("SPLIT(D299,""T"")"),43282.0)</f>
        <v>43282</v>
      </c>
      <c r="I299" s="4" t="str">
        <f>IFERROR(__xludf.DUMMYFUNCTION("""COMPUTED_VALUE"""),"18:13:00Z")</f>
        <v>18:13:00Z</v>
      </c>
      <c r="J299" s="4" t="str">
        <f t="shared" si="2"/>
        <v>18:13:00</v>
      </c>
      <c r="K299" s="4">
        <f t="shared" si="3"/>
        <v>187</v>
      </c>
      <c r="L299" s="4">
        <f t="shared" si="4"/>
        <v>-0.3451388889</v>
      </c>
      <c r="M299" s="4">
        <f t="shared" si="5"/>
        <v>186.6548611</v>
      </c>
    </row>
    <row r="300">
      <c r="A300" s="4" t="s">
        <v>69</v>
      </c>
      <c r="B300" s="4" t="s">
        <v>1784</v>
      </c>
      <c r="C300" s="4" t="s">
        <v>1875</v>
      </c>
      <c r="D300" s="4" t="s">
        <v>1876</v>
      </c>
      <c r="E300" s="10">
        <f>IFERROR(__xludf.DUMMYFUNCTION("SPLIT(B300,""T"")"),43109.0)</f>
        <v>43109</v>
      </c>
      <c r="F300" s="4" t="str">
        <f>IFERROR(__xludf.DUMMYFUNCTION("""COMPUTED_VALUE"""),"11:46:00Z")</f>
        <v>11:46:00Z</v>
      </c>
      <c r="G300" s="11" t="str">
        <f t="shared" si="1"/>
        <v>11:46:00</v>
      </c>
      <c r="H300" s="10">
        <f>IFERROR(__xludf.DUMMYFUNCTION("SPLIT(D300,""T"")"),42923.0)</f>
        <v>42923</v>
      </c>
      <c r="I300" s="4" t="str">
        <f>IFERROR(__xludf.DUMMYFUNCTION("""COMPUTED_VALUE"""),"09:18:00Z")</f>
        <v>09:18:00Z</v>
      </c>
      <c r="J300" s="4" t="str">
        <f t="shared" si="2"/>
        <v>09:18:00</v>
      </c>
      <c r="K300" s="4">
        <f t="shared" si="3"/>
        <v>186</v>
      </c>
      <c r="L300" s="4">
        <f t="shared" si="4"/>
        <v>0.1027777778</v>
      </c>
      <c r="M300" s="4">
        <f t="shared" si="5"/>
        <v>186.1027778</v>
      </c>
    </row>
    <row r="301">
      <c r="A301" s="4" t="s">
        <v>156</v>
      </c>
      <c r="B301" s="4" t="s">
        <v>1784</v>
      </c>
      <c r="C301" s="4" t="s">
        <v>2217</v>
      </c>
      <c r="D301" s="4" t="s">
        <v>2218</v>
      </c>
      <c r="E301" s="10">
        <f>IFERROR(__xludf.DUMMYFUNCTION("SPLIT(B301,""T"")"),43109.0)</f>
        <v>43109</v>
      </c>
      <c r="F301" s="4" t="str">
        <f>IFERROR(__xludf.DUMMYFUNCTION("""COMPUTED_VALUE"""),"11:46:00Z")</f>
        <v>11:46:00Z</v>
      </c>
      <c r="G301" s="11" t="str">
        <f t="shared" si="1"/>
        <v>11:46:00</v>
      </c>
      <c r="H301" s="10">
        <f>IFERROR(__xludf.DUMMYFUNCTION("SPLIT(D301,""T"")"),42923.0)</f>
        <v>42923</v>
      </c>
      <c r="I301" s="4" t="str">
        <f>IFERROR(__xludf.DUMMYFUNCTION("""COMPUTED_VALUE"""),"10:00:00Z")</f>
        <v>10:00:00Z</v>
      </c>
      <c r="J301" s="4" t="str">
        <f t="shared" si="2"/>
        <v>10:00:00</v>
      </c>
      <c r="K301" s="4">
        <f t="shared" si="3"/>
        <v>186</v>
      </c>
      <c r="L301" s="4">
        <f t="shared" si="4"/>
        <v>0.07361111111</v>
      </c>
      <c r="M301" s="4">
        <f t="shared" si="5"/>
        <v>186.0736111</v>
      </c>
    </row>
    <row r="302">
      <c r="A302" s="4" t="s">
        <v>27</v>
      </c>
      <c r="B302" s="4" t="s">
        <v>1784</v>
      </c>
      <c r="C302" s="4" t="s">
        <v>2420</v>
      </c>
      <c r="D302" s="4" t="s">
        <v>2421</v>
      </c>
      <c r="E302" s="10">
        <f>IFERROR(__xludf.DUMMYFUNCTION("SPLIT(B302,""T"")"),43109.0)</f>
        <v>43109</v>
      </c>
      <c r="F302" s="4" t="str">
        <f>IFERROR(__xludf.DUMMYFUNCTION("""COMPUTED_VALUE"""),"11:46:00Z")</f>
        <v>11:46:00Z</v>
      </c>
      <c r="G302" s="11" t="str">
        <f t="shared" si="1"/>
        <v>11:46:00</v>
      </c>
      <c r="H302" s="10">
        <f>IFERROR(__xludf.DUMMYFUNCTION("SPLIT(D302,""T"")"),42923.0)</f>
        <v>42923</v>
      </c>
      <c r="I302" s="4" t="str">
        <f>IFERROR(__xludf.DUMMYFUNCTION("""COMPUTED_VALUE"""),"12:56:00Z")</f>
        <v>12:56:00Z</v>
      </c>
      <c r="J302" s="4" t="str">
        <f t="shared" si="2"/>
        <v>12:56:00</v>
      </c>
      <c r="K302" s="4">
        <f t="shared" si="3"/>
        <v>186</v>
      </c>
      <c r="L302" s="4">
        <f t="shared" si="4"/>
        <v>-0.04861111111</v>
      </c>
      <c r="M302" s="4">
        <f t="shared" si="5"/>
        <v>185.9513889</v>
      </c>
    </row>
    <row r="303">
      <c r="A303" s="4" t="s">
        <v>87</v>
      </c>
      <c r="B303" s="4" t="s">
        <v>1848</v>
      </c>
      <c r="C303" s="4" t="s">
        <v>1849</v>
      </c>
      <c r="D303" s="4" t="s">
        <v>1850</v>
      </c>
      <c r="E303" s="10">
        <f>IFERROR(__xludf.DUMMYFUNCTION("SPLIT(B303,""T"")"),43109.0)</f>
        <v>43109</v>
      </c>
      <c r="F303" s="4" t="str">
        <f>IFERROR(__xludf.DUMMYFUNCTION("""COMPUTED_VALUE"""),"11:47:00Z")</f>
        <v>11:47:00Z</v>
      </c>
      <c r="G303" s="11" t="str">
        <f t="shared" si="1"/>
        <v>11:47:00</v>
      </c>
      <c r="H303" s="10">
        <f>IFERROR(__xludf.DUMMYFUNCTION("SPLIT(D303,""T"")"),42923.0)</f>
        <v>42923</v>
      </c>
      <c r="I303" s="4" t="str">
        <f>IFERROR(__xludf.DUMMYFUNCTION("""COMPUTED_VALUE"""),"14:52:00Z")</f>
        <v>14:52:00Z</v>
      </c>
      <c r="J303" s="4" t="str">
        <f t="shared" si="2"/>
        <v>14:52:00</v>
      </c>
      <c r="K303" s="4">
        <f t="shared" si="3"/>
        <v>186</v>
      </c>
      <c r="L303" s="4">
        <f t="shared" si="4"/>
        <v>-0.1284722222</v>
      </c>
      <c r="M303" s="4">
        <f t="shared" si="5"/>
        <v>185.8715278</v>
      </c>
    </row>
    <row r="304">
      <c r="A304" s="4" t="s">
        <v>134</v>
      </c>
      <c r="B304" s="4" t="s">
        <v>1848</v>
      </c>
      <c r="C304" s="4" t="s">
        <v>2057</v>
      </c>
      <c r="D304" s="4" t="s">
        <v>2257</v>
      </c>
      <c r="E304" s="10">
        <f>IFERROR(__xludf.DUMMYFUNCTION("SPLIT(B304,""T"")"),43109.0)</f>
        <v>43109</v>
      </c>
      <c r="F304" s="4" t="str">
        <f>IFERROR(__xludf.DUMMYFUNCTION("""COMPUTED_VALUE"""),"11:47:00Z")</f>
        <v>11:47:00Z</v>
      </c>
      <c r="G304" s="11" t="str">
        <f t="shared" si="1"/>
        <v>11:47:00</v>
      </c>
      <c r="H304" s="10">
        <f>IFERROR(__xludf.DUMMYFUNCTION("SPLIT(D304,""T"")"),42923.0)</f>
        <v>42923</v>
      </c>
      <c r="I304" s="4" t="str">
        <f>IFERROR(__xludf.DUMMYFUNCTION("""COMPUTED_VALUE"""),"15:45:00Z")</f>
        <v>15:45:00Z</v>
      </c>
      <c r="J304" s="4" t="str">
        <f t="shared" si="2"/>
        <v>15:45:00</v>
      </c>
      <c r="K304" s="4">
        <f t="shared" si="3"/>
        <v>186</v>
      </c>
      <c r="L304" s="4">
        <f t="shared" si="4"/>
        <v>-0.1652777778</v>
      </c>
      <c r="M304" s="4">
        <f t="shared" si="5"/>
        <v>185.8347222</v>
      </c>
    </row>
    <row r="305">
      <c r="A305" s="4" t="s">
        <v>101</v>
      </c>
      <c r="B305" s="4" t="s">
        <v>2046</v>
      </c>
      <c r="C305" s="4" t="s">
        <v>2401</v>
      </c>
      <c r="D305" s="4" t="s">
        <v>2402</v>
      </c>
      <c r="E305" s="10">
        <f>IFERROR(__xludf.DUMMYFUNCTION("SPLIT(B305,""T"")"),43109.0)</f>
        <v>43109</v>
      </c>
      <c r="F305" s="4" t="str">
        <f>IFERROR(__xludf.DUMMYFUNCTION("""COMPUTED_VALUE"""),"11:48:00Z")</f>
        <v>11:48:00Z</v>
      </c>
      <c r="G305" s="11" t="str">
        <f t="shared" si="1"/>
        <v>11:48:00</v>
      </c>
      <c r="H305" s="10">
        <f>IFERROR(__xludf.DUMMYFUNCTION("SPLIT(D305,""T"")"),42923.0)</f>
        <v>42923</v>
      </c>
      <c r="I305" s="4" t="str">
        <f>IFERROR(__xludf.DUMMYFUNCTION("""COMPUTED_VALUE"""),"15:50:00Z")</f>
        <v>15:50:00Z</v>
      </c>
      <c r="J305" s="4" t="str">
        <f t="shared" si="2"/>
        <v>15:50:00</v>
      </c>
      <c r="K305" s="4">
        <f t="shared" si="3"/>
        <v>186</v>
      </c>
      <c r="L305" s="4">
        <f t="shared" si="4"/>
        <v>-0.1680555556</v>
      </c>
      <c r="M305" s="4">
        <f t="shared" si="5"/>
        <v>185.8319444</v>
      </c>
    </row>
    <row r="306">
      <c r="A306" s="4" t="s">
        <v>80</v>
      </c>
      <c r="B306" s="4" t="s">
        <v>2659</v>
      </c>
      <c r="C306" s="4" t="s">
        <v>3062</v>
      </c>
      <c r="D306" s="4" t="s">
        <v>3063</v>
      </c>
      <c r="E306" s="10">
        <f>IFERROR(__xludf.DUMMYFUNCTION("SPLIT(B306,""T"")"),43469.0)</f>
        <v>43469</v>
      </c>
      <c r="F306" s="4" t="str">
        <f>IFERROR(__xludf.DUMMYFUNCTION("""COMPUTED_VALUE"""),"09:57:00Z")</f>
        <v>09:57:00Z</v>
      </c>
      <c r="G306" s="11" t="str">
        <f t="shared" si="1"/>
        <v>09:57:00</v>
      </c>
      <c r="H306" s="10">
        <f>IFERROR(__xludf.DUMMYFUNCTION("SPLIT(D306,""T"")"),43283.0)</f>
        <v>43283</v>
      </c>
      <c r="I306" s="4" t="str">
        <f>IFERROR(__xludf.DUMMYFUNCTION("""COMPUTED_VALUE"""),"14:25:00Z")</f>
        <v>14:25:00Z</v>
      </c>
      <c r="J306" s="4" t="str">
        <f t="shared" si="2"/>
        <v>14:25:00</v>
      </c>
      <c r="K306" s="4">
        <f t="shared" si="3"/>
        <v>186</v>
      </c>
      <c r="L306" s="4">
        <f t="shared" si="4"/>
        <v>-0.1861111111</v>
      </c>
      <c r="M306" s="4">
        <f t="shared" si="5"/>
        <v>185.8138889</v>
      </c>
    </row>
    <row r="307">
      <c r="A307" s="4" t="s">
        <v>149</v>
      </c>
      <c r="B307" s="4" t="s">
        <v>2046</v>
      </c>
      <c r="C307" s="4" t="s">
        <v>2138</v>
      </c>
      <c r="D307" s="4" t="s">
        <v>2299</v>
      </c>
      <c r="E307" s="10">
        <f>IFERROR(__xludf.DUMMYFUNCTION("SPLIT(B307,""T"")"),43109.0)</f>
        <v>43109</v>
      </c>
      <c r="F307" s="4" t="str">
        <f>IFERROR(__xludf.DUMMYFUNCTION("""COMPUTED_VALUE"""),"11:48:00Z")</f>
        <v>11:48:00Z</v>
      </c>
      <c r="G307" s="11" t="str">
        <f t="shared" si="1"/>
        <v>11:48:00</v>
      </c>
      <c r="H307" s="10">
        <f>IFERROR(__xludf.DUMMYFUNCTION("SPLIT(D307,""T"")"),42923.0)</f>
        <v>42923</v>
      </c>
      <c r="I307" s="4" t="str">
        <f>IFERROR(__xludf.DUMMYFUNCTION("""COMPUTED_VALUE"""),"16:23:00Z")</f>
        <v>16:23:00Z</v>
      </c>
      <c r="J307" s="4" t="str">
        <f t="shared" si="2"/>
        <v>16:23:00</v>
      </c>
      <c r="K307" s="4">
        <f t="shared" si="3"/>
        <v>186</v>
      </c>
      <c r="L307" s="4">
        <f t="shared" si="4"/>
        <v>-0.1909722222</v>
      </c>
      <c r="M307" s="4">
        <f t="shared" si="5"/>
        <v>185.8090278</v>
      </c>
    </row>
    <row r="308">
      <c r="A308" s="4" t="s">
        <v>80</v>
      </c>
      <c r="B308" s="4" t="s">
        <v>2046</v>
      </c>
      <c r="C308" s="4" t="s">
        <v>2077</v>
      </c>
      <c r="D308" s="4" t="s">
        <v>2078</v>
      </c>
      <c r="E308" s="10">
        <f>IFERROR(__xludf.DUMMYFUNCTION("SPLIT(B308,""T"")"),43109.0)</f>
        <v>43109</v>
      </c>
      <c r="F308" s="4" t="str">
        <f>IFERROR(__xludf.DUMMYFUNCTION("""COMPUTED_VALUE"""),"11:48:00Z")</f>
        <v>11:48:00Z</v>
      </c>
      <c r="G308" s="11" t="str">
        <f t="shared" si="1"/>
        <v>11:48:00</v>
      </c>
      <c r="H308" s="10">
        <f>IFERROR(__xludf.DUMMYFUNCTION("SPLIT(D308,""T"")"),42924.0)</f>
        <v>42924</v>
      </c>
      <c r="I308" s="4" t="str">
        <f>IFERROR(__xludf.DUMMYFUNCTION("""COMPUTED_VALUE"""),"02:20:00Z")</f>
        <v>02:20:00Z</v>
      </c>
      <c r="J308" s="4" t="str">
        <f t="shared" si="2"/>
        <v>02:20:00</v>
      </c>
      <c r="K308" s="4">
        <f t="shared" si="3"/>
        <v>185</v>
      </c>
      <c r="L308" s="4">
        <f t="shared" si="4"/>
        <v>0.3944444444</v>
      </c>
      <c r="M308" s="4">
        <f t="shared" si="5"/>
        <v>185.3944444</v>
      </c>
    </row>
    <row r="309">
      <c r="A309" s="4" t="s">
        <v>260</v>
      </c>
      <c r="B309" s="4" t="s">
        <v>2046</v>
      </c>
      <c r="C309" s="4" t="s">
        <v>125</v>
      </c>
      <c r="D309" s="4" t="s">
        <v>2288</v>
      </c>
      <c r="E309" s="10">
        <f>IFERROR(__xludf.DUMMYFUNCTION("SPLIT(B309,""T"")"),43109.0)</f>
        <v>43109</v>
      </c>
      <c r="F309" s="4" t="str">
        <f>IFERROR(__xludf.DUMMYFUNCTION("""COMPUTED_VALUE"""),"11:48:00Z")</f>
        <v>11:48:00Z</v>
      </c>
      <c r="G309" s="11" t="str">
        <f t="shared" si="1"/>
        <v>11:48:00</v>
      </c>
      <c r="H309" s="10">
        <f>IFERROR(__xludf.DUMMYFUNCTION("SPLIT(D309,""T"")"),42924.0)</f>
        <v>42924</v>
      </c>
      <c r="I309" s="4" t="str">
        <f>IFERROR(__xludf.DUMMYFUNCTION("""COMPUTED_VALUE"""),"11:00:00Z")</f>
        <v>11:00:00Z</v>
      </c>
      <c r="J309" s="4" t="str">
        <f t="shared" si="2"/>
        <v>11:00:00</v>
      </c>
      <c r="K309" s="4">
        <f t="shared" si="3"/>
        <v>185</v>
      </c>
      <c r="L309" s="4">
        <f t="shared" si="4"/>
        <v>0.03333333333</v>
      </c>
      <c r="M309" s="4">
        <f t="shared" si="5"/>
        <v>185.0333333</v>
      </c>
    </row>
    <row r="310">
      <c r="A310" s="4" t="s">
        <v>97</v>
      </c>
      <c r="B310" s="4" t="s">
        <v>1798</v>
      </c>
      <c r="C310" s="4" t="s">
        <v>1799</v>
      </c>
      <c r="D310" s="4" t="s">
        <v>1800</v>
      </c>
      <c r="E310" s="10">
        <f>IFERROR(__xludf.DUMMYFUNCTION("SPLIT(B310,""T"")"),43109.0)</f>
        <v>43109</v>
      </c>
      <c r="F310" s="4" t="str">
        <f>IFERROR(__xludf.DUMMYFUNCTION("""COMPUTED_VALUE"""),"11:49:00Z")</f>
        <v>11:49:00Z</v>
      </c>
      <c r="G310" s="11" t="str">
        <f t="shared" si="1"/>
        <v>11:49:00</v>
      </c>
      <c r="H310" s="10">
        <f>IFERROR(__xludf.DUMMYFUNCTION("SPLIT(D310,""T"")"),42924.0)</f>
        <v>42924</v>
      </c>
      <c r="I310" s="4" t="str">
        <f>IFERROR(__xludf.DUMMYFUNCTION("""COMPUTED_VALUE"""),"13:43:00Z")</f>
        <v>13:43:00Z</v>
      </c>
      <c r="J310" s="4" t="str">
        <f t="shared" si="2"/>
        <v>13:43:00</v>
      </c>
      <c r="K310" s="4">
        <f t="shared" si="3"/>
        <v>185</v>
      </c>
      <c r="L310" s="4">
        <f t="shared" si="4"/>
        <v>-0.07916666667</v>
      </c>
      <c r="M310" s="4">
        <f t="shared" si="5"/>
        <v>184.9208333</v>
      </c>
    </row>
    <row r="311">
      <c r="A311" s="4" t="s">
        <v>80</v>
      </c>
      <c r="B311" s="4" t="s">
        <v>2046</v>
      </c>
      <c r="C311" s="4" t="s">
        <v>879</v>
      </c>
      <c r="D311" s="4" t="s">
        <v>2047</v>
      </c>
      <c r="E311" s="10">
        <f>IFERROR(__xludf.DUMMYFUNCTION("SPLIT(B311,""T"")"),43109.0)</f>
        <v>43109</v>
      </c>
      <c r="F311" s="4" t="str">
        <f>IFERROR(__xludf.DUMMYFUNCTION("""COMPUTED_VALUE"""),"11:48:00Z")</f>
        <v>11:48:00Z</v>
      </c>
      <c r="G311" s="11" t="str">
        <f t="shared" si="1"/>
        <v>11:48:00</v>
      </c>
      <c r="H311" s="10">
        <f>IFERROR(__xludf.DUMMYFUNCTION("SPLIT(D311,""T"")"),42924.0)</f>
        <v>42924</v>
      </c>
      <c r="I311" s="4" t="str">
        <f>IFERROR(__xludf.DUMMYFUNCTION("""COMPUTED_VALUE"""),"15:26:00Z")</f>
        <v>15:26:00Z</v>
      </c>
      <c r="J311" s="4" t="str">
        <f t="shared" si="2"/>
        <v>15:26:00</v>
      </c>
      <c r="K311" s="4">
        <f t="shared" si="3"/>
        <v>185</v>
      </c>
      <c r="L311" s="4">
        <f t="shared" si="4"/>
        <v>-0.1513888889</v>
      </c>
      <c r="M311" s="4">
        <f t="shared" si="5"/>
        <v>184.8486111</v>
      </c>
    </row>
    <row r="312">
      <c r="A312" s="4" t="s">
        <v>130</v>
      </c>
      <c r="B312" s="4" t="s">
        <v>1900</v>
      </c>
      <c r="C312" s="4" t="s">
        <v>2255</v>
      </c>
      <c r="D312" s="4" t="s">
        <v>2256</v>
      </c>
      <c r="E312" s="10">
        <f>IFERROR(__xludf.DUMMYFUNCTION("SPLIT(B312,""T"")"),43109.0)</f>
        <v>43109</v>
      </c>
      <c r="F312" s="4" t="str">
        <f>IFERROR(__xludf.DUMMYFUNCTION("""COMPUTED_VALUE"""),"11:50:00Z")</f>
        <v>11:50:00Z</v>
      </c>
      <c r="G312" s="11" t="str">
        <f t="shared" si="1"/>
        <v>11:50:00</v>
      </c>
      <c r="H312" s="10">
        <f>IFERROR(__xludf.DUMMYFUNCTION("SPLIT(D312,""T"")"),42924.0)</f>
        <v>42924</v>
      </c>
      <c r="I312" s="4" t="str">
        <f>IFERROR(__xludf.DUMMYFUNCTION("""COMPUTED_VALUE"""),"16:38:00Z")</f>
        <v>16:38:00Z</v>
      </c>
      <c r="J312" s="4" t="str">
        <f t="shared" si="2"/>
        <v>16:38:00</v>
      </c>
      <c r="K312" s="4">
        <f t="shared" si="3"/>
        <v>185</v>
      </c>
      <c r="L312" s="4">
        <f t="shared" si="4"/>
        <v>-0.2</v>
      </c>
      <c r="M312" s="4">
        <f t="shared" si="5"/>
        <v>184.8</v>
      </c>
    </row>
    <row r="313">
      <c r="A313" s="4" t="s">
        <v>367</v>
      </c>
      <c r="B313" s="4" t="s">
        <v>1900</v>
      </c>
      <c r="C313" s="4" t="s">
        <v>826</v>
      </c>
      <c r="D313" s="4" t="s">
        <v>2332</v>
      </c>
      <c r="E313" s="10">
        <f>IFERROR(__xludf.DUMMYFUNCTION("SPLIT(B313,""T"")"),43109.0)</f>
        <v>43109</v>
      </c>
      <c r="F313" s="4" t="str">
        <f>IFERROR(__xludf.DUMMYFUNCTION("""COMPUTED_VALUE"""),"11:50:00Z")</f>
        <v>11:50:00Z</v>
      </c>
      <c r="G313" s="11" t="str">
        <f t="shared" si="1"/>
        <v>11:50:00</v>
      </c>
      <c r="H313" s="10">
        <f>IFERROR(__xludf.DUMMYFUNCTION("SPLIT(D313,""T"")"),42924.0)</f>
        <v>42924</v>
      </c>
      <c r="I313" s="4" t="str">
        <f>IFERROR(__xludf.DUMMYFUNCTION("""COMPUTED_VALUE"""),"16:47:00Z")</f>
        <v>16:47:00Z</v>
      </c>
      <c r="J313" s="4" t="str">
        <f t="shared" si="2"/>
        <v>16:47:00</v>
      </c>
      <c r="K313" s="4">
        <f t="shared" si="3"/>
        <v>185</v>
      </c>
      <c r="L313" s="4">
        <f t="shared" si="4"/>
        <v>-0.20625</v>
      </c>
      <c r="M313" s="4">
        <f t="shared" si="5"/>
        <v>184.79375</v>
      </c>
    </row>
    <row r="314">
      <c r="A314" s="4" t="s">
        <v>114</v>
      </c>
      <c r="B314" s="4" t="s">
        <v>1900</v>
      </c>
      <c r="C314" s="4" t="s">
        <v>1901</v>
      </c>
      <c r="D314" s="4" t="s">
        <v>1902</v>
      </c>
      <c r="E314" s="10">
        <f>IFERROR(__xludf.DUMMYFUNCTION("SPLIT(B314,""T"")"),43109.0)</f>
        <v>43109</v>
      </c>
      <c r="F314" s="4" t="str">
        <f>IFERROR(__xludf.DUMMYFUNCTION("""COMPUTED_VALUE"""),"11:50:00Z")</f>
        <v>11:50:00Z</v>
      </c>
      <c r="G314" s="11" t="str">
        <f t="shared" si="1"/>
        <v>11:50:00</v>
      </c>
      <c r="H314" s="10">
        <f>IFERROR(__xludf.DUMMYFUNCTION("SPLIT(D314,""T"")"),42924.0)</f>
        <v>42924</v>
      </c>
      <c r="I314" s="4" t="str">
        <f>IFERROR(__xludf.DUMMYFUNCTION("""COMPUTED_VALUE"""),"18:30:00Z")</f>
        <v>18:30:00Z</v>
      </c>
      <c r="J314" s="4" t="str">
        <f t="shared" si="2"/>
        <v>18:30:00</v>
      </c>
      <c r="K314" s="4">
        <f t="shared" si="3"/>
        <v>185</v>
      </c>
      <c r="L314" s="4">
        <f t="shared" si="4"/>
        <v>-0.2777777778</v>
      </c>
      <c r="M314" s="4">
        <f t="shared" si="5"/>
        <v>184.7222222</v>
      </c>
    </row>
    <row r="315">
      <c r="A315" s="4" t="s">
        <v>149</v>
      </c>
      <c r="B315" s="4" t="s">
        <v>1900</v>
      </c>
      <c r="C315" s="4" t="s">
        <v>1901</v>
      </c>
      <c r="D315" s="4" t="s">
        <v>1902</v>
      </c>
      <c r="E315" s="10">
        <f>IFERROR(__xludf.DUMMYFUNCTION("SPLIT(B315,""T"")"),43109.0)</f>
        <v>43109</v>
      </c>
      <c r="F315" s="4" t="str">
        <f>IFERROR(__xludf.DUMMYFUNCTION("""COMPUTED_VALUE"""),"11:50:00Z")</f>
        <v>11:50:00Z</v>
      </c>
      <c r="G315" s="11" t="str">
        <f t="shared" si="1"/>
        <v>11:50:00</v>
      </c>
      <c r="H315" s="10">
        <f>IFERROR(__xludf.DUMMYFUNCTION("SPLIT(D315,""T"")"),42924.0)</f>
        <v>42924</v>
      </c>
      <c r="I315" s="4" t="str">
        <f>IFERROR(__xludf.DUMMYFUNCTION("""COMPUTED_VALUE"""),"18:30:00Z")</f>
        <v>18:30:00Z</v>
      </c>
      <c r="J315" s="4" t="str">
        <f t="shared" si="2"/>
        <v>18:30:00</v>
      </c>
      <c r="K315" s="4">
        <f t="shared" si="3"/>
        <v>185</v>
      </c>
      <c r="L315" s="4">
        <f t="shared" si="4"/>
        <v>-0.2777777778</v>
      </c>
      <c r="M315" s="4">
        <f t="shared" si="5"/>
        <v>184.7222222</v>
      </c>
    </row>
    <row r="316">
      <c r="A316" s="4" t="s">
        <v>54</v>
      </c>
      <c r="B316" s="4" t="s">
        <v>1769</v>
      </c>
      <c r="C316" s="4" t="s">
        <v>2448</v>
      </c>
      <c r="D316" s="4" t="s">
        <v>2449</v>
      </c>
      <c r="E316" s="10">
        <f>IFERROR(__xludf.DUMMYFUNCTION("SPLIT(B316,""T"")"),43109.0)</f>
        <v>43109</v>
      </c>
      <c r="F316" s="4" t="str">
        <f>IFERROR(__xludf.DUMMYFUNCTION("""COMPUTED_VALUE"""),"11:51:00Z")</f>
        <v>11:51:00Z</v>
      </c>
      <c r="G316" s="11" t="str">
        <f t="shared" si="1"/>
        <v>11:51:00</v>
      </c>
      <c r="H316" s="10">
        <f>IFERROR(__xludf.DUMMYFUNCTION("SPLIT(D316,""T"")"),42924.0)</f>
        <v>42924</v>
      </c>
      <c r="I316" s="4" t="str">
        <f>IFERROR(__xludf.DUMMYFUNCTION("""COMPUTED_VALUE"""),"18:58:00Z")</f>
        <v>18:58:00Z</v>
      </c>
      <c r="J316" s="4" t="str">
        <f t="shared" si="2"/>
        <v>18:58:00</v>
      </c>
      <c r="K316" s="4">
        <f t="shared" si="3"/>
        <v>185</v>
      </c>
      <c r="L316" s="4">
        <f t="shared" si="4"/>
        <v>-0.2965277778</v>
      </c>
      <c r="M316" s="4">
        <f t="shared" si="5"/>
        <v>184.7034722</v>
      </c>
    </row>
    <row r="317">
      <c r="A317" s="4" t="s">
        <v>435</v>
      </c>
      <c r="B317" s="4" t="s">
        <v>1877</v>
      </c>
      <c r="C317" s="4" t="s">
        <v>1278</v>
      </c>
      <c r="D317" s="4" t="s">
        <v>1878</v>
      </c>
      <c r="E317" s="10">
        <f>IFERROR(__xludf.DUMMYFUNCTION("SPLIT(B317,""T"")"),43187.0)</f>
        <v>43187</v>
      </c>
      <c r="F317" s="4" t="str">
        <f>IFERROR(__xludf.DUMMYFUNCTION("""COMPUTED_VALUE"""),"11:36:00Z")</f>
        <v>11:36:00Z</v>
      </c>
      <c r="G317" s="11" t="str">
        <f t="shared" si="1"/>
        <v>11:36:00</v>
      </c>
      <c r="H317" s="10">
        <f>IFERROR(__xludf.DUMMYFUNCTION("SPLIT(D317,""T"")"),43003.0)</f>
        <v>43003</v>
      </c>
      <c r="I317" s="4" t="str">
        <f>IFERROR(__xludf.DUMMYFUNCTION("""COMPUTED_VALUE"""),"13:03:00Z")</f>
        <v>13:03:00Z</v>
      </c>
      <c r="J317" s="4" t="str">
        <f t="shared" si="2"/>
        <v>13:03:00</v>
      </c>
      <c r="K317" s="4">
        <f t="shared" si="3"/>
        <v>184</v>
      </c>
      <c r="L317" s="4">
        <f t="shared" si="4"/>
        <v>-0.06041666667</v>
      </c>
      <c r="M317" s="4">
        <f t="shared" si="5"/>
        <v>183.9395833</v>
      </c>
    </row>
    <row r="318">
      <c r="A318" s="4" t="s">
        <v>149</v>
      </c>
      <c r="B318" s="4" t="s">
        <v>1769</v>
      </c>
      <c r="C318" s="4" t="s">
        <v>2049</v>
      </c>
      <c r="D318" s="4" t="s">
        <v>2050</v>
      </c>
      <c r="E318" s="10">
        <f>IFERROR(__xludf.DUMMYFUNCTION("SPLIT(B318,""T"")"),43109.0)</f>
        <v>43109</v>
      </c>
      <c r="F318" s="4" t="str">
        <f>IFERROR(__xludf.DUMMYFUNCTION("""COMPUTED_VALUE"""),"11:51:00Z")</f>
        <v>11:51:00Z</v>
      </c>
      <c r="G318" s="11" t="str">
        <f t="shared" si="1"/>
        <v>11:51:00</v>
      </c>
      <c r="H318" s="10">
        <f>IFERROR(__xludf.DUMMYFUNCTION("SPLIT(D318,""T"")"),42925.0)</f>
        <v>42925</v>
      </c>
      <c r="I318" s="4" t="str">
        <f>IFERROR(__xludf.DUMMYFUNCTION("""COMPUTED_VALUE"""),"13:49:00Z")</f>
        <v>13:49:00Z</v>
      </c>
      <c r="J318" s="4" t="str">
        <f t="shared" si="2"/>
        <v>13:49:00</v>
      </c>
      <c r="K318" s="4">
        <f t="shared" si="3"/>
        <v>184</v>
      </c>
      <c r="L318" s="4">
        <f t="shared" si="4"/>
        <v>-0.08194444444</v>
      </c>
      <c r="M318" s="4">
        <f t="shared" si="5"/>
        <v>183.9180556</v>
      </c>
    </row>
    <row r="319">
      <c r="A319" s="4" t="s">
        <v>489</v>
      </c>
      <c r="B319" s="4" t="s">
        <v>2820</v>
      </c>
      <c r="C319" s="4" t="s">
        <v>2983</v>
      </c>
      <c r="D319" s="4" t="s">
        <v>2984</v>
      </c>
      <c r="E319" s="10">
        <f>IFERROR(__xludf.DUMMYFUNCTION("SPLIT(B319,""T"")"),43469.0)</f>
        <v>43469</v>
      </c>
      <c r="F319" s="4" t="str">
        <f>IFERROR(__xludf.DUMMYFUNCTION("""COMPUTED_VALUE"""),"09:56:00Z")</f>
        <v>09:56:00Z</v>
      </c>
      <c r="G319" s="11" t="str">
        <f t="shared" si="1"/>
        <v>09:56:00</v>
      </c>
      <c r="H319" s="10">
        <f>IFERROR(__xludf.DUMMYFUNCTION("SPLIT(D319,""T"")"),43285.0)</f>
        <v>43285</v>
      </c>
      <c r="I319" s="4" t="str">
        <f>IFERROR(__xludf.DUMMYFUNCTION("""COMPUTED_VALUE"""),"13:14:00Z")</f>
        <v>13:14:00Z</v>
      </c>
      <c r="J319" s="4" t="str">
        <f t="shared" si="2"/>
        <v>13:14:00</v>
      </c>
      <c r="K319" s="4">
        <f t="shared" si="3"/>
        <v>184</v>
      </c>
      <c r="L319" s="4">
        <f t="shared" si="4"/>
        <v>-0.1375</v>
      </c>
      <c r="M319" s="4">
        <f t="shared" si="5"/>
        <v>183.8625</v>
      </c>
    </row>
    <row r="320">
      <c r="A320" s="4" t="s">
        <v>1768</v>
      </c>
      <c r="B320" s="4" t="s">
        <v>1769</v>
      </c>
      <c r="C320" s="4" t="s">
        <v>1770</v>
      </c>
      <c r="D320" s="4" t="s">
        <v>1771</v>
      </c>
      <c r="E320" s="10">
        <f>IFERROR(__xludf.DUMMYFUNCTION("SPLIT(B320,""T"")"),43109.0)</f>
        <v>43109</v>
      </c>
      <c r="F320" s="4" t="str">
        <f>IFERROR(__xludf.DUMMYFUNCTION("""COMPUTED_VALUE"""),"11:51:00Z")</f>
        <v>11:51:00Z</v>
      </c>
      <c r="G320" s="11" t="str">
        <f t="shared" si="1"/>
        <v>11:51:00</v>
      </c>
      <c r="H320" s="10">
        <f>IFERROR(__xludf.DUMMYFUNCTION("SPLIT(D320,""T"")"),42925.0)</f>
        <v>42925</v>
      </c>
      <c r="I320" s="4" t="str">
        <f>IFERROR(__xludf.DUMMYFUNCTION("""COMPUTED_VALUE"""),"15:10:00Z")</f>
        <v>15:10:00Z</v>
      </c>
      <c r="J320" s="4" t="str">
        <f t="shared" si="2"/>
        <v>15:10:00</v>
      </c>
      <c r="K320" s="4">
        <f t="shared" si="3"/>
        <v>184</v>
      </c>
      <c r="L320" s="4">
        <f t="shared" si="4"/>
        <v>-0.1381944444</v>
      </c>
      <c r="M320" s="4">
        <f t="shared" si="5"/>
        <v>183.8618056</v>
      </c>
    </row>
    <row r="321">
      <c r="A321" s="4" t="s">
        <v>87</v>
      </c>
      <c r="B321" s="4" t="s">
        <v>2820</v>
      </c>
      <c r="C321" s="4" t="s">
        <v>2870</v>
      </c>
      <c r="D321" s="4" t="s">
        <v>2871</v>
      </c>
      <c r="E321" s="10">
        <f>IFERROR(__xludf.DUMMYFUNCTION("SPLIT(B321,""T"")"),43469.0)</f>
        <v>43469</v>
      </c>
      <c r="F321" s="4" t="str">
        <f>IFERROR(__xludf.DUMMYFUNCTION("""COMPUTED_VALUE"""),"09:56:00Z")</f>
        <v>09:56:00Z</v>
      </c>
      <c r="G321" s="11" t="str">
        <f t="shared" si="1"/>
        <v>09:56:00</v>
      </c>
      <c r="H321" s="10">
        <f>IFERROR(__xludf.DUMMYFUNCTION("SPLIT(D321,""T"")"),43285.0)</f>
        <v>43285</v>
      </c>
      <c r="I321" s="4" t="str">
        <f>IFERROR(__xludf.DUMMYFUNCTION("""COMPUTED_VALUE"""),"13:30:00Z")</f>
        <v>13:30:00Z</v>
      </c>
      <c r="J321" s="4" t="str">
        <f t="shared" si="2"/>
        <v>13:30:00</v>
      </c>
      <c r="K321" s="4">
        <f t="shared" si="3"/>
        <v>184</v>
      </c>
      <c r="L321" s="4">
        <f t="shared" si="4"/>
        <v>-0.1486111111</v>
      </c>
      <c r="M321" s="4">
        <f t="shared" si="5"/>
        <v>183.8513889</v>
      </c>
    </row>
    <row r="322">
      <c r="A322" s="4" t="s">
        <v>27</v>
      </c>
      <c r="B322" s="4" t="s">
        <v>2820</v>
      </c>
      <c r="C322" s="4" t="s">
        <v>3008</v>
      </c>
      <c r="D322" s="4" t="s">
        <v>3009</v>
      </c>
      <c r="E322" s="10">
        <f>IFERROR(__xludf.DUMMYFUNCTION("SPLIT(B322,""T"")"),43469.0)</f>
        <v>43469</v>
      </c>
      <c r="F322" s="4" t="str">
        <f>IFERROR(__xludf.DUMMYFUNCTION("""COMPUTED_VALUE"""),"09:56:00Z")</f>
        <v>09:56:00Z</v>
      </c>
      <c r="G322" s="11" t="str">
        <f t="shared" si="1"/>
        <v>09:56:00</v>
      </c>
      <c r="H322" s="10">
        <f>IFERROR(__xludf.DUMMYFUNCTION("SPLIT(D322,""T"")"),43285.0)</f>
        <v>43285</v>
      </c>
      <c r="I322" s="4" t="str">
        <f>IFERROR(__xludf.DUMMYFUNCTION("""COMPUTED_VALUE"""),"14:20:00Z")</f>
        <v>14:20:00Z</v>
      </c>
      <c r="J322" s="4" t="str">
        <f t="shared" si="2"/>
        <v>14:20:00</v>
      </c>
      <c r="K322" s="4">
        <f t="shared" si="3"/>
        <v>184</v>
      </c>
      <c r="L322" s="4">
        <f t="shared" si="4"/>
        <v>-0.1833333333</v>
      </c>
      <c r="M322" s="4">
        <f t="shared" si="5"/>
        <v>183.8166667</v>
      </c>
    </row>
    <row r="323">
      <c r="A323" s="4" t="s">
        <v>130</v>
      </c>
      <c r="B323" s="4" t="s">
        <v>2820</v>
      </c>
      <c r="C323" s="4" t="s">
        <v>2821</v>
      </c>
      <c r="D323" s="4" t="s">
        <v>2822</v>
      </c>
      <c r="E323" s="10">
        <f>IFERROR(__xludf.DUMMYFUNCTION("SPLIT(B323,""T"")"),43469.0)</f>
        <v>43469</v>
      </c>
      <c r="F323" s="4" t="str">
        <f>IFERROR(__xludf.DUMMYFUNCTION("""COMPUTED_VALUE"""),"09:56:00Z")</f>
        <v>09:56:00Z</v>
      </c>
      <c r="G323" s="11" t="str">
        <f t="shared" si="1"/>
        <v>09:56:00</v>
      </c>
      <c r="H323" s="10">
        <f>IFERROR(__xludf.DUMMYFUNCTION("SPLIT(D323,""T"")"),43285.0)</f>
        <v>43285</v>
      </c>
      <c r="I323" s="4" t="str">
        <f>IFERROR(__xludf.DUMMYFUNCTION("""COMPUTED_VALUE"""),"17:09:00Z")</f>
        <v>17:09:00Z</v>
      </c>
      <c r="J323" s="4" t="str">
        <f t="shared" si="2"/>
        <v>17:09:00</v>
      </c>
      <c r="K323" s="4">
        <f t="shared" si="3"/>
        <v>184</v>
      </c>
      <c r="L323" s="4">
        <f t="shared" si="4"/>
        <v>-0.3006944444</v>
      </c>
      <c r="M323" s="4">
        <f t="shared" si="5"/>
        <v>183.6993056</v>
      </c>
    </row>
    <row r="324">
      <c r="A324" s="4" t="s">
        <v>1981</v>
      </c>
      <c r="B324" s="4" t="s">
        <v>1769</v>
      </c>
      <c r="C324" s="4" t="s">
        <v>1982</v>
      </c>
      <c r="D324" s="4" t="s">
        <v>1983</v>
      </c>
      <c r="E324" s="10">
        <f>IFERROR(__xludf.DUMMYFUNCTION("SPLIT(B324,""T"")"),43109.0)</f>
        <v>43109</v>
      </c>
      <c r="F324" s="4" t="str">
        <f>IFERROR(__xludf.DUMMYFUNCTION("""COMPUTED_VALUE"""),"11:51:00Z")</f>
        <v>11:51:00Z</v>
      </c>
      <c r="G324" s="11" t="str">
        <f t="shared" si="1"/>
        <v>11:51:00</v>
      </c>
      <c r="H324" s="10">
        <f>IFERROR(__xludf.DUMMYFUNCTION("SPLIT(D324,""T"")"),42926.0)</f>
        <v>42926</v>
      </c>
      <c r="I324" s="4" t="str">
        <f>IFERROR(__xludf.DUMMYFUNCTION("""COMPUTED_VALUE"""),"13:02:00Z")</f>
        <v>13:02:00Z</v>
      </c>
      <c r="J324" s="4" t="str">
        <f t="shared" si="2"/>
        <v>13:02:00</v>
      </c>
      <c r="K324" s="4">
        <f t="shared" si="3"/>
        <v>183</v>
      </c>
      <c r="L324" s="4">
        <f t="shared" si="4"/>
        <v>-0.04930555556</v>
      </c>
      <c r="M324" s="4">
        <f t="shared" si="5"/>
        <v>182.9506944</v>
      </c>
    </row>
    <row r="325">
      <c r="A325" s="4" t="s">
        <v>46</v>
      </c>
      <c r="B325" s="4" t="s">
        <v>2673</v>
      </c>
      <c r="C325" s="4" t="s">
        <v>2674</v>
      </c>
      <c r="D325" s="4" t="s">
        <v>2675</v>
      </c>
      <c r="E325" s="10">
        <f>IFERROR(__xludf.DUMMYFUNCTION("SPLIT(B325,""T"")"),43469.0)</f>
        <v>43469</v>
      </c>
      <c r="F325" s="4" t="str">
        <f>IFERROR(__xludf.DUMMYFUNCTION("""COMPUTED_VALUE"""),"09:55:00Z")</f>
        <v>09:55:00Z</v>
      </c>
      <c r="G325" s="11" t="str">
        <f t="shared" si="1"/>
        <v>09:55:00</v>
      </c>
      <c r="H325" s="10">
        <f>IFERROR(__xludf.DUMMYFUNCTION("SPLIT(D325,""T"")"),43286.0)</f>
        <v>43286</v>
      </c>
      <c r="I325" s="4" t="str">
        <f>IFERROR(__xludf.DUMMYFUNCTION("""COMPUTED_VALUE"""),"12:31:00Z")</f>
        <v>12:31:00Z</v>
      </c>
      <c r="J325" s="4" t="str">
        <f t="shared" si="2"/>
        <v>12:31:00</v>
      </c>
      <c r="K325" s="4">
        <f t="shared" si="3"/>
        <v>183</v>
      </c>
      <c r="L325" s="4">
        <f t="shared" si="4"/>
        <v>-0.1083333333</v>
      </c>
      <c r="M325" s="4">
        <f t="shared" si="5"/>
        <v>182.8916667</v>
      </c>
    </row>
    <row r="326">
      <c r="A326" s="4" t="s">
        <v>87</v>
      </c>
      <c r="B326" s="4" t="s">
        <v>1750</v>
      </c>
      <c r="C326" s="4" t="s">
        <v>770</v>
      </c>
      <c r="D326" s="4" t="s">
        <v>2118</v>
      </c>
      <c r="E326" s="10">
        <f>IFERROR(__xludf.DUMMYFUNCTION("SPLIT(B326,""T"")"),43109.0)</f>
        <v>43109</v>
      </c>
      <c r="F326" s="4" t="str">
        <f>IFERROR(__xludf.DUMMYFUNCTION("""COMPUTED_VALUE"""),"11:52:00Z")</f>
        <v>11:52:00Z</v>
      </c>
      <c r="G326" s="11" t="str">
        <f t="shared" si="1"/>
        <v>11:52:00</v>
      </c>
      <c r="H326" s="10">
        <f>IFERROR(__xludf.DUMMYFUNCTION("SPLIT(D326,""T"")"),42926.0)</f>
        <v>42926</v>
      </c>
      <c r="I326" s="4" t="str">
        <f>IFERROR(__xludf.DUMMYFUNCTION("""COMPUTED_VALUE"""),"14:45:00Z")</f>
        <v>14:45:00Z</v>
      </c>
      <c r="J326" s="4" t="str">
        <f t="shared" si="2"/>
        <v>14:45:00</v>
      </c>
      <c r="K326" s="4">
        <f t="shared" si="3"/>
        <v>183</v>
      </c>
      <c r="L326" s="4">
        <f t="shared" si="4"/>
        <v>-0.1201388889</v>
      </c>
      <c r="M326" s="4">
        <f t="shared" si="5"/>
        <v>182.8798611</v>
      </c>
    </row>
    <row r="327">
      <c r="A327" s="4" t="s">
        <v>401</v>
      </c>
      <c r="B327" s="4" t="s">
        <v>1750</v>
      </c>
      <c r="C327" s="4" t="s">
        <v>2266</v>
      </c>
      <c r="D327" s="4" t="s">
        <v>2267</v>
      </c>
      <c r="E327" s="10">
        <f>IFERROR(__xludf.DUMMYFUNCTION("SPLIT(B327,""T"")"),43109.0)</f>
        <v>43109</v>
      </c>
      <c r="F327" s="4" t="str">
        <f>IFERROR(__xludf.DUMMYFUNCTION("""COMPUTED_VALUE"""),"11:52:00Z")</f>
        <v>11:52:00Z</v>
      </c>
      <c r="G327" s="11" t="str">
        <f t="shared" si="1"/>
        <v>11:52:00</v>
      </c>
      <c r="H327" s="10">
        <f>IFERROR(__xludf.DUMMYFUNCTION("SPLIT(D327,""T"")"),42926.0)</f>
        <v>42926</v>
      </c>
      <c r="I327" s="4" t="str">
        <f>IFERROR(__xludf.DUMMYFUNCTION("""COMPUTED_VALUE"""),"15:54:00Z")</f>
        <v>15:54:00Z</v>
      </c>
      <c r="J327" s="4" t="str">
        <f t="shared" si="2"/>
        <v>15:54:00</v>
      </c>
      <c r="K327" s="4">
        <f t="shared" si="3"/>
        <v>183</v>
      </c>
      <c r="L327" s="4">
        <f t="shared" si="4"/>
        <v>-0.1680555556</v>
      </c>
      <c r="M327" s="4">
        <f t="shared" si="5"/>
        <v>182.8319444</v>
      </c>
    </row>
    <row r="328" hidden="1">
      <c r="A328" s="4" t="s">
        <v>205</v>
      </c>
      <c r="B328" s="4" t="s">
        <v>972</v>
      </c>
      <c r="C328" s="4" t="s">
        <v>973</v>
      </c>
      <c r="D328" s="4" t="s">
        <v>974</v>
      </c>
      <c r="E328" s="10">
        <f>IFERROR(__xludf.DUMMYFUNCTION("SPLIT(B328,""T"")"),42152.0)</f>
        <v>42152</v>
      </c>
      <c r="F328" s="4" t="str">
        <f>IFERROR(__xludf.DUMMYFUNCTION("""COMPUTED_VALUE"""),"10:30:00Z")</f>
        <v>10:30:00Z</v>
      </c>
      <c r="G328" s="11" t="str">
        <f t="shared" si="1"/>
        <v>10:30:00</v>
      </c>
      <c r="H328" s="10">
        <f>IFERROR(__xludf.DUMMYFUNCTION("SPLIT(D328,""T"")"),42152.0)</f>
        <v>42152</v>
      </c>
      <c r="I328" s="4" t="str">
        <f>IFERROR(__xludf.DUMMYFUNCTION("""COMPUTED_VALUE"""),"17:00:00Z")</f>
        <v>17:00:00Z</v>
      </c>
      <c r="J328" s="4" t="str">
        <f t="shared" si="2"/>
        <v>17:00:00</v>
      </c>
      <c r="K328" s="4">
        <f t="shared" si="3"/>
        <v>0</v>
      </c>
      <c r="L328" s="4">
        <f t="shared" si="4"/>
        <v>-0.2708333333</v>
      </c>
      <c r="M328" s="4">
        <f t="shared" si="5"/>
        <v>-0.2708333333</v>
      </c>
    </row>
    <row r="329">
      <c r="A329" s="4" t="s">
        <v>313</v>
      </c>
      <c r="B329" s="4" t="s">
        <v>2673</v>
      </c>
      <c r="C329" s="4" t="s">
        <v>2960</v>
      </c>
      <c r="D329" s="4" t="s">
        <v>2961</v>
      </c>
      <c r="E329" s="10">
        <f>IFERROR(__xludf.DUMMYFUNCTION("SPLIT(B329,""T"")"),43469.0)</f>
        <v>43469</v>
      </c>
      <c r="F329" s="4" t="str">
        <f>IFERROR(__xludf.DUMMYFUNCTION("""COMPUTED_VALUE"""),"09:55:00Z")</f>
        <v>09:55:00Z</v>
      </c>
      <c r="G329" s="11" t="str">
        <f t="shared" si="1"/>
        <v>09:55:00</v>
      </c>
      <c r="H329" s="10">
        <f>IFERROR(__xludf.DUMMYFUNCTION("SPLIT(D329,""T"")"),43286.0)</f>
        <v>43286</v>
      </c>
      <c r="I329" s="4" t="str">
        <f>IFERROR(__xludf.DUMMYFUNCTION("""COMPUTED_VALUE"""),"15:12:00Z")</f>
        <v>15:12:00Z</v>
      </c>
      <c r="J329" s="4" t="str">
        <f t="shared" si="2"/>
        <v>15:12:00</v>
      </c>
      <c r="K329" s="4">
        <f t="shared" si="3"/>
        <v>183</v>
      </c>
      <c r="L329" s="4">
        <f t="shared" si="4"/>
        <v>-0.2201388889</v>
      </c>
      <c r="M329" s="4">
        <f t="shared" si="5"/>
        <v>182.7798611</v>
      </c>
    </row>
    <row r="330">
      <c r="A330" s="4" t="s">
        <v>134</v>
      </c>
      <c r="B330" s="4" t="s">
        <v>2673</v>
      </c>
      <c r="C330" s="4" t="s">
        <v>2953</v>
      </c>
      <c r="D330" s="4" t="s">
        <v>2954</v>
      </c>
      <c r="E330" s="10">
        <f>IFERROR(__xludf.DUMMYFUNCTION("SPLIT(B330,""T"")"),43469.0)</f>
        <v>43469</v>
      </c>
      <c r="F330" s="4" t="str">
        <f>IFERROR(__xludf.DUMMYFUNCTION("""COMPUTED_VALUE"""),"09:55:00Z")</f>
        <v>09:55:00Z</v>
      </c>
      <c r="G330" s="11" t="str">
        <f t="shared" si="1"/>
        <v>09:55:00</v>
      </c>
      <c r="H330" s="10">
        <f>IFERROR(__xludf.DUMMYFUNCTION("SPLIT(D330,""T"")"),43287.0)</f>
        <v>43287</v>
      </c>
      <c r="I330" s="4" t="str">
        <f>IFERROR(__xludf.DUMMYFUNCTION("""COMPUTED_VALUE"""),"09:36:00Z")</f>
        <v>09:36:00Z</v>
      </c>
      <c r="J330" s="4" t="str">
        <f t="shared" si="2"/>
        <v>09:36:00</v>
      </c>
      <c r="K330" s="4">
        <f t="shared" si="3"/>
        <v>182</v>
      </c>
      <c r="L330" s="4">
        <f t="shared" si="4"/>
        <v>0.01319444444</v>
      </c>
      <c r="M330" s="4">
        <f t="shared" si="5"/>
        <v>182.0131944</v>
      </c>
    </row>
    <row r="331">
      <c r="A331" s="4" t="s">
        <v>62</v>
      </c>
      <c r="B331" s="4" t="s">
        <v>2673</v>
      </c>
      <c r="C331" s="4" t="s">
        <v>3230</v>
      </c>
      <c r="D331" s="4" t="s">
        <v>3231</v>
      </c>
      <c r="E331" s="10">
        <f>IFERROR(__xludf.DUMMYFUNCTION("SPLIT(B331,""T"")"),43469.0)</f>
        <v>43469</v>
      </c>
      <c r="F331" s="4" t="str">
        <f>IFERROR(__xludf.DUMMYFUNCTION("""COMPUTED_VALUE"""),"09:55:00Z")</f>
        <v>09:55:00Z</v>
      </c>
      <c r="G331" s="11" t="str">
        <f t="shared" si="1"/>
        <v>09:55:00</v>
      </c>
      <c r="H331" s="10">
        <f>IFERROR(__xludf.DUMMYFUNCTION("SPLIT(D331,""T"")"),43287.0)</f>
        <v>43287</v>
      </c>
      <c r="I331" s="4" t="str">
        <f>IFERROR(__xludf.DUMMYFUNCTION("""COMPUTED_VALUE"""),"10:11:00Z")</f>
        <v>10:11:00Z</v>
      </c>
      <c r="J331" s="4" t="str">
        <f t="shared" si="2"/>
        <v>10:11:00</v>
      </c>
      <c r="K331" s="4">
        <f t="shared" si="3"/>
        <v>182</v>
      </c>
      <c r="L331" s="4">
        <f t="shared" si="4"/>
        <v>-0.01111111111</v>
      </c>
      <c r="M331" s="4">
        <f t="shared" si="5"/>
        <v>181.9888889</v>
      </c>
    </row>
    <row r="332">
      <c r="A332" s="4" t="s">
        <v>401</v>
      </c>
      <c r="B332" s="4" t="s">
        <v>2723</v>
      </c>
      <c r="C332" s="4" t="s">
        <v>2932</v>
      </c>
      <c r="D332" s="4" t="s">
        <v>2933</v>
      </c>
      <c r="E332" s="10">
        <f>IFERROR(__xludf.DUMMYFUNCTION("SPLIT(B332,""T"")"),43469.0)</f>
        <v>43469</v>
      </c>
      <c r="F332" s="4" t="str">
        <f>IFERROR(__xludf.DUMMYFUNCTION("""COMPUTED_VALUE"""),"09:54:00Z")</f>
        <v>09:54:00Z</v>
      </c>
      <c r="G332" s="11" t="str">
        <f t="shared" si="1"/>
        <v>09:54:00</v>
      </c>
      <c r="H332" s="10">
        <f>IFERROR(__xludf.DUMMYFUNCTION("SPLIT(D332,""T"")"),43287.0)</f>
        <v>43287</v>
      </c>
      <c r="I332" s="4" t="str">
        <f>IFERROR(__xludf.DUMMYFUNCTION("""COMPUTED_VALUE"""),"10:40:00Z")</f>
        <v>10:40:00Z</v>
      </c>
      <c r="J332" s="4" t="str">
        <f t="shared" si="2"/>
        <v>10:40:00</v>
      </c>
      <c r="K332" s="4">
        <f t="shared" si="3"/>
        <v>182</v>
      </c>
      <c r="L332" s="4">
        <f t="shared" si="4"/>
        <v>-0.03194444444</v>
      </c>
      <c r="M332" s="4">
        <f t="shared" si="5"/>
        <v>181.9680556</v>
      </c>
    </row>
    <row r="333">
      <c r="A333" s="4" t="s">
        <v>62</v>
      </c>
      <c r="B333" s="4" t="s">
        <v>1750</v>
      </c>
      <c r="C333" s="4" t="s">
        <v>2031</v>
      </c>
      <c r="D333" s="4" t="s">
        <v>2032</v>
      </c>
      <c r="E333" s="10">
        <f>IFERROR(__xludf.DUMMYFUNCTION("SPLIT(B333,""T"")"),43109.0)</f>
        <v>43109</v>
      </c>
      <c r="F333" s="4" t="str">
        <f>IFERROR(__xludf.DUMMYFUNCTION("""COMPUTED_VALUE"""),"11:52:00Z")</f>
        <v>11:52:00Z</v>
      </c>
      <c r="G333" s="11" t="str">
        <f t="shared" si="1"/>
        <v>11:52:00</v>
      </c>
      <c r="H333" s="10">
        <f>IFERROR(__xludf.DUMMYFUNCTION("SPLIT(D333,""T"")"),42927.0)</f>
        <v>42927</v>
      </c>
      <c r="I333" s="4" t="str">
        <f>IFERROR(__xludf.DUMMYFUNCTION("""COMPUTED_VALUE"""),"13:45:00Z")</f>
        <v>13:45:00Z</v>
      </c>
      <c r="J333" s="4" t="str">
        <f t="shared" si="2"/>
        <v>13:45:00</v>
      </c>
      <c r="K333" s="4">
        <f t="shared" si="3"/>
        <v>182</v>
      </c>
      <c r="L333" s="4">
        <f t="shared" si="4"/>
        <v>-0.07847222222</v>
      </c>
      <c r="M333" s="4">
        <f t="shared" si="5"/>
        <v>181.9215278</v>
      </c>
    </row>
    <row r="334">
      <c r="A334" s="4" t="s">
        <v>320</v>
      </c>
      <c r="B334" s="4" t="s">
        <v>1750</v>
      </c>
      <c r="C334" s="4" t="s">
        <v>1751</v>
      </c>
      <c r="D334" s="4" t="s">
        <v>1752</v>
      </c>
      <c r="E334" s="10">
        <f>IFERROR(__xludf.DUMMYFUNCTION("SPLIT(B334,""T"")"),43109.0)</f>
        <v>43109</v>
      </c>
      <c r="F334" s="4" t="str">
        <f>IFERROR(__xludf.DUMMYFUNCTION("""COMPUTED_VALUE"""),"11:52:00Z")</f>
        <v>11:52:00Z</v>
      </c>
      <c r="G334" s="11" t="str">
        <f t="shared" si="1"/>
        <v>11:52:00</v>
      </c>
      <c r="H334" s="10">
        <f>IFERROR(__xludf.DUMMYFUNCTION("SPLIT(D334,""T"")"),42927.0)</f>
        <v>42927</v>
      </c>
      <c r="I334" s="4" t="str">
        <f>IFERROR(__xludf.DUMMYFUNCTION("""COMPUTED_VALUE"""),"14:15:00Z")</f>
        <v>14:15:00Z</v>
      </c>
      <c r="J334" s="4" t="str">
        <f t="shared" si="2"/>
        <v>14:15:00</v>
      </c>
      <c r="K334" s="4">
        <f t="shared" si="3"/>
        <v>182</v>
      </c>
      <c r="L334" s="4">
        <f t="shared" si="4"/>
        <v>-0.09930555556</v>
      </c>
      <c r="M334" s="4">
        <f t="shared" si="5"/>
        <v>181.9006944</v>
      </c>
    </row>
    <row r="335">
      <c r="A335" s="4" t="s">
        <v>134</v>
      </c>
      <c r="B335" s="4" t="s">
        <v>2673</v>
      </c>
      <c r="C335" s="4" t="s">
        <v>440</v>
      </c>
      <c r="D335" s="4" t="s">
        <v>2754</v>
      </c>
      <c r="E335" s="10">
        <f>IFERROR(__xludf.DUMMYFUNCTION("SPLIT(B335,""T"")"),43469.0)</f>
        <v>43469</v>
      </c>
      <c r="F335" s="4" t="str">
        <f>IFERROR(__xludf.DUMMYFUNCTION("""COMPUTED_VALUE"""),"09:55:00Z")</f>
        <v>09:55:00Z</v>
      </c>
      <c r="G335" s="11" t="str">
        <f t="shared" si="1"/>
        <v>09:55:00</v>
      </c>
      <c r="H335" s="10">
        <f>IFERROR(__xludf.DUMMYFUNCTION("SPLIT(D335,""T"")"),43287.0)</f>
        <v>43287</v>
      </c>
      <c r="I335" s="4" t="str">
        <f>IFERROR(__xludf.DUMMYFUNCTION("""COMPUTED_VALUE"""),"13:29:00Z")</f>
        <v>13:29:00Z</v>
      </c>
      <c r="J335" s="4" t="str">
        <f t="shared" si="2"/>
        <v>13:29:00</v>
      </c>
      <c r="K335" s="4">
        <f t="shared" si="3"/>
        <v>182</v>
      </c>
      <c r="L335" s="4">
        <f t="shared" si="4"/>
        <v>-0.1486111111</v>
      </c>
      <c r="M335" s="4">
        <f t="shared" si="5"/>
        <v>181.8513889</v>
      </c>
    </row>
    <row r="336">
      <c r="A336" s="4" t="s">
        <v>324</v>
      </c>
      <c r="B336" s="4" t="s">
        <v>2723</v>
      </c>
      <c r="C336" s="4" t="s">
        <v>2778</v>
      </c>
      <c r="D336" s="4" t="s">
        <v>2779</v>
      </c>
      <c r="E336" s="10">
        <f>IFERROR(__xludf.DUMMYFUNCTION("SPLIT(B336,""T"")"),43469.0)</f>
        <v>43469</v>
      </c>
      <c r="F336" s="4" t="str">
        <f>IFERROR(__xludf.DUMMYFUNCTION("""COMPUTED_VALUE"""),"09:54:00Z")</f>
        <v>09:54:00Z</v>
      </c>
      <c r="G336" s="11" t="str">
        <f t="shared" si="1"/>
        <v>09:54:00</v>
      </c>
      <c r="H336" s="10">
        <f>IFERROR(__xludf.DUMMYFUNCTION("SPLIT(D336,""T"")"),43287.0)</f>
        <v>43287</v>
      </c>
      <c r="I336" s="4" t="str">
        <f>IFERROR(__xludf.DUMMYFUNCTION("""COMPUTED_VALUE"""),"14:42:00Z")</f>
        <v>14:42:00Z</v>
      </c>
      <c r="J336" s="4" t="str">
        <f t="shared" si="2"/>
        <v>14:42:00</v>
      </c>
      <c r="K336" s="4">
        <f t="shared" si="3"/>
        <v>182</v>
      </c>
      <c r="L336" s="4">
        <f t="shared" si="4"/>
        <v>-0.2</v>
      </c>
      <c r="M336" s="4">
        <f t="shared" si="5"/>
        <v>181.8</v>
      </c>
    </row>
    <row r="337">
      <c r="A337" s="4" t="s">
        <v>401</v>
      </c>
      <c r="B337" s="4" t="s">
        <v>2188</v>
      </c>
      <c r="C337" s="4" t="s">
        <v>2189</v>
      </c>
      <c r="D337" s="4" t="s">
        <v>2190</v>
      </c>
      <c r="E337" s="10">
        <f>IFERROR(__xludf.DUMMYFUNCTION("SPLIT(B337,""T"")"),43109.0)</f>
        <v>43109</v>
      </c>
      <c r="F337" s="4" t="str">
        <f>IFERROR(__xludf.DUMMYFUNCTION("""COMPUTED_VALUE"""),"11:53:00Z")</f>
        <v>11:53:00Z</v>
      </c>
      <c r="G337" s="11" t="str">
        <f t="shared" si="1"/>
        <v>11:53:00</v>
      </c>
      <c r="H337" s="10">
        <f>IFERROR(__xludf.DUMMYFUNCTION("SPLIT(D337,""T"")"),42927.0)</f>
        <v>42927</v>
      </c>
      <c r="I337" s="4" t="str">
        <f>IFERROR(__xludf.DUMMYFUNCTION("""COMPUTED_VALUE"""),"16:51:00Z")</f>
        <v>16:51:00Z</v>
      </c>
      <c r="J337" s="4" t="str">
        <f t="shared" si="2"/>
        <v>16:51:00</v>
      </c>
      <c r="K337" s="4">
        <f t="shared" si="3"/>
        <v>182</v>
      </c>
      <c r="L337" s="4">
        <f t="shared" si="4"/>
        <v>-0.2069444444</v>
      </c>
      <c r="M337" s="4">
        <f t="shared" si="5"/>
        <v>181.7930556</v>
      </c>
    </row>
    <row r="338">
      <c r="A338" s="4" t="s">
        <v>97</v>
      </c>
      <c r="B338" s="4" t="s">
        <v>2723</v>
      </c>
      <c r="C338" s="4" t="s">
        <v>2236</v>
      </c>
      <c r="D338" s="4" t="s">
        <v>2936</v>
      </c>
      <c r="E338" s="10">
        <f>IFERROR(__xludf.DUMMYFUNCTION("SPLIT(B338,""T"")"),43469.0)</f>
        <v>43469</v>
      </c>
      <c r="F338" s="4" t="str">
        <f>IFERROR(__xludf.DUMMYFUNCTION("""COMPUTED_VALUE"""),"09:54:00Z")</f>
        <v>09:54:00Z</v>
      </c>
      <c r="G338" s="11" t="str">
        <f t="shared" si="1"/>
        <v>09:54:00</v>
      </c>
      <c r="H338" s="10">
        <f>IFERROR(__xludf.DUMMYFUNCTION("SPLIT(D338,""T"")"),43287.0)</f>
        <v>43287</v>
      </c>
      <c r="I338" s="4" t="str">
        <f>IFERROR(__xludf.DUMMYFUNCTION("""COMPUTED_VALUE"""),"20:40:00Z")</f>
        <v>20:40:00Z</v>
      </c>
      <c r="J338" s="4" t="str">
        <f t="shared" si="2"/>
        <v>20:40:00</v>
      </c>
      <c r="K338" s="4">
        <f t="shared" si="3"/>
        <v>182</v>
      </c>
      <c r="L338" s="4">
        <f t="shared" si="4"/>
        <v>-0.4486111111</v>
      </c>
      <c r="M338" s="4">
        <f t="shared" si="5"/>
        <v>181.5513889</v>
      </c>
    </row>
    <row r="339">
      <c r="A339" s="4" t="s">
        <v>62</v>
      </c>
      <c r="B339" s="4" t="s">
        <v>2673</v>
      </c>
      <c r="C339" s="4" t="s">
        <v>826</v>
      </c>
      <c r="D339" s="4" t="s">
        <v>2798</v>
      </c>
      <c r="E339" s="10">
        <f>IFERROR(__xludf.DUMMYFUNCTION("SPLIT(B339,""T"")"),43469.0)</f>
        <v>43469</v>
      </c>
      <c r="F339" s="4" t="str">
        <f>IFERROR(__xludf.DUMMYFUNCTION("""COMPUTED_VALUE"""),"09:55:00Z")</f>
        <v>09:55:00Z</v>
      </c>
      <c r="G339" s="11" t="str">
        <f t="shared" si="1"/>
        <v>09:55:00</v>
      </c>
      <c r="H339" s="10">
        <f>IFERROR(__xludf.DUMMYFUNCTION("SPLIT(D339,""T"")"),43287.0)</f>
        <v>43287</v>
      </c>
      <c r="I339" s="4" t="str">
        <f>IFERROR(__xludf.DUMMYFUNCTION("""COMPUTED_VALUE"""),"23:39:00Z")</f>
        <v>23:39:00Z</v>
      </c>
      <c r="J339" s="4" t="str">
        <f t="shared" si="2"/>
        <v>23:39:00</v>
      </c>
      <c r="K339" s="4">
        <f t="shared" si="3"/>
        <v>182</v>
      </c>
      <c r="L339" s="4">
        <f t="shared" si="4"/>
        <v>-0.5722222222</v>
      </c>
      <c r="M339" s="4">
        <f t="shared" si="5"/>
        <v>181.4277778</v>
      </c>
    </row>
    <row r="340">
      <c r="A340" s="4" t="s">
        <v>411</v>
      </c>
      <c r="B340" s="4" t="s">
        <v>2188</v>
      </c>
      <c r="C340" s="4" t="s">
        <v>1912</v>
      </c>
      <c r="D340" s="4" t="s">
        <v>2293</v>
      </c>
      <c r="E340" s="10">
        <f>IFERROR(__xludf.DUMMYFUNCTION("SPLIT(B340,""T"")"),43109.0)</f>
        <v>43109</v>
      </c>
      <c r="F340" s="4" t="str">
        <f>IFERROR(__xludf.DUMMYFUNCTION("""COMPUTED_VALUE"""),"11:53:00Z")</f>
        <v>11:53:00Z</v>
      </c>
      <c r="G340" s="11" t="str">
        <f t="shared" si="1"/>
        <v>11:53:00</v>
      </c>
      <c r="H340" s="10">
        <f>IFERROR(__xludf.DUMMYFUNCTION("SPLIT(D340,""T"")"),42928.0)</f>
        <v>42928</v>
      </c>
      <c r="I340" s="4" t="str">
        <f>IFERROR(__xludf.DUMMYFUNCTION("""COMPUTED_VALUE"""),"13:10:00Z")</f>
        <v>13:10:00Z</v>
      </c>
      <c r="J340" s="4" t="str">
        <f t="shared" si="2"/>
        <v>13:10:00</v>
      </c>
      <c r="K340" s="4">
        <f t="shared" si="3"/>
        <v>181</v>
      </c>
      <c r="L340" s="4">
        <f t="shared" si="4"/>
        <v>-0.05347222222</v>
      </c>
      <c r="M340" s="4">
        <f t="shared" si="5"/>
        <v>180.9465278</v>
      </c>
    </row>
    <row r="341">
      <c r="A341" s="4" t="s">
        <v>130</v>
      </c>
      <c r="B341" s="4" t="s">
        <v>2188</v>
      </c>
      <c r="C341" s="4" t="s">
        <v>2573</v>
      </c>
      <c r="D341" s="4" t="s">
        <v>2574</v>
      </c>
      <c r="E341" s="10">
        <f>IFERROR(__xludf.DUMMYFUNCTION("SPLIT(B341,""T"")"),43109.0)</f>
        <v>43109</v>
      </c>
      <c r="F341" s="4" t="str">
        <f>IFERROR(__xludf.DUMMYFUNCTION("""COMPUTED_VALUE"""),"11:53:00Z")</f>
        <v>11:53:00Z</v>
      </c>
      <c r="G341" s="11" t="str">
        <f t="shared" si="1"/>
        <v>11:53:00</v>
      </c>
      <c r="H341" s="10">
        <f>IFERROR(__xludf.DUMMYFUNCTION("SPLIT(D341,""T"")"),42928.0)</f>
        <v>42928</v>
      </c>
      <c r="I341" s="4" t="str">
        <f>IFERROR(__xludf.DUMMYFUNCTION("""COMPUTED_VALUE"""),"13:51:00Z")</f>
        <v>13:51:00Z</v>
      </c>
      <c r="J341" s="4" t="str">
        <f t="shared" si="2"/>
        <v>13:51:00</v>
      </c>
      <c r="K341" s="4">
        <f t="shared" si="3"/>
        <v>181</v>
      </c>
      <c r="L341" s="4">
        <f t="shared" si="4"/>
        <v>-0.08194444444</v>
      </c>
      <c r="M341" s="4">
        <f t="shared" si="5"/>
        <v>180.9180556</v>
      </c>
    </row>
    <row r="342">
      <c r="A342" s="4" t="s">
        <v>87</v>
      </c>
      <c r="B342" s="4" t="s">
        <v>2188</v>
      </c>
      <c r="C342" s="4" t="s">
        <v>2602</v>
      </c>
      <c r="D342" s="4" t="s">
        <v>2603</v>
      </c>
      <c r="E342" s="10">
        <f>IFERROR(__xludf.DUMMYFUNCTION("SPLIT(B342,""T"")"),43109.0)</f>
        <v>43109</v>
      </c>
      <c r="F342" s="4" t="str">
        <f>IFERROR(__xludf.DUMMYFUNCTION("""COMPUTED_VALUE"""),"11:53:00Z")</f>
        <v>11:53:00Z</v>
      </c>
      <c r="G342" s="11" t="str">
        <f t="shared" si="1"/>
        <v>11:53:00</v>
      </c>
      <c r="H342" s="10">
        <f>IFERROR(__xludf.DUMMYFUNCTION("SPLIT(D342,""T"")"),42928.0)</f>
        <v>42928</v>
      </c>
      <c r="I342" s="4" t="str">
        <f>IFERROR(__xludf.DUMMYFUNCTION("""COMPUTED_VALUE"""),"13:55:00Z")</f>
        <v>13:55:00Z</v>
      </c>
      <c r="J342" s="4" t="str">
        <f t="shared" si="2"/>
        <v>13:55:00</v>
      </c>
      <c r="K342" s="4">
        <f t="shared" si="3"/>
        <v>181</v>
      </c>
      <c r="L342" s="4">
        <f t="shared" si="4"/>
        <v>-0.08472222222</v>
      </c>
      <c r="M342" s="4">
        <f t="shared" si="5"/>
        <v>180.9152778</v>
      </c>
    </row>
    <row r="343">
      <c r="A343" s="4" t="s">
        <v>134</v>
      </c>
      <c r="B343" s="4" t="s">
        <v>2028</v>
      </c>
      <c r="C343" s="4" t="s">
        <v>1673</v>
      </c>
      <c r="D343" s="4" t="s">
        <v>2347</v>
      </c>
      <c r="E343" s="10">
        <f>IFERROR(__xludf.DUMMYFUNCTION("SPLIT(B343,""T"")"),43109.0)</f>
        <v>43109</v>
      </c>
      <c r="F343" s="4" t="str">
        <f>IFERROR(__xludf.DUMMYFUNCTION("""COMPUTED_VALUE"""),"11:54:00Z")</f>
        <v>11:54:00Z</v>
      </c>
      <c r="G343" s="11" t="str">
        <f t="shared" si="1"/>
        <v>11:54:00</v>
      </c>
      <c r="H343" s="10">
        <f>IFERROR(__xludf.DUMMYFUNCTION("SPLIT(D343,""T"")"),42928.0)</f>
        <v>42928</v>
      </c>
      <c r="I343" s="4" t="str">
        <f>IFERROR(__xludf.DUMMYFUNCTION("""COMPUTED_VALUE"""),"15:29:00Z")</f>
        <v>15:29:00Z</v>
      </c>
      <c r="J343" s="4" t="str">
        <f t="shared" si="2"/>
        <v>15:29:00</v>
      </c>
      <c r="K343" s="4">
        <f t="shared" si="3"/>
        <v>181</v>
      </c>
      <c r="L343" s="4">
        <f t="shared" si="4"/>
        <v>-0.1493055556</v>
      </c>
      <c r="M343" s="4">
        <f t="shared" si="5"/>
        <v>180.8506944</v>
      </c>
    </row>
    <row r="344">
      <c r="A344" s="4" t="s">
        <v>2397</v>
      </c>
      <c r="B344" s="4" t="s">
        <v>2028</v>
      </c>
      <c r="C344" s="4" t="s">
        <v>2406</v>
      </c>
      <c r="D344" s="4" t="s">
        <v>2407</v>
      </c>
      <c r="E344" s="10">
        <f>IFERROR(__xludf.DUMMYFUNCTION("SPLIT(B344,""T"")"),43109.0)</f>
        <v>43109</v>
      </c>
      <c r="F344" s="4" t="str">
        <f>IFERROR(__xludf.DUMMYFUNCTION("""COMPUTED_VALUE"""),"11:54:00Z")</f>
        <v>11:54:00Z</v>
      </c>
      <c r="G344" s="11" t="str">
        <f t="shared" si="1"/>
        <v>11:54:00</v>
      </c>
      <c r="H344" s="10">
        <f>IFERROR(__xludf.DUMMYFUNCTION("SPLIT(D344,""T"")"),42928.0)</f>
        <v>42928</v>
      </c>
      <c r="I344" s="4" t="str">
        <f>IFERROR(__xludf.DUMMYFUNCTION("""COMPUTED_VALUE"""),"16:15:00Z")</f>
        <v>16:15:00Z</v>
      </c>
      <c r="J344" s="4" t="str">
        <f t="shared" si="2"/>
        <v>16:15:00</v>
      </c>
      <c r="K344" s="4">
        <f t="shared" si="3"/>
        <v>181</v>
      </c>
      <c r="L344" s="4">
        <f t="shared" si="4"/>
        <v>-0.18125</v>
      </c>
      <c r="M344" s="4">
        <f t="shared" si="5"/>
        <v>180.81875</v>
      </c>
    </row>
    <row r="345">
      <c r="A345" s="4" t="s">
        <v>27</v>
      </c>
      <c r="B345" s="4" t="s">
        <v>2028</v>
      </c>
      <c r="C345" s="4" t="s">
        <v>1255</v>
      </c>
      <c r="D345" s="4" t="s">
        <v>2427</v>
      </c>
      <c r="E345" s="10">
        <f>IFERROR(__xludf.DUMMYFUNCTION("SPLIT(B345,""T"")"),43109.0)</f>
        <v>43109</v>
      </c>
      <c r="F345" s="4" t="str">
        <f>IFERROR(__xludf.DUMMYFUNCTION("""COMPUTED_VALUE"""),"11:54:00Z")</f>
        <v>11:54:00Z</v>
      </c>
      <c r="G345" s="11" t="str">
        <f t="shared" si="1"/>
        <v>11:54:00</v>
      </c>
      <c r="H345" s="10">
        <f>IFERROR(__xludf.DUMMYFUNCTION("SPLIT(D345,""T"")"),42929.0)</f>
        <v>42929</v>
      </c>
      <c r="I345" s="4" t="str">
        <f>IFERROR(__xludf.DUMMYFUNCTION("""COMPUTED_VALUE"""),"10:28:00Z")</f>
        <v>10:28:00Z</v>
      </c>
      <c r="J345" s="4" t="str">
        <f t="shared" si="2"/>
        <v>10:28:00</v>
      </c>
      <c r="K345" s="4">
        <f t="shared" si="3"/>
        <v>180</v>
      </c>
      <c r="L345" s="4">
        <f t="shared" si="4"/>
        <v>0.05972222222</v>
      </c>
      <c r="M345" s="4">
        <f t="shared" si="5"/>
        <v>180.0597222</v>
      </c>
    </row>
    <row r="346">
      <c r="A346" s="4" t="s">
        <v>27</v>
      </c>
      <c r="B346" s="4" t="s">
        <v>2028</v>
      </c>
      <c r="C346" s="4" t="s">
        <v>2600</v>
      </c>
      <c r="D346" s="4" t="s">
        <v>2601</v>
      </c>
      <c r="E346" s="10">
        <f>IFERROR(__xludf.DUMMYFUNCTION("SPLIT(B346,""T"")"),43109.0)</f>
        <v>43109</v>
      </c>
      <c r="F346" s="4" t="str">
        <f>IFERROR(__xludf.DUMMYFUNCTION("""COMPUTED_VALUE"""),"11:54:00Z")</f>
        <v>11:54:00Z</v>
      </c>
      <c r="G346" s="11" t="str">
        <f t="shared" si="1"/>
        <v>11:54:00</v>
      </c>
      <c r="H346" s="10">
        <f>IFERROR(__xludf.DUMMYFUNCTION("SPLIT(D346,""T"")"),42929.0)</f>
        <v>42929</v>
      </c>
      <c r="I346" s="4" t="str">
        <f>IFERROR(__xludf.DUMMYFUNCTION("""COMPUTED_VALUE"""),"14:14:00Z")</f>
        <v>14:14:00Z</v>
      </c>
      <c r="J346" s="4" t="str">
        <f t="shared" si="2"/>
        <v>14:14:00</v>
      </c>
      <c r="K346" s="4">
        <f t="shared" si="3"/>
        <v>180</v>
      </c>
      <c r="L346" s="4">
        <f t="shared" si="4"/>
        <v>-0.09722222222</v>
      </c>
      <c r="M346" s="4">
        <f t="shared" si="5"/>
        <v>179.9027778</v>
      </c>
    </row>
    <row r="347">
      <c r="A347" s="4" t="s">
        <v>145</v>
      </c>
      <c r="B347" s="4" t="s">
        <v>2028</v>
      </c>
      <c r="C347" s="4" t="s">
        <v>2029</v>
      </c>
      <c r="D347" s="4" t="s">
        <v>2030</v>
      </c>
      <c r="E347" s="10">
        <f>IFERROR(__xludf.DUMMYFUNCTION("SPLIT(B347,""T"")"),43109.0)</f>
        <v>43109</v>
      </c>
      <c r="F347" s="4" t="str">
        <f>IFERROR(__xludf.DUMMYFUNCTION("""COMPUTED_VALUE"""),"11:54:00Z")</f>
        <v>11:54:00Z</v>
      </c>
      <c r="G347" s="11" t="str">
        <f t="shared" si="1"/>
        <v>11:54:00</v>
      </c>
      <c r="H347" s="10">
        <f>IFERROR(__xludf.DUMMYFUNCTION("SPLIT(D347,""T"")"),42929.0)</f>
        <v>42929</v>
      </c>
      <c r="I347" s="4" t="str">
        <f>IFERROR(__xludf.DUMMYFUNCTION("""COMPUTED_VALUE"""),"15:23:00Z")</f>
        <v>15:23:00Z</v>
      </c>
      <c r="J347" s="4" t="str">
        <f t="shared" si="2"/>
        <v>15:23:00</v>
      </c>
      <c r="K347" s="4">
        <f t="shared" si="3"/>
        <v>180</v>
      </c>
      <c r="L347" s="4">
        <f t="shared" si="4"/>
        <v>-0.1451388889</v>
      </c>
      <c r="M347" s="4">
        <f t="shared" si="5"/>
        <v>179.8548611</v>
      </c>
    </row>
    <row r="348">
      <c r="A348" s="4" t="s">
        <v>162</v>
      </c>
      <c r="B348" s="4" t="s">
        <v>2723</v>
      </c>
      <c r="C348" s="4" t="s">
        <v>2724</v>
      </c>
      <c r="D348" s="4" t="s">
        <v>2725</v>
      </c>
      <c r="E348" s="10">
        <f>IFERROR(__xludf.DUMMYFUNCTION("SPLIT(B348,""T"")"),43469.0)</f>
        <v>43469</v>
      </c>
      <c r="F348" s="4" t="str">
        <f>IFERROR(__xludf.DUMMYFUNCTION("""COMPUTED_VALUE"""),"09:54:00Z")</f>
        <v>09:54:00Z</v>
      </c>
      <c r="G348" s="11" t="str">
        <f t="shared" si="1"/>
        <v>09:54:00</v>
      </c>
      <c r="H348" s="10">
        <f>IFERROR(__xludf.DUMMYFUNCTION("SPLIT(D348,""T"")"),43289.0)</f>
        <v>43289</v>
      </c>
      <c r="I348" s="4" t="str">
        <f>IFERROR(__xludf.DUMMYFUNCTION("""COMPUTED_VALUE"""),"13:36:00Z")</f>
        <v>13:36:00Z</v>
      </c>
      <c r="J348" s="4" t="str">
        <f t="shared" si="2"/>
        <v>13:36:00</v>
      </c>
      <c r="K348" s="4">
        <f t="shared" si="3"/>
        <v>180</v>
      </c>
      <c r="L348" s="4">
        <f t="shared" si="4"/>
        <v>-0.1541666667</v>
      </c>
      <c r="M348" s="4">
        <f t="shared" si="5"/>
        <v>179.8458333</v>
      </c>
    </row>
    <row r="349">
      <c r="A349" s="4" t="s">
        <v>69</v>
      </c>
      <c r="B349" s="4" t="s">
        <v>2723</v>
      </c>
      <c r="C349" s="4" t="s">
        <v>3013</v>
      </c>
      <c r="D349" s="4" t="s">
        <v>3014</v>
      </c>
      <c r="E349" s="10">
        <f>IFERROR(__xludf.DUMMYFUNCTION("SPLIT(B349,""T"")"),43469.0)</f>
        <v>43469</v>
      </c>
      <c r="F349" s="4" t="str">
        <f>IFERROR(__xludf.DUMMYFUNCTION("""COMPUTED_VALUE"""),"09:54:00Z")</f>
        <v>09:54:00Z</v>
      </c>
      <c r="G349" s="11" t="str">
        <f t="shared" si="1"/>
        <v>09:54:00</v>
      </c>
      <c r="H349" s="10">
        <f>IFERROR(__xludf.DUMMYFUNCTION("SPLIT(D349,""T"")"),43289.0)</f>
        <v>43289</v>
      </c>
      <c r="I349" s="4" t="str">
        <f>IFERROR(__xludf.DUMMYFUNCTION("""COMPUTED_VALUE"""),"13:38:00Z")</f>
        <v>13:38:00Z</v>
      </c>
      <c r="J349" s="4" t="str">
        <f t="shared" si="2"/>
        <v>13:38:00</v>
      </c>
      <c r="K349" s="4">
        <f t="shared" si="3"/>
        <v>180</v>
      </c>
      <c r="L349" s="4">
        <f t="shared" si="4"/>
        <v>-0.1555555556</v>
      </c>
      <c r="M349" s="4">
        <f t="shared" si="5"/>
        <v>179.8444444</v>
      </c>
    </row>
    <row r="350">
      <c r="A350" s="4" t="s">
        <v>58</v>
      </c>
      <c r="B350" s="4" t="s">
        <v>2790</v>
      </c>
      <c r="C350" s="4" t="s">
        <v>2221</v>
      </c>
      <c r="D350" s="4" t="s">
        <v>3113</v>
      </c>
      <c r="E350" s="10">
        <f>IFERROR(__xludf.DUMMYFUNCTION("SPLIT(B350,""T"")"),43469.0)</f>
        <v>43469</v>
      </c>
      <c r="F350" s="4" t="str">
        <f>IFERROR(__xludf.DUMMYFUNCTION("""COMPUTED_VALUE"""),"09:53:00Z")</f>
        <v>09:53:00Z</v>
      </c>
      <c r="G350" s="11" t="str">
        <f t="shared" si="1"/>
        <v>09:53:00</v>
      </c>
      <c r="H350" s="10">
        <f>IFERROR(__xludf.DUMMYFUNCTION("SPLIT(D350,""T"")"),43289.0)</f>
        <v>43289</v>
      </c>
      <c r="I350" s="4" t="str">
        <f>IFERROR(__xludf.DUMMYFUNCTION("""COMPUTED_VALUE"""),"14:41:00Z")</f>
        <v>14:41:00Z</v>
      </c>
      <c r="J350" s="4" t="str">
        <f t="shared" si="2"/>
        <v>14:41:00</v>
      </c>
      <c r="K350" s="4">
        <f t="shared" si="3"/>
        <v>180</v>
      </c>
      <c r="L350" s="4">
        <f t="shared" si="4"/>
        <v>-0.2</v>
      </c>
      <c r="M350" s="4">
        <f t="shared" si="5"/>
        <v>179.8</v>
      </c>
    </row>
    <row r="351">
      <c r="A351" s="4" t="s">
        <v>80</v>
      </c>
      <c r="B351" s="4" t="s">
        <v>2790</v>
      </c>
      <c r="C351" s="4" t="s">
        <v>3035</v>
      </c>
      <c r="D351" s="4" t="s">
        <v>3036</v>
      </c>
      <c r="E351" s="10">
        <f>IFERROR(__xludf.DUMMYFUNCTION("SPLIT(B351,""T"")"),43469.0)</f>
        <v>43469</v>
      </c>
      <c r="F351" s="4" t="str">
        <f>IFERROR(__xludf.DUMMYFUNCTION("""COMPUTED_VALUE"""),"09:53:00Z")</f>
        <v>09:53:00Z</v>
      </c>
      <c r="G351" s="11" t="str">
        <f t="shared" si="1"/>
        <v>09:53:00</v>
      </c>
      <c r="H351" s="10">
        <f>IFERROR(__xludf.DUMMYFUNCTION("SPLIT(D351,""T"")"),43289.0)</f>
        <v>43289</v>
      </c>
      <c r="I351" s="4" t="str">
        <f>IFERROR(__xludf.DUMMYFUNCTION("""COMPUTED_VALUE"""),"16:45:00Z")</f>
        <v>16:45:00Z</v>
      </c>
      <c r="J351" s="4" t="str">
        <f t="shared" si="2"/>
        <v>16:45:00</v>
      </c>
      <c r="K351" s="4">
        <f t="shared" si="3"/>
        <v>180</v>
      </c>
      <c r="L351" s="4">
        <f t="shared" si="4"/>
        <v>-0.2861111111</v>
      </c>
      <c r="M351" s="4">
        <f t="shared" si="5"/>
        <v>179.7138889</v>
      </c>
    </row>
    <row r="352">
      <c r="A352" s="4" t="s">
        <v>205</v>
      </c>
      <c r="B352" s="4" t="s">
        <v>2790</v>
      </c>
      <c r="C352" s="4" t="s">
        <v>406</v>
      </c>
      <c r="D352" s="4" t="s">
        <v>2791</v>
      </c>
      <c r="E352" s="10">
        <f>IFERROR(__xludf.DUMMYFUNCTION("SPLIT(B352,""T"")"),43469.0)</f>
        <v>43469</v>
      </c>
      <c r="F352" s="4" t="str">
        <f>IFERROR(__xludf.DUMMYFUNCTION("""COMPUTED_VALUE"""),"09:53:00Z")</f>
        <v>09:53:00Z</v>
      </c>
      <c r="G352" s="11" t="str">
        <f t="shared" si="1"/>
        <v>09:53:00</v>
      </c>
      <c r="H352" s="10">
        <f>IFERROR(__xludf.DUMMYFUNCTION("SPLIT(D352,""T"")"),43289.0)</f>
        <v>43289</v>
      </c>
      <c r="I352" s="4" t="str">
        <f>IFERROR(__xludf.DUMMYFUNCTION("""COMPUTED_VALUE"""),"17:38:00Z")</f>
        <v>17:38:00Z</v>
      </c>
      <c r="J352" s="4" t="str">
        <f t="shared" si="2"/>
        <v>17:38:00</v>
      </c>
      <c r="K352" s="4">
        <f t="shared" si="3"/>
        <v>180</v>
      </c>
      <c r="L352" s="4">
        <f t="shared" si="4"/>
        <v>-0.3229166667</v>
      </c>
      <c r="M352" s="4">
        <f t="shared" si="5"/>
        <v>179.6770833</v>
      </c>
    </row>
    <row r="353">
      <c r="A353" s="4" t="s">
        <v>186</v>
      </c>
      <c r="B353" s="4" t="s">
        <v>2974</v>
      </c>
      <c r="C353" s="4" t="s">
        <v>2975</v>
      </c>
      <c r="D353" s="4" t="s">
        <v>2976</v>
      </c>
      <c r="E353" s="10">
        <f>IFERROR(__xludf.DUMMYFUNCTION("SPLIT(B353,""T"")"),43469.0)</f>
        <v>43469</v>
      </c>
      <c r="F353" s="4" t="str">
        <f>IFERROR(__xludf.DUMMYFUNCTION("""COMPUTED_VALUE"""),"09:51:00Z")</f>
        <v>09:51:00Z</v>
      </c>
      <c r="G353" s="11" t="str">
        <f t="shared" si="1"/>
        <v>09:51:00</v>
      </c>
      <c r="H353" s="10">
        <f>IFERROR(__xludf.DUMMYFUNCTION("SPLIT(D353,""T"")"),43290.0)</f>
        <v>43290</v>
      </c>
      <c r="I353" s="4" t="str">
        <f>IFERROR(__xludf.DUMMYFUNCTION("""COMPUTED_VALUE"""),"16:46:00Z")</f>
        <v>16:46:00Z</v>
      </c>
      <c r="J353" s="4" t="str">
        <f t="shared" si="2"/>
        <v>16:46:00</v>
      </c>
      <c r="K353" s="4">
        <f t="shared" si="3"/>
        <v>179</v>
      </c>
      <c r="L353" s="4">
        <f t="shared" si="4"/>
        <v>-0.2881944444</v>
      </c>
      <c r="M353" s="4">
        <f t="shared" si="5"/>
        <v>178.7118056</v>
      </c>
    </row>
    <row r="354">
      <c r="A354" s="4" t="s">
        <v>156</v>
      </c>
      <c r="B354" s="4" t="s">
        <v>2775</v>
      </c>
      <c r="C354" s="4" t="s">
        <v>3213</v>
      </c>
      <c r="D354" s="4" t="s">
        <v>3214</v>
      </c>
      <c r="E354" s="10">
        <f>IFERROR(__xludf.DUMMYFUNCTION("SPLIT(B354,""T"")"),43469.0)</f>
        <v>43469</v>
      </c>
      <c r="F354" s="4" t="str">
        <f>IFERROR(__xludf.DUMMYFUNCTION("""COMPUTED_VALUE"""),"09:52:00Z")</f>
        <v>09:52:00Z</v>
      </c>
      <c r="G354" s="11" t="str">
        <f t="shared" si="1"/>
        <v>09:52:00</v>
      </c>
      <c r="H354" s="10">
        <f>IFERROR(__xludf.DUMMYFUNCTION("SPLIT(D354,""T"")"),43290.0)</f>
        <v>43290</v>
      </c>
      <c r="I354" s="4" t="str">
        <f>IFERROR(__xludf.DUMMYFUNCTION("""COMPUTED_VALUE"""),"17:54:00Z")</f>
        <v>17:54:00Z</v>
      </c>
      <c r="J354" s="4" t="str">
        <f t="shared" si="2"/>
        <v>17:54:00</v>
      </c>
      <c r="K354" s="4">
        <f t="shared" si="3"/>
        <v>179</v>
      </c>
      <c r="L354" s="4">
        <f t="shared" si="4"/>
        <v>-0.3347222222</v>
      </c>
      <c r="M354" s="4">
        <f t="shared" si="5"/>
        <v>178.6652778</v>
      </c>
    </row>
    <row r="355">
      <c r="A355" s="4" t="s">
        <v>54</v>
      </c>
      <c r="B355" s="4" t="s">
        <v>2775</v>
      </c>
      <c r="C355" s="4" t="s">
        <v>2776</v>
      </c>
      <c r="D355" s="4" t="s">
        <v>2777</v>
      </c>
      <c r="E355" s="10">
        <f>IFERROR(__xludf.DUMMYFUNCTION("SPLIT(B355,""T"")"),43469.0)</f>
        <v>43469</v>
      </c>
      <c r="F355" s="4" t="str">
        <f>IFERROR(__xludf.DUMMYFUNCTION("""COMPUTED_VALUE"""),"09:52:00Z")</f>
        <v>09:52:00Z</v>
      </c>
      <c r="G355" s="11" t="str">
        <f t="shared" si="1"/>
        <v>09:52:00</v>
      </c>
      <c r="H355" s="10">
        <f>IFERROR(__xludf.DUMMYFUNCTION("SPLIT(D355,""T"")"),43290.0)</f>
        <v>43290</v>
      </c>
      <c r="I355" s="4" t="str">
        <f>IFERROR(__xludf.DUMMYFUNCTION("""COMPUTED_VALUE"""),"18:30:00Z")</f>
        <v>18:30:00Z</v>
      </c>
      <c r="J355" s="4" t="str">
        <f t="shared" si="2"/>
        <v>18:30:00</v>
      </c>
      <c r="K355" s="4">
        <f t="shared" si="3"/>
        <v>179</v>
      </c>
      <c r="L355" s="4">
        <f t="shared" si="4"/>
        <v>-0.3597222222</v>
      </c>
      <c r="M355" s="4">
        <f t="shared" si="5"/>
        <v>178.6402778</v>
      </c>
    </row>
    <row r="356">
      <c r="A356" s="4" t="s">
        <v>435</v>
      </c>
      <c r="B356" s="4" t="s">
        <v>1820</v>
      </c>
      <c r="C356" s="4" t="s">
        <v>1821</v>
      </c>
      <c r="D356" s="4" t="s">
        <v>1822</v>
      </c>
      <c r="E356" s="10">
        <f>IFERROR(__xludf.DUMMYFUNCTION("SPLIT(B356,""T"")"),43195.0)</f>
        <v>43195</v>
      </c>
      <c r="F356" s="4" t="str">
        <f>IFERROR(__xludf.DUMMYFUNCTION("""COMPUTED_VALUE"""),"10:47:00Z")</f>
        <v>10:47:00Z</v>
      </c>
      <c r="G356" s="11" t="str">
        <f t="shared" si="1"/>
        <v>10:47:00</v>
      </c>
      <c r="H356" s="10">
        <f>IFERROR(__xludf.DUMMYFUNCTION("SPLIT(D356,""T"")"),43017.0)</f>
        <v>43017</v>
      </c>
      <c r="I356" s="4" t="str">
        <f>IFERROR(__xludf.DUMMYFUNCTION("""COMPUTED_VALUE"""),"09:51:00Z")</f>
        <v>09:51:00Z</v>
      </c>
      <c r="J356" s="4" t="str">
        <f t="shared" si="2"/>
        <v>09:51:00</v>
      </c>
      <c r="K356" s="4">
        <f t="shared" si="3"/>
        <v>178</v>
      </c>
      <c r="L356" s="4">
        <f t="shared" si="4"/>
        <v>0.03888888889</v>
      </c>
      <c r="M356" s="4">
        <f t="shared" si="5"/>
        <v>178.0388889</v>
      </c>
    </row>
    <row r="357">
      <c r="A357" s="4" t="s">
        <v>87</v>
      </c>
      <c r="B357" s="4" t="s">
        <v>2974</v>
      </c>
      <c r="C357" s="4" t="s">
        <v>3211</v>
      </c>
      <c r="D357" s="4" t="s">
        <v>3212</v>
      </c>
      <c r="E357" s="10">
        <f>IFERROR(__xludf.DUMMYFUNCTION("SPLIT(B357,""T"")"),43469.0)</f>
        <v>43469</v>
      </c>
      <c r="F357" s="4" t="str">
        <f>IFERROR(__xludf.DUMMYFUNCTION("""COMPUTED_VALUE"""),"09:51:00Z")</f>
        <v>09:51:00Z</v>
      </c>
      <c r="G357" s="11" t="str">
        <f t="shared" si="1"/>
        <v>09:51:00</v>
      </c>
      <c r="H357" s="10">
        <f>IFERROR(__xludf.DUMMYFUNCTION("SPLIT(D357,""T"")"),43291.0)</f>
        <v>43291</v>
      </c>
      <c r="I357" s="4" t="str">
        <f>IFERROR(__xludf.DUMMYFUNCTION("""COMPUTED_VALUE"""),"12:42:00Z")</f>
        <v>12:42:00Z</v>
      </c>
      <c r="J357" s="4" t="str">
        <f t="shared" si="2"/>
        <v>12:42:00</v>
      </c>
      <c r="K357" s="4">
        <f t="shared" si="3"/>
        <v>178</v>
      </c>
      <c r="L357" s="4">
        <f t="shared" si="4"/>
        <v>-0.11875</v>
      </c>
      <c r="M357" s="4">
        <f t="shared" si="5"/>
        <v>177.88125</v>
      </c>
    </row>
    <row r="358">
      <c r="A358" s="4" t="s">
        <v>401</v>
      </c>
      <c r="B358" s="4" t="s">
        <v>2989</v>
      </c>
      <c r="C358" s="4" t="s">
        <v>701</v>
      </c>
      <c r="D358" s="4" t="s">
        <v>2990</v>
      </c>
      <c r="E358" s="10">
        <f>IFERROR(__xludf.DUMMYFUNCTION("SPLIT(B358,""T"")"),43469.0)</f>
        <v>43469</v>
      </c>
      <c r="F358" s="4" t="str">
        <f>IFERROR(__xludf.DUMMYFUNCTION("""COMPUTED_VALUE"""),"09:50:00Z")</f>
        <v>09:50:00Z</v>
      </c>
      <c r="G358" s="11" t="str">
        <f t="shared" si="1"/>
        <v>09:50:00</v>
      </c>
      <c r="H358" s="10">
        <f>IFERROR(__xludf.DUMMYFUNCTION("SPLIT(D358,""T"")"),43291.0)</f>
        <v>43291</v>
      </c>
      <c r="I358" s="4" t="str">
        <f>IFERROR(__xludf.DUMMYFUNCTION("""COMPUTED_VALUE"""),"15:08:00Z")</f>
        <v>15:08:00Z</v>
      </c>
      <c r="J358" s="4" t="str">
        <f t="shared" si="2"/>
        <v>15:08:00</v>
      </c>
      <c r="K358" s="4">
        <f t="shared" si="3"/>
        <v>178</v>
      </c>
      <c r="L358" s="4">
        <f t="shared" si="4"/>
        <v>-0.2208333333</v>
      </c>
      <c r="M358" s="4">
        <f t="shared" si="5"/>
        <v>177.7791667</v>
      </c>
    </row>
    <row r="359">
      <c r="A359" s="4" t="s">
        <v>58</v>
      </c>
      <c r="B359" s="4" t="s">
        <v>1962</v>
      </c>
      <c r="C359" s="4" t="s">
        <v>888</v>
      </c>
      <c r="D359" s="4" t="s">
        <v>2599</v>
      </c>
      <c r="E359" s="10">
        <f>IFERROR(__xludf.DUMMYFUNCTION("SPLIT(B359,""T"")"),43109.0)</f>
        <v>43109</v>
      </c>
      <c r="F359" s="4" t="str">
        <f>IFERROR(__xludf.DUMMYFUNCTION("""COMPUTED_VALUE"""),"11:56:00Z")</f>
        <v>11:56:00Z</v>
      </c>
      <c r="G359" s="11" t="str">
        <f t="shared" si="1"/>
        <v>11:56:00</v>
      </c>
      <c r="H359" s="10">
        <f>IFERROR(__xludf.DUMMYFUNCTION("SPLIT(D359,""T"")"),42931.0)</f>
        <v>42931</v>
      </c>
      <c r="I359" s="4" t="str">
        <f>IFERROR(__xludf.DUMMYFUNCTION("""COMPUTED_VALUE"""),"18:10:00Z")</f>
        <v>18:10:00Z</v>
      </c>
      <c r="J359" s="4" t="str">
        <f t="shared" si="2"/>
        <v>18:10:00</v>
      </c>
      <c r="K359" s="4">
        <f t="shared" si="3"/>
        <v>178</v>
      </c>
      <c r="L359" s="4">
        <f t="shared" si="4"/>
        <v>-0.2597222222</v>
      </c>
      <c r="M359" s="4">
        <f t="shared" si="5"/>
        <v>177.7402778</v>
      </c>
    </row>
    <row r="360">
      <c r="A360" s="4" t="s">
        <v>401</v>
      </c>
      <c r="B360" s="4" t="s">
        <v>2974</v>
      </c>
      <c r="C360" s="4" t="s">
        <v>3052</v>
      </c>
      <c r="D360" s="4" t="s">
        <v>3053</v>
      </c>
      <c r="E360" s="10">
        <f>IFERROR(__xludf.DUMMYFUNCTION("SPLIT(B360,""T"")"),43469.0)</f>
        <v>43469</v>
      </c>
      <c r="F360" s="4" t="str">
        <f>IFERROR(__xludf.DUMMYFUNCTION("""COMPUTED_VALUE"""),"09:51:00Z")</f>
        <v>09:51:00Z</v>
      </c>
      <c r="G360" s="11" t="str">
        <f t="shared" si="1"/>
        <v>09:51:00</v>
      </c>
      <c r="H360" s="10">
        <f>IFERROR(__xludf.DUMMYFUNCTION("SPLIT(D360,""T"")"),43291.0)</f>
        <v>43291</v>
      </c>
      <c r="I360" s="4" t="str">
        <f>IFERROR(__xludf.DUMMYFUNCTION("""COMPUTED_VALUE"""),"16:45:00Z")</f>
        <v>16:45:00Z</v>
      </c>
      <c r="J360" s="4" t="str">
        <f t="shared" si="2"/>
        <v>16:45:00</v>
      </c>
      <c r="K360" s="4">
        <f t="shared" si="3"/>
        <v>178</v>
      </c>
      <c r="L360" s="4">
        <f t="shared" si="4"/>
        <v>-0.2875</v>
      </c>
      <c r="M360" s="4">
        <f t="shared" si="5"/>
        <v>177.7125</v>
      </c>
    </row>
    <row r="361">
      <c r="A361" s="4" t="s">
        <v>156</v>
      </c>
      <c r="B361" s="4" t="s">
        <v>2989</v>
      </c>
      <c r="C361" s="4" t="s">
        <v>3198</v>
      </c>
      <c r="D361" s="4" t="s">
        <v>3199</v>
      </c>
      <c r="E361" s="10">
        <f>IFERROR(__xludf.DUMMYFUNCTION("SPLIT(B361,""T"")"),43469.0)</f>
        <v>43469</v>
      </c>
      <c r="F361" s="4" t="str">
        <f>IFERROR(__xludf.DUMMYFUNCTION("""COMPUTED_VALUE"""),"09:50:00Z")</f>
        <v>09:50:00Z</v>
      </c>
      <c r="G361" s="11" t="str">
        <f t="shared" si="1"/>
        <v>09:50:00</v>
      </c>
      <c r="H361" s="10">
        <f>IFERROR(__xludf.DUMMYFUNCTION("SPLIT(D361,""T"")"),43291.0)</f>
        <v>43291</v>
      </c>
      <c r="I361" s="4" t="str">
        <f>IFERROR(__xludf.DUMMYFUNCTION("""COMPUTED_VALUE"""),"17:31:00Z")</f>
        <v>17:31:00Z</v>
      </c>
      <c r="J361" s="4" t="str">
        <f t="shared" si="2"/>
        <v>17:31:00</v>
      </c>
      <c r="K361" s="4">
        <f t="shared" si="3"/>
        <v>178</v>
      </c>
      <c r="L361" s="4">
        <f t="shared" si="4"/>
        <v>-0.3201388889</v>
      </c>
      <c r="M361" s="4">
        <f t="shared" si="5"/>
        <v>177.6798611</v>
      </c>
    </row>
    <row r="362">
      <c r="A362" s="4" t="s">
        <v>114</v>
      </c>
      <c r="B362" s="4" t="s">
        <v>1962</v>
      </c>
      <c r="C362" s="4" t="s">
        <v>2390</v>
      </c>
      <c r="D362" s="4" t="s">
        <v>2391</v>
      </c>
      <c r="E362" s="10">
        <f>IFERROR(__xludf.DUMMYFUNCTION("SPLIT(B362,""T"")"),43109.0)</f>
        <v>43109</v>
      </c>
      <c r="F362" s="4" t="str">
        <f>IFERROR(__xludf.DUMMYFUNCTION("""COMPUTED_VALUE"""),"11:56:00Z")</f>
        <v>11:56:00Z</v>
      </c>
      <c r="G362" s="11" t="str">
        <f t="shared" si="1"/>
        <v>11:56:00</v>
      </c>
      <c r="H362" s="10">
        <f>IFERROR(__xludf.DUMMYFUNCTION("SPLIT(D362,""T"")"),42932.0)</f>
        <v>42932</v>
      </c>
      <c r="I362" s="4" t="str">
        <f>IFERROR(__xludf.DUMMYFUNCTION("""COMPUTED_VALUE"""),"11:17:00Z")</f>
        <v>11:17:00Z</v>
      </c>
      <c r="J362" s="4" t="str">
        <f t="shared" si="2"/>
        <v>11:17:00</v>
      </c>
      <c r="K362" s="4">
        <f t="shared" si="3"/>
        <v>177</v>
      </c>
      <c r="L362" s="4">
        <f t="shared" si="4"/>
        <v>0.02708333333</v>
      </c>
      <c r="M362" s="4">
        <f t="shared" si="5"/>
        <v>177.0270833</v>
      </c>
    </row>
    <row r="363">
      <c r="A363" s="4" t="s">
        <v>313</v>
      </c>
      <c r="B363" s="4" t="s">
        <v>1962</v>
      </c>
      <c r="C363" s="4" t="s">
        <v>1234</v>
      </c>
      <c r="D363" s="4" t="s">
        <v>1963</v>
      </c>
      <c r="E363" s="10">
        <f>IFERROR(__xludf.DUMMYFUNCTION("SPLIT(B363,""T"")"),43109.0)</f>
        <v>43109</v>
      </c>
      <c r="F363" s="4" t="str">
        <f>IFERROR(__xludf.DUMMYFUNCTION("""COMPUTED_VALUE"""),"11:56:00Z")</f>
        <v>11:56:00Z</v>
      </c>
      <c r="G363" s="11" t="str">
        <f t="shared" si="1"/>
        <v>11:56:00</v>
      </c>
      <c r="H363" s="10">
        <f>IFERROR(__xludf.DUMMYFUNCTION("SPLIT(D363,""T"")"),42932.0)</f>
        <v>42932</v>
      </c>
      <c r="I363" s="4" t="str">
        <f>IFERROR(__xludf.DUMMYFUNCTION("""COMPUTED_VALUE"""),"14:51:00Z")</f>
        <v>14:51:00Z</v>
      </c>
      <c r="J363" s="4" t="str">
        <f t="shared" si="2"/>
        <v>14:51:00</v>
      </c>
      <c r="K363" s="4">
        <f t="shared" si="3"/>
        <v>177</v>
      </c>
      <c r="L363" s="4">
        <f t="shared" si="4"/>
        <v>-0.1215277778</v>
      </c>
      <c r="M363" s="4">
        <f t="shared" si="5"/>
        <v>176.8784722</v>
      </c>
    </row>
    <row r="364">
      <c r="A364" s="4" t="s">
        <v>101</v>
      </c>
      <c r="B364" s="4" t="s">
        <v>1756</v>
      </c>
      <c r="C364" s="4" t="s">
        <v>1757</v>
      </c>
      <c r="D364" s="4" t="s">
        <v>1758</v>
      </c>
      <c r="E364" s="10">
        <f>IFERROR(__xludf.DUMMYFUNCTION("SPLIT(B364,""T"")"),43109.0)</f>
        <v>43109</v>
      </c>
      <c r="F364" s="4" t="str">
        <f>IFERROR(__xludf.DUMMYFUNCTION("""COMPUTED_VALUE"""),"11:57:00Z")</f>
        <v>11:57:00Z</v>
      </c>
      <c r="G364" s="11" t="str">
        <f t="shared" si="1"/>
        <v>11:57:00</v>
      </c>
      <c r="H364" s="10">
        <f>IFERROR(__xludf.DUMMYFUNCTION("SPLIT(D364,""T"")"),42932.0)</f>
        <v>42932</v>
      </c>
      <c r="I364" s="4" t="str">
        <f>IFERROR(__xludf.DUMMYFUNCTION("""COMPUTED_VALUE"""),"15:56:00Z")</f>
        <v>15:56:00Z</v>
      </c>
      <c r="J364" s="4" t="str">
        <f t="shared" si="2"/>
        <v>15:56:00</v>
      </c>
      <c r="K364" s="4">
        <f t="shared" si="3"/>
        <v>177</v>
      </c>
      <c r="L364" s="4">
        <f t="shared" si="4"/>
        <v>-0.1659722222</v>
      </c>
      <c r="M364" s="4">
        <f t="shared" si="5"/>
        <v>176.8340278</v>
      </c>
    </row>
    <row r="365">
      <c r="A365" s="4" t="s">
        <v>170</v>
      </c>
      <c r="B365" s="4" t="s">
        <v>2838</v>
      </c>
      <c r="C365" s="4" t="s">
        <v>2531</v>
      </c>
      <c r="D365" s="4" t="s">
        <v>2839</v>
      </c>
      <c r="E365" s="10">
        <f>IFERROR(__xludf.DUMMYFUNCTION("SPLIT(B365,""T"")"),43469.0)</f>
        <v>43469</v>
      </c>
      <c r="F365" s="4" t="str">
        <f>IFERROR(__xludf.DUMMYFUNCTION("""COMPUTED_VALUE"""),"09:49:00Z")</f>
        <v>09:49:00Z</v>
      </c>
      <c r="G365" s="11" t="str">
        <f t="shared" si="1"/>
        <v>09:49:00</v>
      </c>
      <c r="H365" s="10">
        <f>IFERROR(__xludf.DUMMYFUNCTION("SPLIT(D365,""T"")"),43292.0)</f>
        <v>43292</v>
      </c>
      <c r="I365" s="4" t="str">
        <f>IFERROR(__xludf.DUMMYFUNCTION("""COMPUTED_VALUE"""),"16:40:00Z")</f>
        <v>16:40:00Z</v>
      </c>
      <c r="J365" s="4" t="str">
        <f t="shared" si="2"/>
        <v>16:40:00</v>
      </c>
      <c r="K365" s="4">
        <f t="shared" si="3"/>
        <v>177</v>
      </c>
      <c r="L365" s="4">
        <f t="shared" si="4"/>
        <v>-0.2854166667</v>
      </c>
      <c r="M365" s="4">
        <f t="shared" si="5"/>
        <v>176.7145833</v>
      </c>
    </row>
    <row r="366">
      <c r="A366" s="4" t="s">
        <v>313</v>
      </c>
      <c r="B366" s="4" t="s">
        <v>1910</v>
      </c>
      <c r="C366" s="4" t="s">
        <v>1381</v>
      </c>
      <c r="D366" s="4" t="s">
        <v>2510</v>
      </c>
      <c r="E366" s="10">
        <f>IFERROR(__xludf.DUMMYFUNCTION("SPLIT(B366,""T"")"),43109.0)</f>
        <v>43109</v>
      </c>
      <c r="F366" s="4" t="str">
        <f>IFERROR(__xludf.DUMMYFUNCTION("""COMPUTED_VALUE"""),"11:58:00Z")</f>
        <v>11:58:00Z</v>
      </c>
      <c r="G366" s="11" t="str">
        <f t="shared" si="1"/>
        <v>11:58:00</v>
      </c>
      <c r="H366" s="10">
        <f>IFERROR(__xludf.DUMMYFUNCTION("SPLIT(D366,""T"")"),42933.0)</f>
        <v>42933</v>
      </c>
      <c r="I366" s="4" t="str">
        <f>IFERROR(__xludf.DUMMYFUNCTION("""COMPUTED_VALUE"""),"12:37:00Z")</f>
        <v>12:37:00Z</v>
      </c>
      <c r="J366" s="4" t="str">
        <f t="shared" si="2"/>
        <v>12:37:00</v>
      </c>
      <c r="K366" s="4">
        <f t="shared" si="3"/>
        <v>176</v>
      </c>
      <c r="L366" s="4">
        <f t="shared" si="4"/>
        <v>-0.02708333333</v>
      </c>
      <c r="M366" s="4">
        <f t="shared" si="5"/>
        <v>175.9729167</v>
      </c>
    </row>
    <row r="367">
      <c r="A367" s="4" t="s">
        <v>411</v>
      </c>
      <c r="B367" s="4" t="s">
        <v>1910</v>
      </c>
      <c r="C367" s="4" t="s">
        <v>2172</v>
      </c>
      <c r="D367" s="4" t="s">
        <v>2173</v>
      </c>
      <c r="E367" s="10">
        <f>IFERROR(__xludf.DUMMYFUNCTION("SPLIT(B367,""T"")"),43109.0)</f>
        <v>43109</v>
      </c>
      <c r="F367" s="4" t="str">
        <f>IFERROR(__xludf.DUMMYFUNCTION("""COMPUTED_VALUE"""),"11:58:00Z")</f>
        <v>11:58:00Z</v>
      </c>
      <c r="G367" s="11" t="str">
        <f t="shared" si="1"/>
        <v>11:58:00</v>
      </c>
      <c r="H367" s="10">
        <f>IFERROR(__xludf.DUMMYFUNCTION("SPLIT(D367,""T"")"),42933.0)</f>
        <v>42933</v>
      </c>
      <c r="I367" s="4" t="str">
        <f>IFERROR(__xludf.DUMMYFUNCTION("""COMPUTED_VALUE"""),"12:55:00Z")</f>
        <v>12:55:00Z</v>
      </c>
      <c r="J367" s="4" t="str">
        <f t="shared" si="2"/>
        <v>12:55:00</v>
      </c>
      <c r="K367" s="4">
        <f t="shared" si="3"/>
        <v>176</v>
      </c>
      <c r="L367" s="4">
        <f t="shared" si="4"/>
        <v>-0.03958333333</v>
      </c>
      <c r="M367" s="4">
        <f t="shared" si="5"/>
        <v>175.9604167</v>
      </c>
    </row>
    <row r="368">
      <c r="A368" s="4" t="s">
        <v>39</v>
      </c>
      <c r="B368" s="4" t="s">
        <v>1910</v>
      </c>
      <c r="C368" s="4" t="s">
        <v>1209</v>
      </c>
      <c r="D368" s="4" t="s">
        <v>1911</v>
      </c>
      <c r="E368" s="10">
        <f>IFERROR(__xludf.DUMMYFUNCTION("SPLIT(B368,""T"")"),43109.0)</f>
        <v>43109</v>
      </c>
      <c r="F368" s="4" t="str">
        <f>IFERROR(__xludf.DUMMYFUNCTION("""COMPUTED_VALUE"""),"11:58:00Z")</f>
        <v>11:58:00Z</v>
      </c>
      <c r="G368" s="11" t="str">
        <f t="shared" si="1"/>
        <v>11:58:00</v>
      </c>
      <c r="H368" s="10">
        <f>IFERROR(__xludf.DUMMYFUNCTION("SPLIT(D368,""T"")"),42933.0)</f>
        <v>42933</v>
      </c>
      <c r="I368" s="4" t="str">
        <f>IFERROR(__xludf.DUMMYFUNCTION("""COMPUTED_VALUE"""),"13:15:00Z")</f>
        <v>13:15:00Z</v>
      </c>
      <c r="J368" s="4" t="str">
        <f t="shared" si="2"/>
        <v>13:15:00</v>
      </c>
      <c r="K368" s="4">
        <f t="shared" si="3"/>
        <v>176</v>
      </c>
      <c r="L368" s="4">
        <f t="shared" si="4"/>
        <v>-0.05347222222</v>
      </c>
      <c r="M368" s="4">
        <f t="shared" si="5"/>
        <v>175.9465278</v>
      </c>
    </row>
    <row r="369">
      <c r="A369" s="4" t="s">
        <v>489</v>
      </c>
      <c r="B369" s="4" t="s">
        <v>1910</v>
      </c>
      <c r="C369" s="4" t="s">
        <v>578</v>
      </c>
      <c r="D369" s="4" t="s">
        <v>2265</v>
      </c>
      <c r="E369" s="10">
        <f>IFERROR(__xludf.DUMMYFUNCTION("SPLIT(B369,""T"")"),43109.0)</f>
        <v>43109</v>
      </c>
      <c r="F369" s="4" t="str">
        <f>IFERROR(__xludf.DUMMYFUNCTION("""COMPUTED_VALUE"""),"11:58:00Z")</f>
        <v>11:58:00Z</v>
      </c>
      <c r="G369" s="11" t="str">
        <f t="shared" si="1"/>
        <v>11:58:00</v>
      </c>
      <c r="H369" s="10">
        <f>IFERROR(__xludf.DUMMYFUNCTION("SPLIT(D369,""T"")"),42933.0)</f>
        <v>42933</v>
      </c>
      <c r="I369" s="4" t="str">
        <f>IFERROR(__xludf.DUMMYFUNCTION("""COMPUTED_VALUE"""),"13:17:00Z")</f>
        <v>13:17:00Z</v>
      </c>
      <c r="J369" s="4" t="str">
        <f t="shared" si="2"/>
        <v>13:17:00</v>
      </c>
      <c r="K369" s="4">
        <f t="shared" si="3"/>
        <v>176</v>
      </c>
      <c r="L369" s="4">
        <f t="shared" si="4"/>
        <v>-0.05486111111</v>
      </c>
      <c r="M369" s="4">
        <f t="shared" si="5"/>
        <v>175.9451389</v>
      </c>
    </row>
    <row r="370">
      <c r="A370" s="4" t="s">
        <v>145</v>
      </c>
      <c r="B370" s="4" t="s">
        <v>1910</v>
      </c>
      <c r="C370" s="4" t="s">
        <v>345</v>
      </c>
      <c r="D370" s="4" t="s">
        <v>2552</v>
      </c>
      <c r="E370" s="10">
        <f>IFERROR(__xludf.DUMMYFUNCTION("SPLIT(B370,""T"")"),43109.0)</f>
        <v>43109</v>
      </c>
      <c r="F370" s="4" t="str">
        <f>IFERROR(__xludf.DUMMYFUNCTION("""COMPUTED_VALUE"""),"11:58:00Z")</f>
        <v>11:58:00Z</v>
      </c>
      <c r="G370" s="11" t="str">
        <f t="shared" si="1"/>
        <v>11:58:00</v>
      </c>
      <c r="H370" s="10">
        <f>IFERROR(__xludf.DUMMYFUNCTION("SPLIT(D370,""T"")"),42933.0)</f>
        <v>42933</v>
      </c>
      <c r="I370" s="4" t="str">
        <f>IFERROR(__xludf.DUMMYFUNCTION("""COMPUTED_VALUE"""),"13:38:00Z")</f>
        <v>13:38:00Z</v>
      </c>
      <c r="J370" s="4" t="str">
        <f t="shared" si="2"/>
        <v>13:38:00</v>
      </c>
      <c r="K370" s="4">
        <f t="shared" si="3"/>
        <v>176</v>
      </c>
      <c r="L370" s="4">
        <f t="shared" si="4"/>
        <v>-0.06944444444</v>
      </c>
      <c r="M370" s="4">
        <f t="shared" si="5"/>
        <v>175.9305556</v>
      </c>
    </row>
    <row r="371">
      <c r="A371" s="4" t="s">
        <v>186</v>
      </c>
      <c r="B371" s="4" t="s">
        <v>1944</v>
      </c>
      <c r="C371" s="4" t="s">
        <v>308</v>
      </c>
      <c r="D371" s="4" t="s">
        <v>2389</v>
      </c>
      <c r="E371" s="10">
        <f>IFERROR(__xludf.DUMMYFUNCTION("SPLIT(B371,""T"")"),43109.0)</f>
        <v>43109</v>
      </c>
      <c r="F371" s="4" t="str">
        <f>IFERROR(__xludf.DUMMYFUNCTION("""COMPUTED_VALUE"""),"11:59:00Z")</f>
        <v>11:59:00Z</v>
      </c>
      <c r="G371" s="11" t="str">
        <f t="shared" si="1"/>
        <v>11:59:00</v>
      </c>
      <c r="H371" s="10">
        <f>IFERROR(__xludf.DUMMYFUNCTION("SPLIT(D371,""T"")"),42933.0)</f>
        <v>42933</v>
      </c>
      <c r="I371" s="4" t="str">
        <f>IFERROR(__xludf.DUMMYFUNCTION("""COMPUTED_VALUE"""),"14:44:00Z")</f>
        <v>14:44:00Z</v>
      </c>
      <c r="J371" s="4" t="str">
        <f t="shared" si="2"/>
        <v>14:44:00</v>
      </c>
      <c r="K371" s="4">
        <f t="shared" si="3"/>
        <v>176</v>
      </c>
      <c r="L371" s="4">
        <f t="shared" si="4"/>
        <v>-0.1145833333</v>
      </c>
      <c r="M371" s="4">
        <f t="shared" si="5"/>
        <v>175.8854167</v>
      </c>
    </row>
    <row r="372">
      <c r="A372" s="4" t="s">
        <v>97</v>
      </c>
      <c r="B372" s="4" t="s">
        <v>1944</v>
      </c>
      <c r="C372" s="4" t="s">
        <v>990</v>
      </c>
      <c r="D372" s="4" t="s">
        <v>2331</v>
      </c>
      <c r="E372" s="10">
        <f>IFERROR(__xludf.DUMMYFUNCTION("SPLIT(B372,""T"")"),43109.0)</f>
        <v>43109</v>
      </c>
      <c r="F372" s="4" t="str">
        <f>IFERROR(__xludf.DUMMYFUNCTION("""COMPUTED_VALUE"""),"11:59:00Z")</f>
        <v>11:59:00Z</v>
      </c>
      <c r="G372" s="11" t="str">
        <f t="shared" si="1"/>
        <v>11:59:00</v>
      </c>
      <c r="H372" s="10">
        <f>IFERROR(__xludf.DUMMYFUNCTION("SPLIT(D372,""T"")"),42933.0)</f>
        <v>42933</v>
      </c>
      <c r="I372" s="4" t="str">
        <f>IFERROR(__xludf.DUMMYFUNCTION("""COMPUTED_VALUE"""),"14:55:00Z")</f>
        <v>14:55:00Z</v>
      </c>
      <c r="J372" s="4" t="str">
        <f t="shared" si="2"/>
        <v>14:55:00</v>
      </c>
      <c r="K372" s="4">
        <f t="shared" si="3"/>
        <v>176</v>
      </c>
      <c r="L372" s="4">
        <f t="shared" si="4"/>
        <v>-0.1222222222</v>
      </c>
      <c r="M372" s="4">
        <f t="shared" si="5"/>
        <v>175.8777778</v>
      </c>
    </row>
    <row r="373">
      <c r="A373" s="4" t="s">
        <v>170</v>
      </c>
      <c r="B373" s="4" t="s">
        <v>2838</v>
      </c>
      <c r="C373" s="4" t="s">
        <v>2930</v>
      </c>
      <c r="D373" s="4" t="s">
        <v>2931</v>
      </c>
      <c r="E373" s="10">
        <f>IFERROR(__xludf.DUMMYFUNCTION("SPLIT(B373,""T"")"),43469.0)</f>
        <v>43469</v>
      </c>
      <c r="F373" s="4" t="str">
        <f>IFERROR(__xludf.DUMMYFUNCTION("""COMPUTED_VALUE"""),"09:49:00Z")</f>
        <v>09:49:00Z</v>
      </c>
      <c r="G373" s="11" t="str">
        <f t="shared" si="1"/>
        <v>09:49:00</v>
      </c>
      <c r="H373" s="10">
        <f>IFERROR(__xludf.DUMMYFUNCTION("SPLIT(D373,""T"")"),43293.0)</f>
        <v>43293</v>
      </c>
      <c r="I373" s="4" t="str">
        <f>IFERROR(__xludf.DUMMYFUNCTION("""COMPUTED_VALUE"""),"12:57:00Z")</f>
        <v>12:57:00Z</v>
      </c>
      <c r="J373" s="4" t="str">
        <f t="shared" si="2"/>
        <v>12:57:00</v>
      </c>
      <c r="K373" s="4">
        <f t="shared" si="3"/>
        <v>176</v>
      </c>
      <c r="L373" s="4">
        <f t="shared" si="4"/>
        <v>-0.1305555556</v>
      </c>
      <c r="M373" s="4">
        <f t="shared" si="5"/>
        <v>175.8694444</v>
      </c>
    </row>
    <row r="374">
      <c r="A374" s="4" t="s">
        <v>94</v>
      </c>
      <c r="B374" s="4" t="s">
        <v>1944</v>
      </c>
      <c r="C374" s="4" t="s">
        <v>1219</v>
      </c>
      <c r="D374" s="4" t="s">
        <v>2292</v>
      </c>
      <c r="E374" s="10">
        <f>IFERROR(__xludf.DUMMYFUNCTION("SPLIT(B374,""T"")"),43109.0)</f>
        <v>43109</v>
      </c>
      <c r="F374" s="4" t="str">
        <f>IFERROR(__xludf.DUMMYFUNCTION("""COMPUTED_VALUE"""),"11:59:00Z")</f>
        <v>11:59:00Z</v>
      </c>
      <c r="G374" s="11" t="str">
        <f t="shared" si="1"/>
        <v>11:59:00</v>
      </c>
      <c r="H374" s="10">
        <f>IFERROR(__xludf.DUMMYFUNCTION("SPLIT(D374,""T"")"),42933.0)</f>
        <v>42933</v>
      </c>
      <c r="I374" s="4" t="str">
        <f>IFERROR(__xludf.DUMMYFUNCTION("""COMPUTED_VALUE"""),"15:32:00Z")</f>
        <v>15:32:00Z</v>
      </c>
      <c r="J374" s="4" t="str">
        <f t="shared" si="2"/>
        <v>15:32:00</v>
      </c>
      <c r="K374" s="4">
        <f t="shared" si="3"/>
        <v>176</v>
      </c>
      <c r="L374" s="4">
        <f t="shared" si="4"/>
        <v>-0.1479166667</v>
      </c>
      <c r="M374" s="4">
        <f t="shared" si="5"/>
        <v>175.8520833</v>
      </c>
    </row>
    <row r="375">
      <c r="A375" s="4" t="s">
        <v>87</v>
      </c>
      <c r="B375" s="4" t="s">
        <v>2656</v>
      </c>
      <c r="C375" s="4" t="s">
        <v>566</v>
      </c>
      <c r="D375" s="4" t="s">
        <v>2774</v>
      </c>
      <c r="E375" s="10">
        <f>IFERROR(__xludf.DUMMYFUNCTION("SPLIT(B375,""T"")"),43469.0)</f>
        <v>43469</v>
      </c>
      <c r="F375" s="4" t="str">
        <f>IFERROR(__xludf.DUMMYFUNCTION("""COMPUTED_VALUE"""),"09:48:00Z")</f>
        <v>09:48:00Z</v>
      </c>
      <c r="G375" s="11" t="str">
        <f t="shared" si="1"/>
        <v>09:48:00</v>
      </c>
      <c r="H375" s="10">
        <f>IFERROR(__xludf.DUMMYFUNCTION("SPLIT(D375,""T"")"),43293.0)</f>
        <v>43293</v>
      </c>
      <c r="I375" s="4" t="str">
        <f>IFERROR(__xludf.DUMMYFUNCTION("""COMPUTED_VALUE"""),"22:45:00Z")</f>
        <v>22:45:00Z</v>
      </c>
      <c r="J375" s="4" t="str">
        <f t="shared" si="2"/>
        <v>22:45:00</v>
      </c>
      <c r="K375" s="4">
        <f t="shared" si="3"/>
        <v>176</v>
      </c>
      <c r="L375" s="4">
        <f t="shared" si="4"/>
        <v>-0.5395833333</v>
      </c>
      <c r="M375" s="4">
        <f t="shared" si="5"/>
        <v>175.4604167</v>
      </c>
    </row>
    <row r="376">
      <c r="A376" s="4" t="s">
        <v>69</v>
      </c>
      <c r="B376" s="4" t="s">
        <v>1944</v>
      </c>
      <c r="C376" s="4" t="s">
        <v>1945</v>
      </c>
      <c r="D376" s="4" t="s">
        <v>1946</v>
      </c>
      <c r="E376" s="10">
        <f>IFERROR(__xludf.DUMMYFUNCTION("SPLIT(B376,""T"")"),43109.0)</f>
        <v>43109</v>
      </c>
      <c r="F376" s="4" t="str">
        <f>IFERROR(__xludf.DUMMYFUNCTION("""COMPUTED_VALUE"""),"11:59:00Z")</f>
        <v>11:59:00Z</v>
      </c>
      <c r="G376" s="11" t="str">
        <f t="shared" si="1"/>
        <v>11:59:00</v>
      </c>
      <c r="H376" s="10">
        <f>IFERROR(__xludf.DUMMYFUNCTION("SPLIT(D376,""T"")"),42934.0)</f>
        <v>42934</v>
      </c>
      <c r="I376" s="4" t="str">
        <f>IFERROR(__xludf.DUMMYFUNCTION("""COMPUTED_VALUE"""),"11:45:00Z")</f>
        <v>11:45:00Z</v>
      </c>
      <c r="J376" s="4" t="str">
        <f t="shared" si="2"/>
        <v>11:45:00</v>
      </c>
      <c r="K376" s="4">
        <f t="shared" si="3"/>
        <v>175</v>
      </c>
      <c r="L376" s="4">
        <f t="shared" si="4"/>
        <v>0.009722222222</v>
      </c>
      <c r="M376" s="4">
        <f t="shared" si="5"/>
        <v>175.0097222</v>
      </c>
    </row>
    <row r="377">
      <c r="A377" s="4" t="s">
        <v>58</v>
      </c>
      <c r="B377" s="4" t="s">
        <v>2059</v>
      </c>
      <c r="C377" s="4" t="s">
        <v>2110</v>
      </c>
      <c r="D377" s="4" t="s">
        <v>2111</v>
      </c>
      <c r="E377" s="10">
        <f>IFERROR(__xludf.DUMMYFUNCTION("SPLIT(B377,""T"")"),43109.0)</f>
        <v>43109</v>
      </c>
      <c r="F377" s="4" t="str">
        <f>IFERROR(__xludf.DUMMYFUNCTION("""COMPUTED_VALUE"""),"12:01:00Z")</f>
        <v>12:01:00Z</v>
      </c>
      <c r="G377" s="11" t="str">
        <f t="shared" si="1"/>
        <v>12:01:00</v>
      </c>
      <c r="H377" s="10">
        <f>IFERROR(__xludf.DUMMYFUNCTION("SPLIT(D377,""T"")"),42934.0)</f>
        <v>42934</v>
      </c>
      <c r="I377" s="4" t="str">
        <f>IFERROR(__xludf.DUMMYFUNCTION("""COMPUTED_VALUE"""),"12:39:00Z")</f>
        <v>12:39:00Z</v>
      </c>
      <c r="J377" s="4" t="str">
        <f t="shared" si="2"/>
        <v>12:39:00</v>
      </c>
      <c r="K377" s="4">
        <f t="shared" si="3"/>
        <v>175</v>
      </c>
      <c r="L377" s="4">
        <f t="shared" si="4"/>
        <v>-0.02638888889</v>
      </c>
      <c r="M377" s="4">
        <f t="shared" si="5"/>
        <v>174.9736111</v>
      </c>
    </row>
    <row r="378">
      <c r="A378" s="4" t="s">
        <v>27</v>
      </c>
      <c r="B378" s="4" t="s">
        <v>2059</v>
      </c>
      <c r="C378" s="4" t="s">
        <v>2261</v>
      </c>
      <c r="D378" s="4" t="s">
        <v>2262</v>
      </c>
      <c r="E378" s="10">
        <f>IFERROR(__xludf.DUMMYFUNCTION("SPLIT(B378,""T"")"),43109.0)</f>
        <v>43109</v>
      </c>
      <c r="F378" s="4" t="str">
        <f>IFERROR(__xludf.DUMMYFUNCTION("""COMPUTED_VALUE"""),"12:01:00Z")</f>
        <v>12:01:00Z</v>
      </c>
      <c r="G378" s="11" t="str">
        <f t="shared" si="1"/>
        <v>12:01:00</v>
      </c>
      <c r="H378" s="10">
        <f>IFERROR(__xludf.DUMMYFUNCTION("SPLIT(D378,""T"")"),42934.0)</f>
        <v>42934</v>
      </c>
      <c r="I378" s="4" t="str">
        <f>IFERROR(__xludf.DUMMYFUNCTION("""COMPUTED_VALUE"""),"15:34:00Z")</f>
        <v>15:34:00Z</v>
      </c>
      <c r="J378" s="4" t="str">
        <f t="shared" si="2"/>
        <v>15:34:00</v>
      </c>
      <c r="K378" s="4">
        <f t="shared" si="3"/>
        <v>175</v>
      </c>
      <c r="L378" s="4">
        <f t="shared" si="4"/>
        <v>-0.1479166667</v>
      </c>
      <c r="M378" s="4">
        <f t="shared" si="5"/>
        <v>174.8520833</v>
      </c>
    </row>
    <row r="379">
      <c r="A379" s="4" t="s">
        <v>94</v>
      </c>
      <c r="B379" s="4" t="s">
        <v>2059</v>
      </c>
      <c r="C379" s="4" t="s">
        <v>2297</v>
      </c>
      <c r="D379" s="4" t="s">
        <v>2298</v>
      </c>
      <c r="E379" s="10">
        <f>IFERROR(__xludf.DUMMYFUNCTION("SPLIT(B379,""T"")"),43109.0)</f>
        <v>43109</v>
      </c>
      <c r="F379" s="4" t="str">
        <f>IFERROR(__xludf.DUMMYFUNCTION("""COMPUTED_VALUE"""),"12:01:00Z")</f>
        <v>12:01:00Z</v>
      </c>
      <c r="G379" s="11" t="str">
        <f t="shared" si="1"/>
        <v>12:01:00</v>
      </c>
      <c r="H379" s="10">
        <f>IFERROR(__xludf.DUMMYFUNCTION("SPLIT(D379,""T"")"),42934.0)</f>
        <v>42934</v>
      </c>
      <c r="I379" s="4" t="str">
        <f>IFERROR(__xludf.DUMMYFUNCTION("""COMPUTED_VALUE"""),"15:50:00Z")</f>
        <v>15:50:00Z</v>
      </c>
      <c r="J379" s="4" t="str">
        <f t="shared" si="2"/>
        <v>15:50:00</v>
      </c>
      <c r="K379" s="4">
        <f t="shared" si="3"/>
        <v>175</v>
      </c>
      <c r="L379" s="4">
        <f t="shared" si="4"/>
        <v>-0.1590277778</v>
      </c>
      <c r="M379" s="4">
        <f t="shared" si="5"/>
        <v>174.8409722</v>
      </c>
    </row>
    <row r="380">
      <c r="A380" s="4" t="s">
        <v>134</v>
      </c>
      <c r="B380" s="4" t="s">
        <v>3107</v>
      </c>
      <c r="C380" s="4" t="s">
        <v>3196</v>
      </c>
      <c r="D380" s="4" t="s">
        <v>3197</v>
      </c>
      <c r="E380" s="10">
        <f>IFERROR(__xludf.DUMMYFUNCTION("SPLIT(B380,""T"")"),43469.0)</f>
        <v>43469</v>
      </c>
      <c r="F380" s="4" t="str">
        <f>IFERROR(__xludf.DUMMYFUNCTION("""COMPUTED_VALUE"""),"09:47:00Z")</f>
        <v>09:47:00Z</v>
      </c>
      <c r="G380" s="11" t="str">
        <f t="shared" si="1"/>
        <v>09:47:00</v>
      </c>
      <c r="H380" s="10">
        <f>IFERROR(__xludf.DUMMYFUNCTION("SPLIT(D380,""T"")"),43294.0)</f>
        <v>43294</v>
      </c>
      <c r="I380" s="4" t="str">
        <f>IFERROR(__xludf.DUMMYFUNCTION("""COMPUTED_VALUE"""),"14:32:00Z")</f>
        <v>14:32:00Z</v>
      </c>
      <c r="J380" s="4" t="str">
        <f t="shared" si="2"/>
        <v>14:32:00</v>
      </c>
      <c r="K380" s="4">
        <f t="shared" si="3"/>
        <v>175</v>
      </c>
      <c r="L380" s="4">
        <f t="shared" si="4"/>
        <v>-0.1979166667</v>
      </c>
      <c r="M380" s="4">
        <f t="shared" si="5"/>
        <v>174.8020833</v>
      </c>
    </row>
    <row r="381">
      <c r="A381" s="4" t="s">
        <v>260</v>
      </c>
      <c r="B381" s="4" t="s">
        <v>2059</v>
      </c>
      <c r="C381" s="4" t="s">
        <v>2523</v>
      </c>
      <c r="D381" s="4" t="s">
        <v>2524</v>
      </c>
      <c r="E381" s="10">
        <f>IFERROR(__xludf.DUMMYFUNCTION("SPLIT(B381,""T"")"),43109.0)</f>
        <v>43109</v>
      </c>
      <c r="F381" s="4" t="str">
        <f>IFERROR(__xludf.DUMMYFUNCTION("""COMPUTED_VALUE"""),"12:01:00Z")</f>
        <v>12:01:00Z</v>
      </c>
      <c r="G381" s="11" t="str">
        <f t="shared" si="1"/>
        <v>12:01:00</v>
      </c>
      <c r="H381" s="10">
        <f>IFERROR(__xludf.DUMMYFUNCTION("SPLIT(D381,""T"")"),42934.0)</f>
        <v>42934</v>
      </c>
      <c r="I381" s="4" t="str">
        <f>IFERROR(__xludf.DUMMYFUNCTION("""COMPUTED_VALUE"""),"22:39:00Z")</f>
        <v>22:39:00Z</v>
      </c>
      <c r="J381" s="4" t="str">
        <f t="shared" si="2"/>
        <v>22:39:00</v>
      </c>
      <c r="K381" s="4">
        <f t="shared" si="3"/>
        <v>175</v>
      </c>
      <c r="L381" s="4">
        <f t="shared" si="4"/>
        <v>-0.4430555556</v>
      </c>
      <c r="M381" s="4">
        <f t="shared" si="5"/>
        <v>174.5569444</v>
      </c>
    </row>
    <row r="382">
      <c r="A382" s="4" t="s">
        <v>101</v>
      </c>
      <c r="B382" s="4" t="s">
        <v>2656</v>
      </c>
      <c r="C382" s="4" t="s">
        <v>2657</v>
      </c>
      <c r="D382" s="4" t="s">
        <v>2658</v>
      </c>
      <c r="E382" s="10">
        <f>IFERROR(__xludf.DUMMYFUNCTION("SPLIT(B382,""T"")"),43469.0)</f>
        <v>43469</v>
      </c>
      <c r="F382" s="4" t="str">
        <f>IFERROR(__xludf.DUMMYFUNCTION("""COMPUTED_VALUE"""),"09:48:00Z")</f>
        <v>09:48:00Z</v>
      </c>
      <c r="G382" s="11" t="str">
        <f t="shared" si="1"/>
        <v>09:48:00</v>
      </c>
      <c r="H382" s="10">
        <f>IFERROR(__xludf.DUMMYFUNCTION("SPLIT(D382,""T"")"),43294.0)</f>
        <v>43294</v>
      </c>
      <c r="I382" s="4" t="str">
        <f>IFERROR(__xludf.DUMMYFUNCTION("""COMPUTED_VALUE"""),"21:36:00Z")</f>
        <v>21:36:00Z</v>
      </c>
      <c r="J382" s="4" t="str">
        <f t="shared" si="2"/>
        <v>21:36:00</v>
      </c>
      <c r="K382" s="4">
        <f t="shared" si="3"/>
        <v>175</v>
      </c>
      <c r="L382" s="4">
        <f t="shared" si="4"/>
        <v>-0.4916666667</v>
      </c>
      <c r="M382" s="4">
        <f t="shared" si="5"/>
        <v>174.5083333</v>
      </c>
    </row>
    <row r="383">
      <c r="A383" s="4" t="s">
        <v>145</v>
      </c>
      <c r="B383" s="4" t="s">
        <v>2735</v>
      </c>
      <c r="C383" s="4" t="s">
        <v>2090</v>
      </c>
      <c r="D383" s="4" t="s">
        <v>2736</v>
      </c>
      <c r="E383" s="10">
        <f>IFERROR(__xludf.DUMMYFUNCTION("SPLIT(B383,""T"")"),43469.0)</f>
        <v>43469</v>
      </c>
      <c r="F383" s="4" t="str">
        <f>IFERROR(__xludf.DUMMYFUNCTION("""COMPUTED_VALUE"""),"09:46:00Z")</f>
        <v>09:46:00Z</v>
      </c>
      <c r="G383" s="11" t="str">
        <f t="shared" si="1"/>
        <v>09:46:00</v>
      </c>
      <c r="H383" s="10">
        <f>IFERROR(__xludf.DUMMYFUNCTION("SPLIT(D383,""T"")"),43294.0)</f>
        <v>43294</v>
      </c>
      <c r="I383" s="4" t="str">
        <f>IFERROR(__xludf.DUMMYFUNCTION("""COMPUTED_VALUE"""),"22:03:00Z")</f>
        <v>22:03:00Z</v>
      </c>
      <c r="J383" s="4" t="str">
        <f t="shared" si="2"/>
        <v>22:03:00</v>
      </c>
      <c r="K383" s="4">
        <f t="shared" si="3"/>
        <v>175</v>
      </c>
      <c r="L383" s="4">
        <f t="shared" si="4"/>
        <v>-0.5118055556</v>
      </c>
      <c r="M383" s="4">
        <f t="shared" si="5"/>
        <v>174.4881944</v>
      </c>
    </row>
    <row r="384">
      <c r="A384" s="4" t="s">
        <v>856</v>
      </c>
      <c r="B384" s="4" t="s">
        <v>2059</v>
      </c>
      <c r="C384" s="4" t="s">
        <v>2060</v>
      </c>
      <c r="D384" s="4" t="s">
        <v>2061</v>
      </c>
      <c r="E384" s="10">
        <f>IFERROR(__xludf.DUMMYFUNCTION("SPLIT(B384,""T"")"),43109.0)</f>
        <v>43109</v>
      </c>
      <c r="F384" s="4" t="str">
        <f>IFERROR(__xludf.DUMMYFUNCTION("""COMPUTED_VALUE"""),"12:01:00Z")</f>
        <v>12:01:00Z</v>
      </c>
      <c r="G384" s="11" t="str">
        <f t="shared" si="1"/>
        <v>12:01:00</v>
      </c>
      <c r="H384" s="10">
        <f>IFERROR(__xludf.DUMMYFUNCTION("SPLIT(D384,""T"")"),42935.0)</f>
        <v>42935</v>
      </c>
      <c r="I384" s="4" t="str">
        <f>IFERROR(__xludf.DUMMYFUNCTION("""COMPUTED_VALUE"""),"14:00:00Z")</f>
        <v>14:00:00Z</v>
      </c>
      <c r="J384" s="4" t="str">
        <f t="shared" si="2"/>
        <v>14:00:00</v>
      </c>
      <c r="K384" s="4">
        <f t="shared" si="3"/>
        <v>174</v>
      </c>
      <c r="L384" s="4">
        <f t="shared" si="4"/>
        <v>-0.08263888889</v>
      </c>
      <c r="M384" s="4">
        <f t="shared" si="5"/>
        <v>173.9173611</v>
      </c>
    </row>
    <row r="385">
      <c r="A385" s="4" t="s">
        <v>320</v>
      </c>
      <c r="B385" s="4" t="s">
        <v>3182</v>
      </c>
      <c r="C385" s="4" t="s">
        <v>3183</v>
      </c>
      <c r="D385" s="4" t="s">
        <v>3184</v>
      </c>
      <c r="E385" s="10">
        <f>IFERROR(__xludf.DUMMYFUNCTION("SPLIT(B385,""T"")"),43469.0)</f>
        <v>43469</v>
      </c>
      <c r="F385" s="4" t="str">
        <f>IFERROR(__xludf.DUMMYFUNCTION("""COMPUTED_VALUE"""),"09:45:00Z")</f>
        <v>09:45:00Z</v>
      </c>
      <c r="G385" s="11" t="str">
        <f t="shared" si="1"/>
        <v>09:45:00</v>
      </c>
      <c r="H385" s="10">
        <f>IFERROR(__xludf.DUMMYFUNCTION("SPLIT(D385,""T"")"),43295.0)</f>
        <v>43295</v>
      </c>
      <c r="I385" s="4" t="str">
        <f>IFERROR(__xludf.DUMMYFUNCTION("""COMPUTED_VALUE"""),"15:00:00Z")</f>
        <v>15:00:00Z</v>
      </c>
      <c r="J385" s="4" t="str">
        <f t="shared" si="2"/>
        <v>15:00:00</v>
      </c>
      <c r="K385" s="4">
        <f t="shared" si="3"/>
        <v>174</v>
      </c>
      <c r="L385" s="4">
        <f t="shared" si="4"/>
        <v>-0.21875</v>
      </c>
      <c r="M385" s="4">
        <f t="shared" si="5"/>
        <v>173.78125</v>
      </c>
    </row>
    <row r="386">
      <c r="A386" s="4" t="s">
        <v>212</v>
      </c>
      <c r="B386" s="4" t="s">
        <v>2025</v>
      </c>
      <c r="C386" s="4" t="s">
        <v>329</v>
      </c>
      <c r="D386" s="4" t="s">
        <v>2631</v>
      </c>
      <c r="E386" s="10">
        <f>IFERROR(__xludf.DUMMYFUNCTION("SPLIT(B386,""T"")"),43109.0)</f>
        <v>43109</v>
      </c>
      <c r="F386" s="4" t="str">
        <f>IFERROR(__xludf.DUMMYFUNCTION("""COMPUTED_VALUE"""),"12:02:00Z")</f>
        <v>12:02:00Z</v>
      </c>
      <c r="G386" s="11" t="str">
        <f t="shared" si="1"/>
        <v>12:02:00</v>
      </c>
      <c r="H386" s="10">
        <f>IFERROR(__xludf.DUMMYFUNCTION("SPLIT(D386,""T"")"),42935.0)</f>
        <v>42935</v>
      </c>
      <c r="I386" s="4" t="str">
        <f>IFERROR(__xludf.DUMMYFUNCTION("""COMPUTED_VALUE"""),"17:30:00Z")</f>
        <v>17:30:00Z</v>
      </c>
      <c r="J386" s="4" t="str">
        <f t="shared" si="2"/>
        <v>17:30:00</v>
      </c>
      <c r="K386" s="4">
        <f t="shared" si="3"/>
        <v>174</v>
      </c>
      <c r="L386" s="4">
        <f t="shared" si="4"/>
        <v>-0.2277777778</v>
      </c>
      <c r="M386" s="4">
        <f t="shared" si="5"/>
        <v>173.7722222</v>
      </c>
    </row>
    <row r="387">
      <c r="A387" s="4" t="s">
        <v>54</v>
      </c>
      <c r="B387" s="4" t="s">
        <v>2735</v>
      </c>
      <c r="C387" s="4" t="s">
        <v>2189</v>
      </c>
      <c r="D387" s="4" t="s">
        <v>3103</v>
      </c>
      <c r="E387" s="10">
        <f>IFERROR(__xludf.DUMMYFUNCTION("SPLIT(B387,""T"")"),43469.0)</f>
        <v>43469</v>
      </c>
      <c r="F387" s="4" t="str">
        <f>IFERROR(__xludf.DUMMYFUNCTION("""COMPUTED_VALUE"""),"09:46:00Z")</f>
        <v>09:46:00Z</v>
      </c>
      <c r="G387" s="11" t="str">
        <f t="shared" si="1"/>
        <v>09:46:00</v>
      </c>
      <c r="H387" s="10">
        <f>IFERROR(__xludf.DUMMYFUNCTION("SPLIT(D387,""T"")"),43295.0)</f>
        <v>43295</v>
      </c>
      <c r="I387" s="4" t="str">
        <f>IFERROR(__xludf.DUMMYFUNCTION("""COMPUTED_VALUE"""),"20:40:00Z")</f>
        <v>20:40:00Z</v>
      </c>
      <c r="J387" s="4" t="str">
        <f t="shared" si="2"/>
        <v>20:40:00</v>
      </c>
      <c r="K387" s="4">
        <f t="shared" si="3"/>
        <v>174</v>
      </c>
      <c r="L387" s="4">
        <f t="shared" si="4"/>
        <v>-0.4541666667</v>
      </c>
      <c r="M387" s="4">
        <f t="shared" si="5"/>
        <v>173.5458333</v>
      </c>
    </row>
    <row r="388">
      <c r="A388" s="4" t="s">
        <v>145</v>
      </c>
      <c r="B388" s="4" t="s">
        <v>2735</v>
      </c>
      <c r="C388" s="4" t="s">
        <v>3047</v>
      </c>
      <c r="D388" s="4" t="s">
        <v>3048</v>
      </c>
      <c r="E388" s="10">
        <f>IFERROR(__xludf.DUMMYFUNCTION("SPLIT(B388,""T"")"),43469.0)</f>
        <v>43469</v>
      </c>
      <c r="F388" s="4" t="str">
        <f>IFERROR(__xludf.DUMMYFUNCTION("""COMPUTED_VALUE"""),"09:46:00Z")</f>
        <v>09:46:00Z</v>
      </c>
      <c r="G388" s="11" t="str">
        <f t="shared" si="1"/>
        <v>09:46:00</v>
      </c>
      <c r="H388" s="10">
        <f>IFERROR(__xludf.DUMMYFUNCTION("SPLIT(D388,""T"")"),43295.0)</f>
        <v>43295</v>
      </c>
      <c r="I388" s="4" t="str">
        <f>IFERROR(__xludf.DUMMYFUNCTION("""COMPUTED_VALUE"""),"20:46:00Z")</f>
        <v>20:46:00Z</v>
      </c>
      <c r="J388" s="4" t="str">
        <f t="shared" si="2"/>
        <v>20:46:00</v>
      </c>
      <c r="K388" s="4">
        <f t="shared" si="3"/>
        <v>174</v>
      </c>
      <c r="L388" s="4">
        <f t="shared" si="4"/>
        <v>-0.4583333333</v>
      </c>
      <c r="M388" s="4">
        <f t="shared" si="5"/>
        <v>173.5416667</v>
      </c>
    </row>
    <row r="389">
      <c r="A389" s="4" t="s">
        <v>46</v>
      </c>
      <c r="B389" s="4" t="s">
        <v>2857</v>
      </c>
      <c r="C389" s="4" t="s">
        <v>2858</v>
      </c>
      <c r="D389" s="4" t="s">
        <v>2859</v>
      </c>
      <c r="E389" s="10">
        <f>IFERROR(__xludf.DUMMYFUNCTION("SPLIT(B389,""T"")"),43469.0)</f>
        <v>43469</v>
      </c>
      <c r="F389" s="4" t="str">
        <f>IFERROR(__xludf.DUMMYFUNCTION("""COMPUTED_VALUE"""),"09:44:00Z")</f>
        <v>09:44:00Z</v>
      </c>
      <c r="G389" s="11" t="str">
        <f t="shared" si="1"/>
        <v>09:44:00</v>
      </c>
      <c r="H389" s="10">
        <f>IFERROR(__xludf.DUMMYFUNCTION("SPLIT(D389,""T"")"),43296.0)</f>
        <v>43296</v>
      </c>
      <c r="I389" s="4" t="str">
        <f>IFERROR(__xludf.DUMMYFUNCTION("""COMPUTED_VALUE"""),"09:58:00Z")</f>
        <v>09:58:00Z</v>
      </c>
      <c r="J389" s="4" t="str">
        <f t="shared" si="2"/>
        <v>09:58:00</v>
      </c>
      <c r="K389" s="4">
        <f t="shared" si="3"/>
        <v>173</v>
      </c>
      <c r="L389" s="4">
        <f t="shared" si="4"/>
        <v>-0.009722222222</v>
      </c>
      <c r="M389" s="4">
        <f t="shared" si="5"/>
        <v>172.9902778</v>
      </c>
    </row>
    <row r="390">
      <c r="A390" s="4" t="s">
        <v>320</v>
      </c>
      <c r="B390" s="4" t="s">
        <v>2857</v>
      </c>
      <c r="C390" s="4" t="s">
        <v>3033</v>
      </c>
      <c r="D390" s="4" t="s">
        <v>3034</v>
      </c>
      <c r="E390" s="10">
        <f>IFERROR(__xludf.DUMMYFUNCTION("SPLIT(B390,""T"")"),43469.0)</f>
        <v>43469</v>
      </c>
      <c r="F390" s="4" t="str">
        <f>IFERROR(__xludf.DUMMYFUNCTION("""COMPUTED_VALUE"""),"09:44:00Z")</f>
        <v>09:44:00Z</v>
      </c>
      <c r="G390" s="11" t="str">
        <f t="shared" si="1"/>
        <v>09:44:00</v>
      </c>
      <c r="H390" s="10">
        <f>IFERROR(__xludf.DUMMYFUNCTION("SPLIT(D390,""T"")"),43296.0)</f>
        <v>43296</v>
      </c>
      <c r="I390" s="4" t="str">
        <f>IFERROR(__xludf.DUMMYFUNCTION("""COMPUTED_VALUE"""),"11:55:00Z")</f>
        <v>11:55:00Z</v>
      </c>
      <c r="J390" s="4" t="str">
        <f t="shared" si="2"/>
        <v>11:55:00</v>
      </c>
      <c r="K390" s="4">
        <f t="shared" si="3"/>
        <v>173</v>
      </c>
      <c r="L390" s="4">
        <f t="shared" si="4"/>
        <v>-0.09097222222</v>
      </c>
      <c r="M390" s="4">
        <f t="shared" si="5"/>
        <v>172.9090278</v>
      </c>
    </row>
    <row r="391">
      <c r="A391" s="4" t="s">
        <v>149</v>
      </c>
      <c r="B391" s="4" t="s">
        <v>2227</v>
      </c>
      <c r="C391" s="4" t="s">
        <v>2344</v>
      </c>
      <c r="D391" s="4" t="s">
        <v>2345</v>
      </c>
      <c r="E391" s="10">
        <f>IFERROR(__xludf.DUMMYFUNCTION("SPLIT(B391,""T"")"),43109.0)</f>
        <v>43109</v>
      </c>
      <c r="F391" s="4" t="str">
        <f>IFERROR(__xludf.DUMMYFUNCTION("""COMPUTED_VALUE"""),"12:03:00Z")</f>
        <v>12:03:00Z</v>
      </c>
      <c r="G391" s="11" t="str">
        <f t="shared" si="1"/>
        <v>12:03:00</v>
      </c>
      <c r="H391" s="10">
        <f>IFERROR(__xludf.DUMMYFUNCTION("SPLIT(D391,""T"")"),42936.0)</f>
        <v>42936</v>
      </c>
      <c r="I391" s="4" t="str">
        <f>IFERROR(__xludf.DUMMYFUNCTION("""COMPUTED_VALUE"""),"14:43:00Z")</f>
        <v>14:43:00Z</v>
      </c>
      <c r="J391" s="4" t="str">
        <f t="shared" si="2"/>
        <v>14:43:00</v>
      </c>
      <c r="K391" s="4">
        <f t="shared" si="3"/>
        <v>173</v>
      </c>
      <c r="L391" s="4">
        <f t="shared" si="4"/>
        <v>-0.1111111111</v>
      </c>
      <c r="M391" s="4">
        <f t="shared" si="5"/>
        <v>172.8888889</v>
      </c>
    </row>
    <row r="392">
      <c r="A392" s="4" t="s">
        <v>50</v>
      </c>
      <c r="B392" s="4" t="s">
        <v>3056</v>
      </c>
      <c r="C392" s="4" t="s">
        <v>3168</v>
      </c>
      <c r="D392" s="4" t="s">
        <v>3169</v>
      </c>
      <c r="E392" s="10">
        <f>IFERROR(__xludf.DUMMYFUNCTION("SPLIT(B392,""T"")"),43469.0)</f>
        <v>43469</v>
      </c>
      <c r="F392" s="4" t="str">
        <f>IFERROR(__xludf.DUMMYFUNCTION("""COMPUTED_VALUE"""),"09:43:00Z")</f>
        <v>09:43:00Z</v>
      </c>
      <c r="G392" s="11" t="str">
        <f t="shared" si="1"/>
        <v>09:43:00</v>
      </c>
      <c r="H392" s="10">
        <f>IFERROR(__xludf.DUMMYFUNCTION("SPLIT(D392,""T"")"),43296.0)</f>
        <v>43296</v>
      </c>
      <c r="I392" s="4" t="str">
        <f>IFERROR(__xludf.DUMMYFUNCTION("""COMPUTED_VALUE"""),"16:14:00Z")</f>
        <v>16:14:00Z</v>
      </c>
      <c r="J392" s="4" t="str">
        <f t="shared" si="2"/>
        <v>16:14:00</v>
      </c>
      <c r="K392" s="4">
        <f t="shared" si="3"/>
        <v>173</v>
      </c>
      <c r="L392" s="4">
        <f t="shared" si="4"/>
        <v>-0.2715277778</v>
      </c>
      <c r="M392" s="4">
        <f t="shared" si="5"/>
        <v>172.7284722</v>
      </c>
    </row>
    <row r="393">
      <c r="A393" s="4" t="s">
        <v>320</v>
      </c>
      <c r="B393" s="4" t="s">
        <v>2962</v>
      </c>
      <c r="C393" s="4" t="s">
        <v>3110</v>
      </c>
      <c r="D393" s="4" t="s">
        <v>3111</v>
      </c>
      <c r="E393" s="10">
        <f>IFERROR(__xludf.DUMMYFUNCTION("SPLIT(B393,""T"")"),43469.0)</f>
        <v>43469</v>
      </c>
      <c r="F393" s="4" t="str">
        <f>IFERROR(__xludf.DUMMYFUNCTION("""COMPUTED_VALUE"""),"09:42:00Z")</f>
        <v>09:42:00Z</v>
      </c>
      <c r="G393" s="11" t="str">
        <f t="shared" si="1"/>
        <v>09:42:00</v>
      </c>
      <c r="H393" s="10">
        <f>IFERROR(__xludf.DUMMYFUNCTION("SPLIT(D393,""T"")"),43296.0)</f>
        <v>43296</v>
      </c>
      <c r="I393" s="4" t="str">
        <f>IFERROR(__xludf.DUMMYFUNCTION("""COMPUTED_VALUE"""),"16:45:00Z")</f>
        <v>16:45:00Z</v>
      </c>
      <c r="J393" s="4" t="str">
        <f t="shared" si="2"/>
        <v>16:45:00</v>
      </c>
      <c r="K393" s="4">
        <f t="shared" si="3"/>
        <v>173</v>
      </c>
      <c r="L393" s="4">
        <f t="shared" si="4"/>
        <v>-0.29375</v>
      </c>
      <c r="M393" s="4">
        <f t="shared" si="5"/>
        <v>172.70625</v>
      </c>
    </row>
    <row r="394" hidden="1">
      <c r="A394" s="4" t="s">
        <v>97</v>
      </c>
      <c r="B394" s="4" t="s">
        <v>1148</v>
      </c>
      <c r="C394" s="4" t="s">
        <v>99</v>
      </c>
      <c r="D394" s="4" t="s">
        <v>1149</v>
      </c>
      <c r="E394" s="10">
        <f>IFERROR(__xludf.DUMMYFUNCTION("SPLIT(B394,""T"")"),25568.0)</f>
        <v>25568</v>
      </c>
      <c r="F394" s="4" t="str">
        <f>IFERROR(__xludf.DUMMYFUNCTION("""COMPUTED_VALUE"""),"16:00:00Z")</f>
        <v>16:00:00Z</v>
      </c>
      <c r="G394" s="11" t="str">
        <f t="shared" si="1"/>
        <v>16:00:00</v>
      </c>
      <c r="H394" s="10">
        <f>IFERROR(__xludf.DUMMYFUNCTION("SPLIT(D394,""T"")"),42217.0)</f>
        <v>42217</v>
      </c>
      <c r="I394" s="4" t="str">
        <f>IFERROR(__xludf.DUMMYFUNCTION("""COMPUTED_VALUE"""),"14:32:00Z")</f>
        <v>14:32:00Z</v>
      </c>
      <c r="J394" s="4" t="str">
        <f t="shared" si="2"/>
        <v>14:32:00</v>
      </c>
      <c r="K394" s="4">
        <f t="shared" si="3"/>
        <v>-16649</v>
      </c>
      <c r="L394" s="4">
        <f t="shared" si="4"/>
        <v>0.06111111111</v>
      </c>
      <c r="M394" s="4">
        <f t="shared" si="5"/>
        <v>-16648.93889</v>
      </c>
    </row>
    <row r="395">
      <c r="A395" s="4" t="s">
        <v>94</v>
      </c>
      <c r="B395" s="4" t="s">
        <v>2025</v>
      </c>
      <c r="C395" s="4" t="s">
        <v>2026</v>
      </c>
      <c r="D395" s="4" t="s">
        <v>2027</v>
      </c>
      <c r="E395" s="10">
        <f>IFERROR(__xludf.DUMMYFUNCTION("SPLIT(B395,""T"")"),43109.0)</f>
        <v>43109</v>
      </c>
      <c r="F395" s="4" t="str">
        <f>IFERROR(__xludf.DUMMYFUNCTION("""COMPUTED_VALUE"""),"12:02:00Z")</f>
        <v>12:02:00Z</v>
      </c>
      <c r="G395" s="11" t="str">
        <f t="shared" si="1"/>
        <v>12:02:00</v>
      </c>
      <c r="H395" s="10">
        <f>IFERROR(__xludf.DUMMYFUNCTION("SPLIT(D395,""T"")"),42936.0)</f>
        <v>42936</v>
      </c>
      <c r="I395" s="4" t="str">
        <f>IFERROR(__xludf.DUMMYFUNCTION("""COMPUTED_VALUE"""),"19:16:00Z")</f>
        <v>19:16:00Z</v>
      </c>
      <c r="J395" s="4" t="str">
        <f t="shared" si="2"/>
        <v>19:16:00</v>
      </c>
      <c r="K395" s="4">
        <f t="shared" si="3"/>
        <v>173</v>
      </c>
      <c r="L395" s="4">
        <f t="shared" si="4"/>
        <v>-0.3013888889</v>
      </c>
      <c r="M395" s="4">
        <f t="shared" si="5"/>
        <v>172.6986111</v>
      </c>
    </row>
    <row r="396">
      <c r="A396" s="4" t="s">
        <v>54</v>
      </c>
      <c r="B396" s="4" t="s">
        <v>3056</v>
      </c>
      <c r="C396" s="4" t="s">
        <v>3057</v>
      </c>
      <c r="D396" s="4" t="s">
        <v>3058</v>
      </c>
      <c r="E396" s="10">
        <f>IFERROR(__xludf.DUMMYFUNCTION("SPLIT(B396,""T"")"),43469.0)</f>
        <v>43469</v>
      </c>
      <c r="F396" s="4" t="str">
        <f>IFERROR(__xludf.DUMMYFUNCTION("""COMPUTED_VALUE"""),"09:43:00Z")</f>
        <v>09:43:00Z</v>
      </c>
      <c r="G396" s="11" t="str">
        <f t="shared" si="1"/>
        <v>09:43:00</v>
      </c>
      <c r="H396" s="10">
        <f>IFERROR(__xludf.DUMMYFUNCTION("SPLIT(D396,""T"")"),43296.0)</f>
        <v>43296</v>
      </c>
      <c r="I396" s="4" t="str">
        <f>IFERROR(__xludf.DUMMYFUNCTION("""COMPUTED_VALUE"""),"17:15:00Z")</f>
        <v>17:15:00Z</v>
      </c>
      <c r="J396" s="4" t="str">
        <f t="shared" si="2"/>
        <v>17:15:00</v>
      </c>
      <c r="K396" s="4">
        <f t="shared" si="3"/>
        <v>173</v>
      </c>
      <c r="L396" s="4">
        <f t="shared" si="4"/>
        <v>-0.3138888889</v>
      </c>
      <c r="M396" s="4">
        <f t="shared" si="5"/>
        <v>172.6861111</v>
      </c>
    </row>
    <row r="397">
      <c r="A397" s="4" t="s">
        <v>73</v>
      </c>
      <c r="B397" s="4" t="s">
        <v>2193</v>
      </c>
      <c r="C397" s="4" t="s">
        <v>2194</v>
      </c>
      <c r="D397" s="4" t="s">
        <v>2195</v>
      </c>
      <c r="E397" s="10">
        <f>IFERROR(__xludf.DUMMYFUNCTION("SPLIT(B397,""T"")"),43195.0)</f>
        <v>43195</v>
      </c>
      <c r="F397" s="4" t="str">
        <f>IFERROR(__xludf.DUMMYFUNCTION("""COMPUTED_VALUE"""),"12:01:00Z")</f>
        <v>12:01:00Z</v>
      </c>
      <c r="G397" s="11" t="str">
        <f t="shared" si="1"/>
        <v>12:01:00</v>
      </c>
      <c r="H397" s="10">
        <f>IFERROR(__xludf.DUMMYFUNCTION("SPLIT(D397,""T"")"),43022.0)</f>
        <v>43022</v>
      </c>
      <c r="I397" s="4" t="str">
        <f>IFERROR(__xludf.DUMMYFUNCTION("""COMPUTED_VALUE"""),"20:35:00Z")</f>
        <v>20:35:00Z</v>
      </c>
      <c r="J397" s="4" t="str">
        <f t="shared" si="2"/>
        <v>20:35:00</v>
      </c>
      <c r="K397" s="4">
        <f t="shared" si="3"/>
        <v>173</v>
      </c>
      <c r="L397" s="4">
        <f t="shared" si="4"/>
        <v>-0.3569444444</v>
      </c>
      <c r="M397" s="4">
        <f t="shared" si="5"/>
        <v>172.6430556</v>
      </c>
    </row>
    <row r="398">
      <c r="A398" s="4" t="s">
        <v>320</v>
      </c>
      <c r="B398" s="4" t="s">
        <v>2962</v>
      </c>
      <c r="C398" s="4" t="s">
        <v>2963</v>
      </c>
      <c r="D398" s="4" t="s">
        <v>2964</v>
      </c>
      <c r="E398" s="10">
        <f>IFERROR(__xludf.DUMMYFUNCTION("SPLIT(B398,""T"")"),43469.0)</f>
        <v>43469</v>
      </c>
      <c r="F398" s="4" t="str">
        <f>IFERROR(__xludf.DUMMYFUNCTION("""COMPUTED_VALUE"""),"09:42:00Z")</f>
        <v>09:42:00Z</v>
      </c>
      <c r="G398" s="11" t="str">
        <f t="shared" si="1"/>
        <v>09:42:00</v>
      </c>
      <c r="H398" s="10">
        <f>IFERROR(__xludf.DUMMYFUNCTION("SPLIT(D398,""T"")"),43296.0)</f>
        <v>43296</v>
      </c>
      <c r="I398" s="4" t="str">
        <f>IFERROR(__xludf.DUMMYFUNCTION("""COMPUTED_VALUE"""),"18:54:00Z")</f>
        <v>18:54:00Z</v>
      </c>
      <c r="J398" s="4" t="str">
        <f t="shared" si="2"/>
        <v>18:54:00</v>
      </c>
      <c r="K398" s="4">
        <f t="shared" si="3"/>
        <v>173</v>
      </c>
      <c r="L398" s="4">
        <f t="shared" si="4"/>
        <v>-0.3833333333</v>
      </c>
      <c r="M398" s="4">
        <f t="shared" si="5"/>
        <v>172.6166667</v>
      </c>
    </row>
    <row r="399">
      <c r="A399" s="4" t="s">
        <v>388</v>
      </c>
      <c r="B399" s="4" t="s">
        <v>2227</v>
      </c>
      <c r="C399" s="4" t="s">
        <v>2597</v>
      </c>
      <c r="D399" s="4" t="s">
        <v>2598</v>
      </c>
      <c r="E399" s="10">
        <f>IFERROR(__xludf.DUMMYFUNCTION("SPLIT(B399,""T"")"),43109.0)</f>
        <v>43109</v>
      </c>
      <c r="F399" s="4" t="str">
        <f>IFERROR(__xludf.DUMMYFUNCTION("""COMPUTED_VALUE"""),"12:03:00Z")</f>
        <v>12:03:00Z</v>
      </c>
      <c r="G399" s="11" t="str">
        <f t="shared" si="1"/>
        <v>12:03:00</v>
      </c>
      <c r="H399" s="10">
        <f>IFERROR(__xludf.DUMMYFUNCTION("SPLIT(D399,""T"")"),42937.0)</f>
        <v>42937</v>
      </c>
      <c r="I399" s="4" t="str">
        <f>IFERROR(__xludf.DUMMYFUNCTION("""COMPUTED_VALUE"""),"16:50:00Z")</f>
        <v>16:50:00Z</v>
      </c>
      <c r="J399" s="4" t="str">
        <f t="shared" si="2"/>
        <v>16:50:00</v>
      </c>
      <c r="K399" s="4">
        <f t="shared" si="3"/>
        <v>172</v>
      </c>
      <c r="L399" s="4">
        <f t="shared" si="4"/>
        <v>-0.1993055556</v>
      </c>
      <c r="M399" s="4">
        <f t="shared" si="5"/>
        <v>171.8006944</v>
      </c>
    </row>
    <row r="400">
      <c r="A400" s="4" t="s">
        <v>134</v>
      </c>
      <c r="B400" s="4" t="s">
        <v>2227</v>
      </c>
      <c r="C400" s="4" t="s">
        <v>2228</v>
      </c>
      <c r="D400" s="4" t="s">
        <v>2229</v>
      </c>
      <c r="E400" s="10">
        <f>IFERROR(__xludf.DUMMYFUNCTION("SPLIT(B400,""T"")"),43109.0)</f>
        <v>43109</v>
      </c>
      <c r="F400" s="4" t="str">
        <f>IFERROR(__xludf.DUMMYFUNCTION("""COMPUTED_VALUE"""),"12:03:00Z")</f>
        <v>12:03:00Z</v>
      </c>
      <c r="G400" s="11" t="str">
        <f t="shared" si="1"/>
        <v>12:03:00</v>
      </c>
      <c r="H400" s="10">
        <f>IFERROR(__xludf.DUMMYFUNCTION("SPLIT(D400,""T"")"),42938.0)</f>
        <v>42938</v>
      </c>
      <c r="I400" s="4" t="str">
        <f>IFERROR(__xludf.DUMMYFUNCTION("""COMPUTED_VALUE"""),"13:35:00Z")</f>
        <v>13:35:00Z</v>
      </c>
      <c r="J400" s="4" t="str">
        <f t="shared" si="2"/>
        <v>13:35:00</v>
      </c>
      <c r="K400" s="4">
        <f t="shared" si="3"/>
        <v>171</v>
      </c>
      <c r="L400" s="4">
        <f t="shared" si="4"/>
        <v>-0.06388888889</v>
      </c>
      <c r="M400" s="4">
        <f t="shared" si="5"/>
        <v>170.9361111</v>
      </c>
    </row>
    <row r="401">
      <c r="A401" s="4" t="s">
        <v>149</v>
      </c>
      <c r="B401" s="4" t="s">
        <v>3127</v>
      </c>
      <c r="C401" s="4" t="s">
        <v>2082</v>
      </c>
      <c r="D401" s="4" t="s">
        <v>3181</v>
      </c>
      <c r="E401" s="10">
        <f>IFERROR(__xludf.DUMMYFUNCTION("SPLIT(B401,""T"")"),43469.0)</f>
        <v>43469</v>
      </c>
      <c r="F401" s="4" t="str">
        <f>IFERROR(__xludf.DUMMYFUNCTION("""COMPUTED_VALUE"""),"09:41:00Z")</f>
        <v>09:41:00Z</v>
      </c>
      <c r="G401" s="11" t="str">
        <f t="shared" si="1"/>
        <v>09:41:00</v>
      </c>
      <c r="H401" s="10">
        <f>IFERROR(__xludf.DUMMYFUNCTION("SPLIT(D401,""T"")"),43298.0)</f>
        <v>43298</v>
      </c>
      <c r="I401" s="4" t="str">
        <f>IFERROR(__xludf.DUMMYFUNCTION("""COMPUTED_VALUE"""),"11:13:00Z")</f>
        <v>11:13:00Z</v>
      </c>
      <c r="J401" s="4" t="str">
        <f t="shared" si="2"/>
        <v>11:13:00</v>
      </c>
      <c r="K401" s="4">
        <f t="shared" si="3"/>
        <v>171</v>
      </c>
      <c r="L401" s="4">
        <f t="shared" si="4"/>
        <v>-0.06388888889</v>
      </c>
      <c r="M401" s="4">
        <f t="shared" si="5"/>
        <v>170.9361111</v>
      </c>
    </row>
    <row r="402">
      <c r="A402" s="4" t="s">
        <v>134</v>
      </c>
      <c r="B402" s="4" t="s">
        <v>2227</v>
      </c>
      <c r="C402" s="4" t="s">
        <v>2508</v>
      </c>
      <c r="D402" s="4" t="s">
        <v>2509</v>
      </c>
      <c r="E402" s="10">
        <f>IFERROR(__xludf.DUMMYFUNCTION("SPLIT(B402,""T"")"),43109.0)</f>
        <v>43109</v>
      </c>
      <c r="F402" s="4" t="str">
        <f>IFERROR(__xludf.DUMMYFUNCTION("""COMPUTED_VALUE"""),"12:03:00Z")</f>
        <v>12:03:00Z</v>
      </c>
      <c r="G402" s="11" t="str">
        <f t="shared" si="1"/>
        <v>12:03:00</v>
      </c>
      <c r="H402" s="10">
        <f>IFERROR(__xludf.DUMMYFUNCTION("SPLIT(D402,""T"")"),42938.0)</f>
        <v>42938</v>
      </c>
      <c r="I402" s="4" t="str">
        <f>IFERROR(__xludf.DUMMYFUNCTION("""COMPUTED_VALUE"""),"15:49:00Z")</f>
        <v>15:49:00Z</v>
      </c>
      <c r="J402" s="4" t="str">
        <f t="shared" si="2"/>
        <v>15:49:00</v>
      </c>
      <c r="K402" s="4">
        <f t="shared" si="3"/>
        <v>171</v>
      </c>
      <c r="L402" s="4">
        <f t="shared" si="4"/>
        <v>-0.1569444444</v>
      </c>
      <c r="M402" s="4">
        <f t="shared" si="5"/>
        <v>170.8430556</v>
      </c>
    </row>
    <row r="403">
      <c r="A403" s="4" t="s">
        <v>62</v>
      </c>
      <c r="B403" s="4" t="s">
        <v>3127</v>
      </c>
      <c r="C403" s="4" t="s">
        <v>311</v>
      </c>
      <c r="D403" s="4" t="s">
        <v>3128</v>
      </c>
      <c r="E403" s="10">
        <f>IFERROR(__xludf.DUMMYFUNCTION("SPLIT(B403,""T"")"),43469.0)</f>
        <v>43469</v>
      </c>
      <c r="F403" s="4" t="str">
        <f>IFERROR(__xludf.DUMMYFUNCTION("""COMPUTED_VALUE"""),"09:41:00Z")</f>
        <v>09:41:00Z</v>
      </c>
      <c r="G403" s="11" t="str">
        <f t="shared" si="1"/>
        <v>09:41:00</v>
      </c>
      <c r="H403" s="10">
        <f>IFERROR(__xludf.DUMMYFUNCTION("SPLIT(D403,""T"")"),43298.0)</f>
        <v>43298</v>
      </c>
      <c r="I403" s="4" t="str">
        <f>IFERROR(__xludf.DUMMYFUNCTION("""COMPUTED_VALUE"""),"14:05:00Z")</f>
        <v>14:05:00Z</v>
      </c>
      <c r="J403" s="4" t="str">
        <f t="shared" si="2"/>
        <v>14:05:00</v>
      </c>
      <c r="K403" s="4">
        <f t="shared" si="3"/>
        <v>171</v>
      </c>
      <c r="L403" s="4">
        <f t="shared" si="4"/>
        <v>-0.1833333333</v>
      </c>
      <c r="M403" s="4">
        <f t="shared" si="5"/>
        <v>170.8166667</v>
      </c>
    </row>
    <row r="404">
      <c r="A404" s="4" t="s">
        <v>46</v>
      </c>
      <c r="B404" s="4" t="s">
        <v>2780</v>
      </c>
      <c r="C404" s="4" t="s">
        <v>3228</v>
      </c>
      <c r="D404" s="4" t="s">
        <v>3229</v>
      </c>
      <c r="E404" s="10">
        <f>IFERROR(__xludf.DUMMYFUNCTION("SPLIT(B404,""T"")"),43469.0)</f>
        <v>43469</v>
      </c>
      <c r="F404" s="4" t="str">
        <f>IFERROR(__xludf.DUMMYFUNCTION("""COMPUTED_VALUE"""),"09:40:00Z")</f>
        <v>09:40:00Z</v>
      </c>
      <c r="G404" s="11" t="str">
        <f t="shared" si="1"/>
        <v>09:40:00</v>
      </c>
      <c r="H404" s="10">
        <f>IFERROR(__xludf.DUMMYFUNCTION("SPLIT(D404,""T"")"),43298.0)</f>
        <v>43298</v>
      </c>
      <c r="I404" s="4" t="str">
        <f>IFERROR(__xludf.DUMMYFUNCTION("""COMPUTED_VALUE"""),"19:03:00Z")</f>
        <v>19:03:00Z</v>
      </c>
      <c r="J404" s="4" t="str">
        <f t="shared" si="2"/>
        <v>19:03:00</v>
      </c>
      <c r="K404" s="4">
        <f t="shared" si="3"/>
        <v>171</v>
      </c>
      <c r="L404" s="4">
        <f t="shared" si="4"/>
        <v>-0.3909722222</v>
      </c>
      <c r="M404" s="4">
        <f t="shared" si="5"/>
        <v>170.6090278</v>
      </c>
    </row>
    <row r="405">
      <c r="A405" s="4" t="s">
        <v>145</v>
      </c>
      <c r="B405" s="4" t="s">
        <v>2112</v>
      </c>
      <c r="C405" s="4" t="s">
        <v>2629</v>
      </c>
      <c r="D405" s="4" t="s">
        <v>2630</v>
      </c>
      <c r="E405" s="10">
        <f>IFERROR(__xludf.DUMMYFUNCTION("SPLIT(B405,""T"")"),43109.0)</f>
        <v>43109</v>
      </c>
      <c r="F405" s="4" t="str">
        <f>IFERROR(__xludf.DUMMYFUNCTION("""COMPUTED_VALUE"""),"12:04:00Z")</f>
        <v>12:04:00Z</v>
      </c>
      <c r="G405" s="11" t="str">
        <f t="shared" si="1"/>
        <v>12:04:00</v>
      </c>
      <c r="H405" s="10">
        <f>IFERROR(__xludf.DUMMYFUNCTION("SPLIT(D405,""T"")"),42939.0)</f>
        <v>42939</v>
      </c>
      <c r="I405" s="4" t="str">
        <f>IFERROR(__xludf.DUMMYFUNCTION("""COMPUTED_VALUE"""),"00:00:00Z")</f>
        <v>00:00:00Z</v>
      </c>
      <c r="J405" s="4" t="str">
        <f t="shared" si="2"/>
        <v>00:00:00</v>
      </c>
      <c r="K405" s="4">
        <f t="shared" si="3"/>
        <v>170</v>
      </c>
      <c r="L405" s="4">
        <f t="shared" si="4"/>
        <v>0.5027777778</v>
      </c>
      <c r="M405" s="4">
        <f t="shared" si="5"/>
        <v>170.5027778</v>
      </c>
    </row>
    <row r="406">
      <c r="A406" s="4" t="s">
        <v>97</v>
      </c>
      <c r="B406" s="4" t="s">
        <v>2780</v>
      </c>
      <c r="C406" s="4" t="s">
        <v>2978</v>
      </c>
      <c r="D406" s="4" t="s">
        <v>2979</v>
      </c>
      <c r="E406" s="10">
        <f>IFERROR(__xludf.DUMMYFUNCTION("SPLIT(B406,""T"")"),43469.0)</f>
        <v>43469</v>
      </c>
      <c r="F406" s="4" t="str">
        <f>IFERROR(__xludf.DUMMYFUNCTION("""COMPUTED_VALUE"""),"09:40:00Z")</f>
        <v>09:40:00Z</v>
      </c>
      <c r="G406" s="11" t="str">
        <f t="shared" si="1"/>
        <v>09:40:00</v>
      </c>
      <c r="H406" s="10">
        <f>IFERROR(__xludf.DUMMYFUNCTION("SPLIT(D406,""T"")"),43299.0)</f>
        <v>43299</v>
      </c>
      <c r="I406" s="4" t="str">
        <f>IFERROR(__xludf.DUMMYFUNCTION("""COMPUTED_VALUE"""),"11:55:00Z")</f>
        <v>11:55:00Z</v>
      </c>
      <c r="J406" s="4" t="str">
        <f t="shared" si="2"/>
        <v>11:55:00</v>
      </c>
      <c r="K406" s="4">
        <f t="shared" si="3"/>
        <v>170</v>
      </c>
      <c r="L406" s="4">
        <f t="shared" si="4"/>
        <v>-0.09375</v>
      </c>
      <c r="M406" s="4">
        <f t="shared" si="5"/>
        <v>169.90625</v>
      </c>
    </row>
    <row r="407">
      <c r="A407" s="4" t="s">
        <v>134</v>
      </c>
      <c r="B407" s="4" t="s">
        <v>2112</v>
      </c>
      <c r="C407" s="4" t="s">
        <v>2113</v>
      </c>
      <c r="D407" s="4" t="s">
        <v>2114</v>
      </c>
      <c r="E407" s="10">
        <f>IFERROR(__xludf.DUMMYFUNCTION("SPLIT(B407,""T"")"),43109.0)</f>
        <v>43109</v>
      </c>
      <c r="F407" s="4" t="str">
        <f>IFERROR(__xludf.DUMMYFUNCTION("""COMPUTED_VALUE"""),"12:04:00Z")</f>
        <v>12:04:00Z</v>
      </c>
      <c r="G407" s="11" t="str">
        <f t="shared" si="1"/>
        <v>12:04:00</v>
      </c>
      <c r="H407" s="10">
        <f>IFERROR(__xludf.DUMMYFUNCTION("SPLIT(D407,""T"")"),42939.0)</f>
        <v>42939</v>
      </c>
      <c r="I407" s="4" t="str">
        <f>IFERROR(__xludf.DUMMYFUNCTION("""COMPUTED_VALUE"""),"15:53:00Z")</f>
        <v>15:53:00Z</v>
      </c>
      <c r="J407" s="4" t="str">
        <f t="shared" si="2"/>
        <v>15:53:00</v>
      </c>
      <c r="K407" s="4">
        <f t="shared" si="3"/>
        <v>170</v>
      </c>
      <c r="L407" s="4">
        <f t="shared" si="4"/>
        <v>-0.1590277778</v>
      </c>
      <c r="M407" s="4">
        <f t="shared" si="5"/>
        <v>169.8409722</v>
      </c>
    </row>
    <row r="408">
      <c r="A408" s="4" t="s">
        <v>401</v>
      </c>
      <c r="B408" s="4" t="s">
        <v>2112</v>
      </c>
      <c r="C408" s="4" t="s">
        <v>2243</v>
      </c>
      <c r="D408" s="4" t="s">
        <v>2244</v>
      </c>
      <c r="E408" s="10">
        <f>IFERROR(__xludf.DUMMYFUNCTION("SPLIT(B408,""T"")"),43109.0)</f>
        <v>43109</v>
      </c>
      <c r="F408" s="4" t="str">
        <f>IFERROR(__xludf.DUMMYFUNCTION("""COMPUTED_VALUE"""),"12:04:00Z")</f>
        <v>12:04:00Z</v>
      </c>
      <c r="G408" s="11" t="str">
        <f t="shared" si="1"/>
        <v>12:04:00</v>
      </c>
      <c r="H408" s="10">
        <f>IFERROR(__xludf.DUMMYFUNCTION("SPLIT(D408,""T"")"),42939.0)</f>
        <v>42939</v>
      </c>
      <c r="I408" s="4" t="str">
        <f>IFERROR(__xludf.DUMMYFUNCTION("""COMPUTED_VALUE"""),"16:07:00Z")</f>
        <v>16:07:00Z</v>
      </c>
      <c r="J408" s="4" t="str">
        <f t="shared" si="2"/>
        <v>16:07:00</v>
      </c>
      <c r="K408" s="4">
        <f t="shared" si="3"/>
        <v>170</v>
      </c>
      <c r="L408" s="4">
        <f t="shared" si="4"/>
        <v>-0.16875</v>
      </c>
      <c r="M408" s="4">
        <f t="shared" si="5"/>
        <v>169.83125</v>
      </c>
    </row>
    <row r="409">
      <c r="A409" s="4" t="s">
        <v>240</v>
      </c>
      <c r="B409" s="4" t="s">
        <v>2780</v>
      </c>
      <c r="C409" s="4" t="s">
        <v>2781</v>
      </c>
      <c r="D409" s="4" t="s">
        <v>2782</v>
      </c>
      <c r="E409" s="10">
        <f>IFERROR(__xludf.DUMMYFUNCTION("SPLIT(B409,""T"")"),43469.0)</f>
        <v>43469</v>
      </c>
      <c r="F409" s="4" t="str">
        <f>IFERROR(__xludf.DUMMYFUNCTION("""COMPUTED_VALUE"""),"09:40:00Z")</f>
        <v>09:40:00Z</v>
      </c>
      <c r="G409" s="11" t="str">
        <f t="shared" si="1"/>
        <v>09:40:00</v>
      </c>
      <c r="H409" s="10">
        <f>IFERROR(__xludf.DUMMYFUNCTION("SPLIT(D409,""T"")"),43299.0)</f>
        <v>43299</v>
      </c>
      <c r="I409" s="4" t="str">
        <f>IFERROR(__xludf.DUMMYFUNCTION("""COMPUTED_VALUE"""),"14:24:00Z")</f>
        <v>14:24:00Z</v>
      </c>
      <c r="J409" s="4" t="str">
        <f t="shared" si="2"/>
        <v>14:24:00</v>
      </c>
      <c r="K409" s="4">
        <f t="shared" si="3"/>
        <v>170</v>
      </c>
      <c r="L409" s="4">
        <f t="shared" si="4"/>
        <v>-0.1972222222</v>
      </c>
      <c r="M409" s="4">
        <f t="shared" si="5"/>
        <v>169.8027778</v>
      </c>
    </row>
    <row r="410" hidden="1">
      <c r="A410" s="4" t="s">
        <v>388</v>
      </c>
      <c r="B410" s="4" t="s">
        <v>1193</v>
      </c>
      <c r="C410" s="4" t="s">
        <v>1194</v>
      </c>
      <c r="D410" s="4" t="s">
        <v>1195</v>
      </c>
      <c r="E410" s="10">
        <f>IFERROR(__xludf.DUMMYFUNCTION("SPLIT(B410,""T"")"),42268.0)</f>
        <v>42268</v>
      </c>
      <c r="F410" s="4" t="str">
        <f>IFERROR(__xludf.DUMMYFUNCTION("""COMPUTED_VALUE"""),"14:36:00Z")</f>
        <v>14:36:00Z</v>
      </c>
      <c r="G410" s="11" t="str">
        <f t="shared" si="1"/>
        <v>14:36:00</v>
      </c>
      <c r="H410" s="10">
        <f>IFERROR(__xludf.DUMMYFUNCTION("SPLIT(D410,""T"")"),42269.0)</f>
        <v>42269</v>
      </c>
      <c r="I410" s="4" t="str">
        <f>IFERROR(__xludf.DUMMYFUNCTION("""COMPUTED_VALUE"""),"07:00:00Z")</f>
        <v>07:00:00Z</v>
      </c>
      <c r="J410" s="4" t="str">
        <f t="shared" si="2"/>
        <v>07:00:00</v>
      </c>
      <c r="K410" s="4">
        <f t="shared" si="3"/>
        <v>-1</v>
      </c>
      <c r="L410" s="4">
        <f t="shared" si="4"/>
        <v>0.3166666667</v>
      </c>
      <c r="M410" s="4">
        <f t="shared" si="5"/>
        <v>-0.6833333333</v>
      </c>
    </row>
    <row r="411">
      <c r="A411" s="4" t="s">
        <v>69</v>
      </c>
      <c r="B411" s="4" t="s">
        <v>2106</v>
      </c>
      <c r="C411" s="4" t="s">
        <v>158</v>
      </c>
      <c r="D411" s="4" t="s">
        <v>2107</v>
      </c>
      <c r="E411" s="10">
        <f>IFERROR(__xludf.DUMMYFUNCTION("SPLIT(B411,""T"")"),43193.0)</f>
        <v>43193</v>
      </c>
      <c r="F411" s="4" t="str">
        <f>IFERROR(__xludf.DUMMYFUNCTION("""COMPUTED_VALUE"""),"10:46:00Z")</f>
        <v>10:46:00Z</v>
      </c>
      <c r="G411" s="11" t="str">
        <f t="shared" si="1"/>
        <v>10:46:00</v>
      </c>
      <c r="H411" s="10">
        <f>IFERROR(__xludf.DUMMYFUNCTION("SPLIT(D411,""T"")"),43023.0)</f>
        <v>43023</v>
      </c>
      <c r="I411" s="4" t="str">
        <f>IFERROR(__xludf.DUMMYFUNCTION("""COMPUTED_VALUE"""),"17:11:00Z")</f>
        <v>17:11:00Z</v>
      </c>
      <c r="J411" s="4" t="str">
        <f t="shared" si="2"/>
        <v>17:11:00</v>
      </c>
      <c r="K411" s="4">
        <f t="shared" si="3"/>
        <v>170</v>
      </c>
      <c r="L411" s="4">
        <f t="shared" si="4"/>
        <v>-0.2673611111</v>
      </c>
      <c r="M411" s="4">
        <f t="shared" si="5"/>
        <v>169.7326389</v>
      </c>
    </row>
    <row r="412">
      <c r="A412" s="4" t="s">
        <v>145</v>
      </c>
      <c r="B412" s="4" t="s">
        <v>1753</v>
      </c>
      <c r="C412" s="4" t="s">
        <v>1754</v>
      </c>
      <c r="D412" s="4" t="s">
        <v>1755</v>
      </c>
      <c r="E412" s="10">
        <f>IFERROR(__xludf.DUMMYFUNCTION("SPLIT(B412,""T"")"),43109.0)</f>
        <v>43109</v>
      </c>
      <c r="F412" s="4" t="str">
        <f>IFERROR(__xludf.DUMMYFUNCTION("""COMPUTED_VALUE"""),"12:05:00Z")</f>
        <v>12:05:00Z</v>
      </c>
      <c r="G412" s="11" t="str">
        <f t="shared" si="1"/>
        <v>12:05:00</v>
      </c>
      <c r="H412" s="10">
        <f>IFERROR(__xludf.DUMMYFUNCTION("SPLIT(D412,""T"")"),42940.0)</f>
        <v>42940</v>
      </c>
      <c r="I412" s="4" t="str">
        <f>IFERROR(__xludf.DUMMYFUNCTION("""COMPUTED_VALUE"""),"12:00:00Z")</f>
        <v>12:00:00Z</v>
      </c>
      <c r="J412" s="4" t="str">
        <f t="shared" si="2"/>
        <v>12:00:00</v>
      </c>
      <c r="K412" s="4">
        <f t="shared" si="3"/>
        <v>169</v>
      </c>
      <c r="L412" s="4">
        <f t="shared" si="4"/>
        <v>0.003472222222</v>
      </c>
      <c r="M412" s="4">
        <f t="shared" si="5"/>
        <v>169.0034722</v>
      </c>
    </row>
    <row r="413">
      <c r="A413" s="4" t="s">
        <v>87</v>
      </c>
      <c r="B413" s="4" t="s">
        <v>2780</v>
      </c>
      <c r="C413" s="4" t="s">
        <v>3064</v>
      </c>
      <c r="D413" s="4" t="s">
        <v>3065</v>
      </c>
      <c r="E413" s="10">
        <f>IFERROR(__xludf.DUMMYFUNCTION("SPLIT(B413,""T"")"),43469.0)</f>
        <v>43469</v>
      </c>
      <c r="F413" s="4" t="str">
        <f>IFERROR(__xludf.DUMMYFUNCTION("""COMPUTED_VALUE"""),"09:40:00Z")</f>
        <v>09:40:00Z</v>
      </c>
      <c r="G413" s="11" t="str">
        <f t="shared" si="1"/>
        <v>09:40:00</v>
      </c>
      <c r="H413" s="10">
        <f>IFERROR(__xludf.DUMMYFUNCTION("SPLIT(D413,""T"")"),43300.0)</f>
        <v>43300</v>
      </c>
      <c r="I413" s="4" t="str">
        <f>IFERROR(__xludf.DUMMYFUNCTION("""COMPUTED_VALUE"""),"12:00:00Z")</f>
        <v>12:00:00Z</v>
      </c>
      <c r="J413" s="4" t="str">
        <f t="shared" si="2"/>
        <v>12:00:00</v>
      </c>
      <c r="K413" s="4">
        <f t="shared" si="3"/>
        <v>169</v>
      </c>
      <c r="L413" s="4">
        <f t="shared" si="4"/>
        <v>-0.09722222222</v>
      </c>
      <c r="M413" s="4">
        <f t="shared" si="5"/>
        <v>168.9027778</v>
      </c>
    </row>
    <row r="414">
      <c r="A414" s="4" t="s">
        <v>149</v>
      </c>
      <c r="B414" s="4" t="s">
        <v>1753</v>
      </c>
      <c r="C414" s="4" t="s">
        <v>238</v>
      </c>
      <c r="D414" s="4" t="s">
        <v>2131</v>
      </c>
      <c r="E414" s="10">
        <f>IFERROR(__xludf.DUMMYFUNCTION("SPLIT(B414,""T"")"),43109.0)</f>
        <v>43109</v>
      </c>
      <c r="F414" s="4" t="str">
        <f>IFERROR(__xludf.DUMMYFUNCTION("""COMPUTED_VALUE"""),"12:05:00Z")</f>
        <v>12:05:00Z</v>
      </c>
      <c r="G414" s="11" t="str">
        <f t="shared" si="1"/>
        <v>12:05:00</v>
      </c>
      <c r="H414" s="10">
        <f>IFERROR(__xludf.DUMMYFUNCTION("SPLIT(D414,""T"")"),42940.0)</f>
        <v>42940</v>
      </c>
      <c r="I414" s="4" t="str">
        <f>IFERROR(__xludf.DUMMYFUNCTION("""COMPUTED_VALUE"""),"14:43:00Z")</f>
        <v>14:43:00Z</v>
      </c>
      <c r="J414" s="4" t="str">
        <f t="shared" si="2"/>
        <v>14:43:00</v>
      </c>
      <c r="K414" s="4">
        <f t="shared" si="3"/>
        <v>169</v>
      </c>
      <c r="L414" s="4">
        <f t="shared" si="4"/>
        <v>-0.1097222222</v>
      </c>
      <c r="M414" s="4">
        <f t="shared" si="5"/>
        <v>168.8902778</v>
      </c>
    </row>
    <row r="415">
      <c r="A415" s="4" t="s">
        <v>367</v>
      </c>
      <c r="B415" s="4" t="s">
        <v>1753</v>
      </c>
      <c r="C415" s="4" t="s">
        <v>2394</v>
      </c>
      <c r="D415" s="4" t="s">
        <v>2395</v>
      </c>
      <c r="E415" s="10">
        <f>IFERROR(__xludf.DUMMYFUNCTION("SPLIT(B415,""T"")"),43109.0)</f>
        <v>43109</v>
      </c>
      <c r="F415" s="4" t="str">
        <f>IFERROR(__xludf.DUMMYFUNCTION("""COMPUTED_VALUE"""),"12:05:00Z")</f>
        <v>12:05:00Z</v>
      </c>
      <c r="G415" s="11" t="str">
        <f t="shared" si="1"/>
        <v>12:05:00</v>
      </c>
      <c r="H415" s="10">
        <f>IFERROR(__xludf.DUMMYFUNCTION("SPLIT(D415,""T"")"),42940.0)</f>
        <v>42940</v>
      </c>
      <c r="I415" s="4" t="str">
        <f>IFERROR(__xludf.DUMMYFUNCTION("""COMPUTED_VALUE"""),"14:56:00Z")</f>
        <v>14:56:00Z</v>
      </c>
      <c r="J415" s="4" t="str">
        <f t="shared" si="2"/>
        <v>14:56:00</v>
      </c>
      <c r="K415" s="4">
        <f t="shared" si="3"/>
        <v>169</v>
      </c>
      <c r="L415" s="4">
        <f t="shared" si="4"/>
        <v>-0.11875</v>
      </c>
      <c r="M415" s="4">
        <f t="shared" si="5"/>
        <v>168.88125</v>
      </c>
    </row>
    <row r="416">
      <c r="A416" s="4" t="s">
        <v>101</v>
      </c>
      <c r="B416" s="4" t="s">
        <v>2835</v>
      </c>
      <c r="C416" s="4" t="s">
        <v>1994</v>
      </c>
      <c r="D416" s="4" t="s">
        <v>3068</v>
      </c>
      <c r="E416" s="10">
        <f>IFERROR(__xludf.DUMMYFUNCTION("SPLIT(B416,""T"")"),43469.0)</f>
        <v>43469</v>
      </c>
      <c r="F416" s="4" t="str">
        <f>IFERROR(__xludf.DUMMYFUNCTION("""COMPUTED_VALUE"""),"09:39:00Z")</f>
        <v>09:39:00Z</v>
      </c>
      <c r="G416" s="11" t="str">
        <f t="shared" si="1"/>
        <v>09:39:00</v>
      </c>
      <c r="H416" s="10">
        <f>IFERROR(__xludf.DUMMYFUNCTION("SPLIT(D416,""T"")"),43300.0)</f>
        <v>43300</v>
      </c>
      <c r="I416" s="4" t="str">
        <f>IFERROR(__xludf.DUMMYFUNCTION("""COMPUTED_VALUE"""),"13:07:00Z")</f>
        <v>13:07:00Z</v>
      </c>
      <c r="J416" s="4" t="str">
        <f t="shared" si="2"/>
        <v>13:07:00</v>
      </c>
      <c r="K416" s="4">
        <f t="shared" si="3"/>
        <v>169</v>
      </c>
      <c r="L416" s="4">
        <f t="shared" si="4"/>
        <v>-0.1444444444</v>
      </c>
      <c r="M416" s="4">
        <f t="shared" si="5"/>
        <v>168.8555556</v>
      </c>
    </row>
    <row r="417">
      <c r="A417" s="4" t="s">
        <v>94</v>
      </c>
      <c r="B417" s="4" t="s">
        <v>2835</v>
      </c>
      <c r="C417" s="4" t="s">
        <v>3098</v>
      </c>
      <c r="D417" s="4" t="s">
        <v>3099</v>
      </c>
      <c r="E417" s="10">
        <f>IFERROR(__xludf.DUMMYFUNCTION("SPLIT(B417,""T"")"),43469.0)</f>
        <v>43469</v>
      </c>
      <c r="F417" s="4" t="str">
        <f>IFERROR(__xludf.DUMMYFUNCTION("""COMPUTED_VALUE"""),"09:39:00Z")</f>
        <v>09:39:00Z</v>
      </c>
      <c r="G417" s="11" t="str">
        <f t="shared" si="1"/>
        <v>09:39:00</v>
      </c>
      <c r="H417" s="10">
        <f>IFERROR(__xludf.DUMMYFUNCTION("SPLIT(D417,""T"")"),43300.0)</f>
        <v>43300</v>
      </c>
      <c r="I417" s="4" t="str">
        <f>IFERROR(__xludf.DUMMYFUNCTION("""COMPUTED_VALUE"""),"16:25:00Z")</f>
        <v>16:25:00Z</v>
      </c>
      <c r="J417" s="4" t="str">
        <f t="shared" si="2"/>
        <v>16:25:00</v>
      </c>
      <c r="K417" s="4">
        <f t="shared" si="3"/>
        <v>169</v>
      </c>
      <c r="L417" s="4">
        <f t="shared" si="4"/>
        <v>-0.2819444444</v>
      </c>
      <c r="M417" s="4">
        <f t="shared" si="5"/>
        <v>168.7180556</v>
      </c>
    </row>
    <row r="418">
      <c r="A418" s="4" t="s">
        <v>27</v>
      </c>
      <c r="B418" s="4" t="s">
        <v>2835</v>
      </c>
      <c r="C418" s="4" t="s">
        <v>2836</v>
      </c>
      <c r="D418" s="4" t="s">
        <v>2837</v>
      </c>
      <c r="E418" s="10">
        <f>IFERROR(__xludf.DUMMYFUNCTION("SPLIT(B418,""T"")"),43469.0)</f>
        <v>43469</v>
      </c>
      <c r="F418" s="4" t="str">
        <f>IFERROR(__xludf.DUMMYFUNCTION("""COMPUTED_VALUE"""),"09:39:00Z")</f>
        <v>09:39:00Z</v>
      </c>
      <c r="G418" s="11" t="str">
        <f t="shared" si="1"/>
        <v>09:39:00</v>
      </c>
      <c r="H418" s="10">
        <f>IFERROR(__xludf.DUMMYFUNCTION("SPLIT(D418,""T"")"),43300.0)</f>
        <v>43300</v>
      </c>
      <c r="I418" s="4" t="str">
        <f>IFERROR(__xludf.DUMMYFUNCTION("""COMPUTED_VALUE"""),"17:22:00Z")</f>
        <v>17:22:00Z</v>
      </c>
      <c r="J418" s="4" t="str">
        <f t="shared" si="2"/>
        <v>17:22:00</v>
      </c>
      <c r="K418" s="4">
        <f t="shared" si="3"/>
        <v>169</v>
      </c>
      <c r="L418" s="4">
        <f t="shared" si="4"/>
        <v>-0.3215277778</v>
      </c>
      <c r="M418" s="4">
        <f t="shared" si="5"/>
        <v>168.6784722</v>
      </c>
    </row>
    <row r="419">
      <c r="A419" s="4" t="s">
        <v>46</v>
      </c>
      <c r="B419" s="4" t="s">
        <v>1753</v>
      </c>
      <c r="C419" s="4" t="s">
        <v>2627</v>
      </c>
      <c r="D419" s="4" t="s">
        <v>2628</v>
      </c>
      <c r="E419" s="10">
        <f>IFERROR(__xludf.DUMMYFUNCTION("SPLIT(B419,""T"")"),43109.0)</f>
        <v>43109</v>
      </c>
      <c r="F419" s="4" t="str">
        <f>IFERROR(__xludf.DUMMYFUNCTION("""COMPUTED_VALUE"""),"12:05:00Z")</f>
        <v>12:05:00Z</v>
      </c>
      <c r="G419" s="11" t="str">
        <f t="shared" si="1"/>
        <v>12:05:00</v>
      </c>
      <c r="H419" s="10">
        <f>IFERROR(__xludf.DUMMYFUNCTION("SPLIT(D419,""T"")"),42941.0)</f>
        <v>42941</v>
      </c>
      <c r="I419" s="4" t="str">
        <f>IFERROR(__xludf.DUMMYFUNCTION("""COMPUTED_VALUE"""),"12:45:00Z")</f>
        <v>12:45:00Z</v>
      </c>
      <c r="J419" s="4" t="str">
        <f t="shared" si="2"/>
        <v>12:45:00</v>
      </c>
      <c r="K419" s="4">
        <f t="shared" si="3"/>
        <v>168</v>
      </c>
      <c r="L419" s="4">
        <f t="shared" si="4"/>
        <v>-0.02777777778</v>
      </c>
      <c r="M419" s="4">
        <f t="shared" si="5"/>
        <v>167.9722222</v>
      </c>
    </row>
    <row r="420">
      <c r="A420" s="4" t="s">
        <v>130</v>
      </c>
      <c r="B420" s="4" t="s">
        <v>1935</v>
      </c>
      <c r="C420" s="4" t="s">
        <v>2571</v>
      </c>
      <c r="D420" s="4" t="s">
        <v>2572</v>
      </c>
      <c r="E420" s="10">
        <f>IFERROR(__xludf.DUMMYFUNCTION("SPLIT(B420,""T"")"),43109.0)</f>
        <v>43109</v>
      </c>
      <c r="F420" s="4" t="str">
        <f>IFERROR(__xludf.DUMMYFUNCTION("""COMPUTED_VALUE"""),"12:06:00Z")</f>
        <v>12:06:00Z</v>
      </c>
      <c r="G420" s="11" t="str">
        <f t="shared" si="1"/>
        <v>12:06:00</v>
      </c>
      <c r="H420" s="10">
        <f>IFERROR(__xludf.DUMMYFUNCTION("SPLIT(D420,""T"")"),42941.0)</f>
        <v>42941</v>
      </c>
      <c r="I420" s="4" t="str">
        <f>IFERROR(__xludf.DUMMYFUNCTION("""COMPUTED_VALUE"""),"14:13:00Z")</f>
        <v>14:13:00Z</v>
      </c>
      <c r="J420" s="4" t="str">
        <f t="shared" si="2"/>
        <v>14:13:00</v>
      </c>
      <c r="K420" s="4">
        <f t="shared" si="3"/>
        <v>168</v>
      </c>
      <c r="L420" s="4">
        <f t="shared" si="4"/>
        <v>-0.08819444444</v>
      </c>
      <c r="M420" s="4">
        <f t="shared" si="5"/>
        <v>167.9118056</v>
      </c>
    </row>
    <row r="421">
      <c r="A421" s="4" t="s">
        <v>62</v>
      </c>
      <c r="B421" s="4" t="s">
        <v>2835</v>
      </c>
      <c r="C421" s="4" t="s">
        <v>3189</v>
      </c>
      <c r="D421" s="4" t="s">
        <v>3190</v>
      </c>
      <c r="E421" s="10">
        <f>IFERROR(__xludf.DUMMYFUNCTION("SPLIT(B421,""T"")"),43469.0)</f>
        <v>43469</v>
      </c>
      <c r="F421" s="4" t="str">
        <f>IFERROR(__xludf.DUMMYFUNCTION("""COMPUTED_VALUE"""),"09:39:00Z")</f>
        <v>09:39:00Z</v>
      </c>
      <c r="G421" s="11" t="str">
        <f t="shared" si="1"/>
        <v>09:39:00</v>
      </c>
      <c r="H421" s="10">
        <f>IFERROR(__xludf.DUMMYFUNCTION("SPLIT(D421,""T"")"),43301.0)</f>
        <v>43301</v>
      </c>
      <c r="I421" s="4" t="str">
        <f>IFERROR(__xludf.DUMMYFUNCTION("""COMPUTED_VALUE"""),"13:07:00Z")</f>
        <v>13:07:00Z</v>
      </c>
      <c r="J421" s="4" t="str">
        <f t="shared" si="2"/>
        <v>13:07:00</v>
      </c>
      <c r="K421" s="4">
        <f t="shared" si="3"/>
        <v>168</v>
      </c>
      <c r="L421" s="4">
        <f t="shared" si="4"/>
        <v>-0.1444444444</v>
      </c>
      <c r="M421" s="4">
        <f t="shared" si="5"/>
        <v>167.8555556</v>
      </c>
    </row>
    <row r="422">
      <c r="A422" s="4" t="s">
        <v>58</v>
      </c>
      <c r="B422" s="4" t="s">
        <v>2937</v>
      </c>
      <c r="C422" s="4" t="s">
        <v>255</v>
      </c>
      <c r="D422" s="4" t="s">
        <v>3007</v>
      </c>
      <c r="E422" s="10">
        <f>IFERROR(__xludf.DUMMYFUNCTION("SPLIT(B422,""T"")"),43469.0)</f>
        <v>43469</v>
      </c>
      <c r="F422" s="4" t="str">
        <f>IFERROR(__xludf.DUMMYFUNCTION("""COMPUTED_VALUE"""),"09:38:00Z")</f>
        <v>09:38:00Z</v>
      </c>
      <c r="G422" s="11" t="str">
        <f t="shared" si="1"/>
        <v>09:38:00</v>
      </c>
      <c r="H422" s="10">
        <f>IFERROR(__xludf.DUMMYFUNCTION("SPLIT(D422,""T"")"),43301.0)</f>
        <v>43301</v>
      </c>
      <c r="I422" s="4" t="str">
        <f>IFERROR(__xludf.DUMMYFUNCTION("""COMPUTED_VALUE"""),"13:26:00Z")</f>
        <v>13:26:00Z</v>
      </c>
      <c r="J422" s="4" t="str">
        <f t="shared" si="2"/>
        <v>13:26:00</v>
      </c>
      <c r="K422" s="4">
        <f t="shared" si="3"/>
        <v>168</v>
      </c>
      <c r="L422" s="4">
        <f t="shared" si="4"/>
        <v>-0.1583333333</v>
      </c>
      <c r="M422" s="4">
        <f t="shared" si="5"/>
        <v>167.8416667</v>
      </c>
    </row>
    <row r="423">
      <c r="A423" s="4" t="s">
        <v>97</v>
      </c>
      <c r="B423" s="4" t="s">
        <v>2937</v>
      </c>
      <c r="C423" s="4" t="s">
        <v>2938</v>
      </c>
      <c r="D423" s="4" t="s">
        <v>2939</v>
      </c>
      <c r="E423" s="10">
        <f>IFERROR(__xludf.DUMMYFUNCTION("SPLIT(B423,""T"")"),43469.0)</f>
        <v>43469</v>
      </c>
      <c r="F423" s="4" t="str">
        <f>IFERROR(__xludf.DUMMYFUNCTION("""COMPUTED_VALUE"""),"09:38:00Z")</f>
        <v>09:38:00Z</v>
      </c>
      <c r="G423" s="11" t="str">
        <f t="shared" si="1"/>
        <v>09:38:00</v>
      </c>
      <c r="H423" s="10">
        <f>IFERROR(__xludf.DUMMYFUNCTION("SPLIT(D423,""T"")"),43301.0)</f>
        <v>43301</v>
      </c>
      <c r="I423" s="4" t="str">
        <f>IFERROR(__xludf.DUMMYFUNCTION("""COMPUTED_VALUE"""),"14:23:00Z")</f>
        <v>14:23:00Z</v>
      </c>
      <c r="J423" s="4" t="str">
        <f t="shared" si="2"/>
        <v>14:23:00</v>
      </c>
      <c r="K423" s="4">
        <f t="shared" si="3"/>
        <v>168</v>
      </c>
      <c r="L423" s="4">
        <f t="shared" si="4"/>
        <v>-0.1979166667</v>
      </c>
      <c r="M423" s="4">
        <f t="shared" si="5"/>
        <v>167.8020833</v>
      </c>
    </row>
    <row r="424">
      <c r="A424" s="4" t="s">
        <v>130</v>
      </c>
      <c r="B424" s="4" t="s">
        <v>1935</v>
      </c>
      <c r="C424" s="4" t="s">
        <v>758</v>
      </c>
      <c r="D424" s="4" t="s">
        <v>2145</v>
      </c>
      <c r="E424" s="10">
        <f>IFERROR(__xludf.DUMMYFUNCTION("SPLIT(B424,""T"")"),43109.0)</f>
        <v>43109</v>
      </c>
      <c r="F424" s="4" t="str">
        <f>IFERROR(__xludf.DUMMYFUNCTION("""COMPUTED_VALUE"""),"12:06:00Z")</f>
        <v>12:06:00Z</v>
      </c>
      <c r="G424" s="11" t="str">
        <f t="shared" si="1"/>
        <v>12:06:00</v>
      </c>
      <c r="H424" s="10">
        <f>IFERROR(__xludf.DUMMYFUNCTION("SPLIT(D424,""T"")"),42942.0)</f>
        <v>42942</v>
      </c>
      <c r="I424" s="4" t="str">
        <f>IFERROR(__xludf.DUMMYFUNCTION("""COMPUTED_VALUE"""),"13:58:00Z")</f>
        <v>13:58:00Z</v>
      </c>
      <c r="J424" s="4" t="str">
        <f t="shared" si="2"/>
        <v>13:58:00</v>
      </c>
      <c r="K424" s="4">
        <f t="shared" si="3"/>
        <v>167</v>
      </c>
      <c r="L424" s="4">
        <f t="shared" si="4"/>
        <v>-0.07777777778</v>
      </c>
      <c r="M424" s="4">
        <f t="shared" si="5"/>
        <v>166.9222222</v>
      </c>
    </row>
    <row r="425">
      <c r="A425" s="4" t="s">
        <v>247</v>
      </c>
      <c r="B425" s="4" t="s">
        <v>1935</v>
      </c>
      <c r="C425" s="4" t="s">
        <v>1936</v>
      </c>
      <c r="D425" s="4" t="s">
        <v>1937</v>
      </c>
      <c r="E425" s="10">
        <f>IFERROR(__xludf.DUMMYFUNCTION("SPLIT(B425,""T"")"),43109.0)</f>
        <v>43109</v>
      </c>
      <c r="F425" s="4" t="str">
        <f>IFERROR(__xludf.DUMMYFUNCTION("""COMPUTED_VALUE"""),"12:06:00Z")</f>
        <v>12:06:00Z</v>
      </c>
      <c r="G425" s="11" t="str">
        <f t="shared" si="1"/>
        <v>12:06:00</v>
      </c>
      <c r="H425" s="10">
        <f>IFERROR(__xludf.DUMMYFUNCTION("SPLIT(D425,""T"")"),42942.0)</f>
        <v>42942</v>
      </c>
      <c r="I425" s="4" t="str">
        <f>IFERROR(__xludf.DUMMYFUNCTION("""COMPUTED_VALUE"""),"14:45:00Z")</f>
        <v>14:45:00Z</v>
      </c>
      <c r="J425" s="4" t="str">
        <f t="shared" si="2"/>
        <v>14:45:00</v>
      </c>
      <c r="K425" s="4">
        <f t="shared" si="3"/>
        <v>167</v>
      </c>
      <c r="L425" s="4">
        <f t="shared" si="4"/>
        <v>-0.1104166667</v>
      </c>
      <c r="M425" s="4">
        <f t="shared" si="5"/>
        <v>166.8895833</v>
      </c>
    </row>
    <row r="426">
      <c r="A426" s="4" t="s">
        <v>186</v>
      </c>
      <c r="B426" s="4" t="s">
        <v>2937</v>
      </c>
      <c r="C426" s="4" t="s">
        <v>3054</v>
      </c>
      <c r="D426" s="4" t="s">
        <v>3055</v>
      </c>
      <c r="E426" s="10">
        <f>IFERROR(__xludf.DUMMYFUNCTION("SPLIT(B426,""T"")"),43469.0)</f>
        <v>43469</v>
      </c>
      <c r="F426" s="4" t="str">
        <f>IFERROR(__xludf.DUMMYFUNCTION("""COMPUTED_VALUE"""),"09:38:00Z")</f>
        <v>09:38:00Z</v>
      </c>
      <c r="G426" s="11" t="str">
        <f t="shared" si="1"/>
        <v>09:38:00</v>
      </c>
      <c r="H426" s="10">
        <f>IFERROR(__xludf.DUMMYFUNCTION("SPLIT(D426,""T"")"),43302.0)</f>
        <v>43302</v>
      </c>
      <c r="I426" s="4" t="str">
        <f>IFERROR(__xludf.DUMMYFUNCTION("""COMPUTED_VALUE"""),"14:40:00Z")</f>
        <v>14:40:00Z</v>
      </c>
      <c r="J426" s="4" t="str">
        <f t="shared" si="2"/>
        <v>14:40:00</v>
      </c>
      <c r="K426" s="4">
        <f t="shared" si="3"/>
        <v>167</v>
      </c>
      <c r="L426" s="4">
        <f t="shared" si="4"/>
        <v>-0.2097222222</v>
      </c>
      <c r="M426" s="4">
        <f t="shared" si="5"/>
        <v>166.7902778</v>
      </c>
    </row>
    <row r="427">
      <c r="A427" s="4" t="s">
        <v>149</v>
      </c>
      <c r="B427" s="4" t="s">
        <v>2937</v>
      </c>
      <c r="C427" s="4" t="s">
        <v>3079</v>
      </c>
      <c r="D427" s="4" t="s">
        <v>3080</v>
      </c>
      <c r="E427" s="10">
        <f>IFERROR(__xludf.DUMMYFUNCTION("SPLIT(B427,""T"")"),43469.0)</f>
        <v>43469</v>
      </c>
      <c r="F427" s="4" t="str">
        <f>IFERROR(__xludf.DUMMYFUNCTION("""COMPUTED_VALUE"""),"09:38:00Z")</f>
        <v>09:38:00Z</v>
      </c>
      <c r="G427" s="11" t="str">
        <f t="shared" si="1"/>
        <v>09:38:00</v>
      </c>
      <c r="H427" s="10">
        <f>IFERROR(__xludf.DUMMYFUNCTION("SPLIT(D427,""T"")"),43302.0)</f>
        <v>43302</v>
      </c>
      <c r="I427" s="4" t="str">
        <f>IFERROR(__xludf.DUMMYFUNCTION("""COMPUTED_VALUE"""),"15:01:00Z")</f>
        <v>15:01:00Z</v>
      </c>
      <c r="J427" s="4" t="str">
        <f t="shared" si="2"/>
        <v>15:01:00</v>
      </c>
      <c r="K427" s="4">
        <f t="shared" si="3"/>
        <v>167</v>
      </c>
      <c r="L427" s="4">
        <f t="shared" si="4"/>
        <v>-0.2243055556</v>
      </c>
      <c r="M427" s="4">
        <f t="shared" si="5"/>
        <v>166.7756944</v>
      </c>
    </row>
    <row r="428">
      <c r="A428" s="4" t="s">
        <v>46</v>
      </c>
      <c r="B428" s="4" t="s">
        <v>1787</v>
      </c>
      <c r="C428" s="4" t="s">
        <v>515</v>
      </c>
      <c r="D428" s="4" t="s">
        <v>1788</v>
      </c>
      <c r="E428" s="10">
        <f>IFERROR(__xludf.DUMMYFUNCTION("SPLIT(B428,""T"")"),43109.0)</f>
        <v>43109</v>
      </c>
      <c r="F428" s="4" t="str">
        <f>IFERROR(__xludf.DUMMYFUNCTION("""COMPUTED_VALUE"""),"12:07:00Z")</f>
        <v>12:07:00Z</v>
      </c>
      <c r="G428" s="11" t="str">
        <f t="shared" si="1"/>
        <v>12:07:00</v>
      </c>
      <c r="H428" s="10">
        <f>IFERROR(__xludf.DUMMYFUNCTION("SPLIT(D428,""T"")"),42942.0)</f>
        <v>42942</v>
      </c>
      <c r="I428" s="4" t="str">
        <f>IFERROR(__xludf.DUMMYFUNCTION("""COMPUTED_VALUE"""),"18:00:00Z")</f>
        <v>18:00:00Z</v>
      </c>
      <c r="J428" s="4" t="str">
        <f t="shared" si="2"/>
        <v>18:00:00</v>
      </c>
      <c r="K428" s="4">
        <f t="shared" si="3"/>
        <v>167</v>
      </c>
      <c r="L428" s="4">
        <f t="shared" si="4"/>
        <v>-0.2451388889</v>
      </c>
      <c r="M428" s="4">
        <f t="shared" si="5"/>
        <v>166.7548611</v>
      </c>
    </row>
    <row r="429">
      <c r="A429" s="4" t="s">
        <v>149</v>
      </c>
      <c r="B429" s="4" t="s">
        <v>2937</v>
      </c>
      <c r="C429" s="4" t="s">
        <v>1683</v>
      </c>
      <c r="D429" s="4" t="s">
        <v>3122</v>
      </c>
      <c r="E429" s="10">
        <f>IFERROR(__xludf.DUMMYFUNCTION("SPLIT(B429,""T"")"),43469.0)</f>
        <v>43469</v>
      </c>
      <c r="F429" s="4" t="str">
        <f>IFERROR(__xludf.DUMMYFUNCTION("""COMPUTED_VALUE"""),"09:38:00Z")</f>
        <v>09:38:00Z</v>
      </c>
      <c r="G429" s="11" t="str">
        <f t="shared" si="1"/>
        <v>09:38:00</v>
      </c>
      <c r="H429" s="10">
        <f>IFERROR(__xludf.DUMMYFUNCTION("SPLIT(D429,""T"")"),43302.0)</f>
        <v>43302</v>
      </c>
      <c r="I429" s="4" t="str">
        <f>IFERROR(__xludf.DUMMYFUNCTION("""COMPUTED_VALUE"""),"15:50:00Z")</f>
        <v>15:50:00Z</v>
      </c>
      <c r="J429" s="4" t="str">
        <f t="shared" si="2"/>
        <v>15:50:00</v>
      </c>
      <c r="K429" s="4">
        <f t="shared" si="3"/>
        <v>167</v>
      </c>
      <c r="L429" s="4">
        <f t="shared" si="4"/>
        <v>-0.2583333333</v>
      </c>
      <c r="M429" s="4">
        <f t="shared" si="5"/>
        <v>166.7416667</v>
      </c>
    </row>
    <row r="430">
      <c r="A430" s="4" t="s">
        <v>313</v>
      </c>
      <c r="B430" s="4" t="s">
        <v>2648</v>
      </c>
      <c r="C430" s="4" t="s">
        <v>2999</v>
      </c>
      <c r="D430" s="4" t="s">
        <v>3000</v>
      </c>
      <c r="E430" s="10">
        <f>IFERROR(__xludf.DUMMYFUNCTION("SPLIT(B430,""T"")"),43469.0)</f>
        <v>43469</v>
      </c>
      <c r="F430" s="4" t="str">
        <f>IFERROR(__xludf.DUMMYFUNCTION("""COMPUTED_VALUE"""),"09:37:00Z")</f>
        <v>09:37:00Z</v>
      </c>
      <c r="G430" s="11" t="str">
        <f t="shared" si="1"/>
        <v>09:37:00</v>
      </c>
      <c r="H430" s="10">
        <f>IFERROR(__xludf.DUMMYFUNCTION("SPLIT(D430,""T"")"),43302.0)</f>
        <v>43302</v>
      </c>
      <c r="I430" s="4" t="str">
        <f>IFERROR(__xludf.DUMMYFUNCTION("""COMPUTED_VALUE"""),"16:22:00Z")</f>
        <v>16:22:00Z</v>
      </c>
      <c r="J430" s="4" t="str">
        <f t="shared" si="2"/>
        <v>16:22:00</v>
      </c>
      <c r="K430" s="4">
        <f t="shared" si="3"/>
        <v>167</v>
      </c>
      <c r="L430" s="4">
        <f t="shared" si="4"/>
        <v>-0.28125</v>
      </c>
      <c r="M430" s="4">
        <f t="shared" si="5"/>
        <v>166.71875</v>
      </c>
    </row>
    <row r="431">
      <c r="A431" s="4" t="s">
        <v>401</v>
      </c>
      <c r="B431" s="4" t="s">
        <v>1787</v>
      </c>
      <c r="C431" s="4" t="s">
        <v>2317</v>
      </c>
      <c r="D431" s="4" t="s">
        <v>2318</v>
      </c>
      <c r="E431" s="10">
        <f>IFERROR(__xludf.DUMMYFUNCTION("SPLIT(B431,""T"")"),43109.0)</f>
        <v>43109</v>
      </c>
      <c r="F431" s="4" t="str">
        <f>IFERROR(__xludf.DUMMYFUNCTION("""COMPUTED_VALUE"""),"12:07:00Z")</f>
        <v>12:07:00Z</v>
      </c>
      <c r="G431" s="11" t="str">
        <f t="shared" si="1"/>
        <v>12:07:00</v>
      </c>
      <c r="H431" s="10">
        <f>IFERROR(__xludf.DUMMYFUNCTION("SPLIT(D431,""T"")"),42942.0)</f>
        <v>42942</v>
      </c>
      <c r="I431" s="4" t="str">
        <f>IFERROR(__xludf.DUMMYFUNCTION("""COMPUTED_VALUE"""),"23:19:00Z")</f>
        <v>23:19:00Z</v>
      </c>
      <c r="J431" s="4" t="str">
        <f t="shared" si="2"/>
        <v>23:19:00</v>
      </c>
      <c r="K431" s="4">
        <f t="shared" si="3"/>
        <v>167</v>
      </c>
      <c r="L431" s="4">
        <f t="shared" si="4"/>
        <v>-0.4666666667</v>
      </c>
      <c r="M431" s="4">
        <f t="shared" si="5"/>
        <v>166.5333333</v>
      </c>
    </row>
    <row r="432">
      <c r="A432" s="4" t="s">
        <v>388</v>
      </c>
      <c r="B432" s="4" t="s">
        <v>1935</v>
      </c>
      <c r="C432" s="4" t="s">
        <v>2550</v>
      </c>
      <c r="D432" s="4" t="s">
        <v>2551</v>
      </c>
      <c r="E432" s="10">
        <f>IFERROR(__xludf.DUMMYFUNCTION("SPLIT(B432,""T"")"),43109.0)</f>
        <v>43109</v>
      </c>
      <c r="F432" s="4" t="str">
        <f>IFERROR(__xludf.DUMMYFUNCTION("""COMPUTED_VALUE"""),"12:06:00Z")</f>
        <v>12:06:00Z</v>
      </c>
      <c r="G432" s="11" t="str">
        <f t="shared" si="1"/>
        <v>12:06:00</v>
      </c>
      <c r="H432" s="10">
        <f>IFERROR(__xludf.DUMMYFUNCTION("SPLIT(D432,""T"")"),42943.0)</f>
        <v>42943</v>
      </c>
      <c r="I432" s="4" t="str">
        <f>IFERROR(__xludf.DUMMYFUNCTION("""COMPUTED_VALUE"""),"14:49:00Z")</f>
        <v>14:49:00Z</v>
      </c>
      <c r="J432" s="4" t="str">
        <f t="shared" si="2"/>
        <v>14:49:00</v>
      </c>
      <c r="K432" s="4">
        <f t="shared" si="3"/>
        <v>166</v>
      </c>
      <c r="L432" s="4">
        <f t="shared" si="4"/>
        <v>-0.1131944444</v>
      </c>
      <c r="M432" s="4">
        <f t="shared" si="5"/>
        <v>165.8868056</v>
      </c>
    </row>
    <row r="433">
      <c r="A433" s="4" t="s">
        <v>401</v>
      </c>
      <c r="B433" s="4" t="s">
        <v>2648</v>
      </c>
      <c r="C433" s="4" t="s">
        <v>2232</v>
      </c>
      <c r="D433" s="4" t="s">
        <v>2819</v>
      </c>
      <c r="E433" s="10">
        <f>IFERROR(__xludf.DUMMYFUNCTION("SPLIT(B433,""T"")"),43469.0)</f>
        <v>43469</v>
      </c>
      <c r="F433" s="4" t="str">
        <f>IFERROR(__xludf.DUMMYFUNCTION("""COMPUTED_VALUE"""),"09:37:00Z")</f>
        <v>09:37:00Z</v>
      </c>
      <c r="G433" s="11" t="str">
        <f t="shared" si="1"/>
        <v>09:37:00</v>
      </c>
      <c r="H433" s="10">
        <f>IFERROR(__xludf.DUMMYFUNCTION("SPLIT(D433,""T"")"),43303.0)</f>
        <v>43303</v>
      </c>
      <c r="I433" s="4" t="str">
        <f>IFERROR(__xludf.DUMMYFUNCTION("""COMPUTED_VALUE"""),"13:06:00Z")</f>
        <v>13:06:00Z</v>
      </c>
      <c r="J433" s="4" t="str">
        <f t="shared" si="2"/>
        <v>13:06:00</v>
      </c>
      <c r="K433" s="4">
        <f t="shared" si="3"/>
        <v>166</v>
      </c>
      <c r="L433" s="4">
        <f t="shared" si="4"/>
        <v>-0.1451388889</v>
      </c>
      <c r="M433" s="4">
        <f t="shared" si="5"/>
        <v>165.8548611</v>
      </c>
    </row>
    <row r="434">
      <c r="A434" s="4" t="s">
        <v>54</v>
      </c>
      <c r="B434" s="4" t="s">
        <v>1787</v>
      </c>
      <c r="C434" s="4" t="s">
        <v>2300</v>
      </c>
      <c r="D434" s="4" t="s">
        <v>2301</v>
      </c>
      <c r="E434" s="10">
        <f>IFERROR(__xludf.DUMMYFUNCTION("SPLIT(B434,""T"")"),43109.0)</f>
        <v>43109</v>
      </c>
      <c r="F434" s="4" t="str">
        <f>IFERROR(__xludf.DUMMYFUNCTION("""COMPUTED_VALUE"""),"12:07:00Z")</f>
        <v>12:07:00Z</v>
      </c>
      <c r="G434" s="11" t="str">
        <f t="shared" si="1"/>
        <v>12:07:00</v>
      </c>
      <c r="H434" s="10">
        <f>IFERROR(__xludf.DUMMYFUNCTION("SPLIT(D434,""T"")"),42944.0)</f>
        <v>42944</v>
      </c>
      <c r="I434" s="4" t="str">
        <f>IFERROR(__xludf.DUMMYFUNCTION("""COMPUTED_VALUE"""),"13:24:00Z")</f>
        <v>13:24:00Z</v>
      </c>
      <c r="J434" s="4" t="str">
        <f t="shared" si="2"/>
        <v>13:24:00</v>
      </c>
      <c r="K434" s="4">
        <f t="shared" si="3"/>
        <v>165</v>
      </c>
      <c r="L434" s="4">
        <f t="shared" si="4"/>
        <v>-0.05347222222</v>
      </c>
      <c r="M434" s="4">
        <f t="shared" si="5"/>
        <v>164.9465278</v>
      </c>
    </row>
    <row r="435">
      <c r="A435" s="4" t="s">
        <v>23</v>
      </c>
      <c r="B435" s="4" t="s">
        <v>2648</v>
      </c>
      <c r="C435" s="4" t="s">
        <v>2917</v>
      </c>
      <c r="D435" s="4" t="s">
        <v>2918</v>
      </c>
      <c r="E435" s="10">
        <f>IFERROR(__xludf.DUMMYFUNCTION("SPLIT(B435,""T"")"),43469.0)</f>
        <v>43469</v>
      </c>
      <c r="F435" s="4" t="str">
        <f>IFERROR(__xludf.DUMMYFUNCTION("""COMPUTED_VALUE"""),"09:37:00Z")</f>
        <v>09:37:00Z</v>
      </c>
      <c r="G435" s="11" t="str">
        <f t="shared" si="1"/>
        <v>09:37:00</v>
      </c>
      <c r="H435" s="10">
        <f>IFERROR(__xludf.DUMMYFUNCTION("SPLIT(D435,""T"")"),43304.0)</f>
        <v>43304</v>
      </c>
      <c r="I435" s="4" t="str">
        <f>IFERROR(__xludf.DUMMYFUNCTION("""COMPUTED_VALUE"""),"12:55:00Z")</f>
        <v>12:55:00Z</v>
      </c>
      <c r="J435" s="4" t="str">
        <f t="shared" si="2"/>
        <v>12:55:00</v>
      </c>
      <c r="K435" s="4">
        <f t="shared" si="3"/>
        <v>165</v>
      </c>
      <c r="L435" s="4">
        <f t="shared" si="4"/>
        <v>-0.1375</v>
      </c>
      <c r="M435" s="4">
        <f t="shared" si="5"/>
        <v>164.8625</v>
      </c>
    </row>
    <row r="436">
      <c r="A436" s="4" t="s">
        <v>23</v>
      </c>
      <c r="B436" s="4" t="s">
        <v>1787</v>
      </c>
      <c r="C436" s="4" t="s">
        <v>1745</v>
      </c>
      <c r="D436" s="4" t="s">
        <v>2147</v>
      </c>
      <c r="E436" s="10">
        <f>IFERROR(__xludf.DUMMYFUNCTION("SPLIT(B436,""T"")"),43109.0)</f>
        <v>43109</v>
      </c>
      <c r="F436" s="4" t="str">
        <f>IFERROR(__xludf.DUMMYFUNCTION("""COMPUTED_VALUE"""),"12:07:00Z")</f>
        <v>12:07:00Z</v>
      </c>
      <c r="G436" s="11" t="str">
        <f t="shared" si="1"/>
        <v>12:07:00</v>
      </c>
      <c r="H436" s="10">
        <f>IFERROR(__xludf.DUMMYFUNCTION("SPLIT(D436,""T"")"),42944.0)</f>
        <v>42944</v>
      </c>
      <c r="I436" s="4" t="str">
        <f>IFERROR(__xludf.DUMMYFUNCTION("""COMPUTED_VALUE"""),"15:25:00Z")</f>
        <v>15:25:00Z</v>
      </c>
      <c r="J436" s="4" t="str">
        <f t="shared" si="2"/>
        <v>15:25:00</v>
      </c>
      <c r="K436" s="4">
        <f t="shared" si="3"/>
        <v>165</v>
      </c>
      <c r="L436" s="4">
        <f t="shared" si="4"/>
        <v>-0.1375</v>
      </c>
      <c r="M436" s="4">
        <f t="shared" si="5"/>
        <v>164.8625</v>
      </c>
    </row>
    <row r="437">
      <c r="A437" s="4" t="s">
        <v>58</v>
      </c>
      <c r="B437" s="4" t="s">
        <v>2648</v>
      </c>
      <c r="C437" s="4" t="s">
        <v>2649</v>
      </c>
      <c r="D437" s="4" t="s">
        <v>2650</v>
      </c>
      <c r="E437" s="10">
        <f>IFERROR(__xludf.DUMMYFUNCTION("SPLIT(B437,""T"")"),43469.0)</f>
        <v>43469</v>
      </c>
      <c r="F437" s="4" t="str">
        <f>IFERROR(__xludf.DUMMYFUNCTION("""COMPUTED_VALUE"""),"09:37:00Z")</f>
        <v>09:37:00Z</v>
      </c>
      <c r="G437" s="11" t="str">
        <f t="shared" si="1"/>
        <v>09:37:00</v>
      </c>
      <c r="H437" s="10">
        <f>IFERROR(__xludf.DUMMYFUNCTION("SPLIT(D437,""T"")"),43304.0)</f>
        <v>43304</v>
      </c>
      <c r="I437" s="4" t="str">
        <f>IFERROR(__xludf.DUMMYFUNCTION("""COMPUTED_VALUE"""),"13:15:00Z")</f>
        <v>13:15:00Z</v>
      </c>
      <c r="J437" s="4" t="str">
        <f t="shared" si="2"/>
        <v>13:15:00</v>
      </c>
      <c r="K437" s="4">
        <f t="shared" si="3"/>
        <v>165</v>
      </c>
      <c r="L437" s="4">
        <f t="shared" si="4"/>
        <v>-0.1513888889</v>
      </c>
      <c r="M437" s="4">
        <f t="shared" si="5"/>
        <v>164.8486111</v>
      </c>
    </row>
    <row r="438">
      <c r="A438" s="4" t="s">
        <v>630</v>
      </c>
      <c r="B438" s="4" t="s">
        <v>2648</v>
      </c>
      <c r="C438" s="4" t="s">
        <v>2649</v>
      </c>
      <c r="D438" s="4" t="s">
        <v>2650</v>
      </c>
      <c r="E438" s="10">
        <f>IFERROR(__xludf.DUMMYFUNCTION("SPLIT(B438,""T"")"),43469.0)</f>
        <v>43469</v>
      </c>
      <c r="F438" s="4" t="str">
        <f>IFERROR(__xludf.DUMMYFUNCTION("""COMPUTED_VALUE"""),"09:37:00Z")</f>
        <v>09:37:00Z</v>
      </c>
      <c r="G438" s="11" t="str">
        <f t="shared" si="1"/>
        <v>09:37:00</v>
      </c>
      <c r="H438" s="10">
        <f>IFERROR(__xludf.DUMMYFUNCTION("SPLIT(D438,""T"")"),43304.0)</f>
        <v>43304</v>
      </c>
      <c r="I438" s="4" t="str">
        <f>IFERROR(__xludf.DUMMYFUNCTION("""COMPUTED_VALUE"""),"13:15:00Z")</f>
        <v>13:15:00Z</v>
      </c>
      <c r="J438" s="4" t="str">
        <f t="shared" si="2"/>
        <v>13:15:00</v>
      </c>
      <c r="K438" s="4">
        <f t="shared" si="3"/>
        <v>165</v>
      </c>
      <c r="L438" s="4">
        <f t="shared" si="4"/>
        <v>-0.1513888889</v>
      </c>
      <c r="M438" s="4">
        <f t="shared" si="5"/>
        <v>164.8486111</v>
      </c>
    </row>
    <row r="439">
      <c r="A439" s="4" t="s">
        <v>27</v>
      </c>
      <c r="B439" s="4" t="s">
        <v>2687</v>
      </c>
      <c r="C439" s="4" t="s">
        <v>3066</v>
      </c>
      <c r="D439" s="4" t="s">
        <v>3067</v>
      </c>
      <c r="E439" s="10">
        <f>IFERROR(__xludf.DUMMYFUNCTION("SPLIT(B439,""T"")"),43469.0)</f>
        <v>43469</v>
      </c>
      <c r="F439" s="4" t="str">
        <f>IFERROR(__xludf.DUMMYFUNCTION("""COMPUTED_VALUE"""),"09:36:00Z")</f>
        <v>09:36:00Z</v>
      </c>
      <c r="G439" s="11" t="str">
        <f t="shared" si="1"/>
        <v>09:36:00</v>
      </c>
      <c r="H439" s="10">
        <f>IFERROR(__xludf.DUMMYFUNCTION("SPLIT(D439,""T"")"),43304.0)</f>
        <v>43304</v>
      </c>
      <c r="I439" s="4" t="str">
        <f>IFERROR(__xludf.DUMMYFUNCTION("""COMPUTED_VALUE"""),"14:55:00Z")</f>
        <v>14:55:00Z</v>
      </c>
      <c r="J439" s="4" t="str">
        <f t="shared" si="2"/>
        <v>14:55:00</v>
      </c>
      <c r="K439" s="4">
        <f t="shared" si="3"/>
        <v>165</v>
      </c>
      <c r="L439" s="4">
        <f t="shared" si="4"/>
        <v>-0.2215277778</v>
      </c>
      <c r="M439" s="4">
        <f t="shared" si="5"/>
        <v>164.7784722</v>
      </c>
    </row>
    <row r="440">
      <c r="A440" s="4" t="s">
        <v>27</v>
      </c>
      <c r="B440" s="4" t="s">
        <v>1787</v>
      </c>
      <c r="C440" s="4" t="s">
        <v>2279</v>
      </c>
      <c r="D440" s="4" t="s">
        <v>2280</v>
      </c>
      <c r="E440" s="10">
        <f>IFERROR(__xludf.DUMMYFUNCTION("SPLIT(B440,""T"")"),43109.0)</f>
        <v>43109</v>
      </c>
      <c r="F440" s="4" t="str">
        <f>IFERROR(__xludf.DUMMYFUNCTION("""COMPUTED_VALUE"""),"12:07:00Z")</f>
        <v>12:07:00Z</v>
      </c>
      <c r="G440" s="11" t="str">
        <f t="shared" si="1"/>
        <v>12:07:00</v>
      </c>
      <c r="H440" s="10">
        <f>IFERROR(__xludf.DUMMYFUNCTION("SPLIT(D440,""T"")"),42944.0)</f>
        <v>42944</v>
      </c>
      <c r="I440" s="4" t="str">
        <f>IFERROR(__xludf.DUMMYFUNCTION("""COMPUTED_VALUE"""),"18:11:00Z")</f>
        <v>18:11:00Z</v>
      </c>
      <c r="J440" s="4" t="str">
        <f t="shared" si="2"/>
        <v>18:11:00</v>
      </c>
      <c r="K440" s="4">
        <f t="shared" si="3"/>
        <v>165</v>
      </c>
      <c r="L440" s="4">
        <f t="shared" si="4"/>
        <v>-0.2527777778</v>
      </c>
      <c r="M440" s="4">
        <f t="shared" si="5"/>
        <v>164.7472222</v>
      </c>
    </row>
    <row r="441">
      <c r="A441" s="4" t="s">
        <v>19</v>
      </c>
      <c r="B441" s="4" t="s">
        <v>1984</v>
      </c>
      <c r="C441" s="4" t="s">
        <v>1985</v>
      </c>
      <c r="D441" s="4" t="s">
        <v>1986</v>
      </c>
      <c r="E441" s="10">
        <f>IFERROR(__xludf.DUMMYFUNCTION("SPLIT(B441,""T"")"),43109.0)</f>
        <v>43109</v>
      </c>
      <c r="F441" s="4" t="str">
        <f>IFERROR(__xludf.DUMMYFUNCTION("""COMPUTED_VALUE"""),"12:09:00Z")</f>
        <v>12:09:00Z</v>
      </c>
      <c r="G441" s="11" t="str">
        <f t="shared" si="1"/>
        <v>12:09:00</v>
      </c>
      <c r="H441" s="10">
        <f>IFERROR(__xludf.DUMMYFUNCTION("SPLIT(D441,""T"")"),42945.0)</f>
        <v>42945</v>
      </c>
      <c r="I441" s="4" t="str">
        <f>IFERROR(__xludf.DUMMYFUNCTION("""COMPUTED_VALUE"""),"13:50:00Z")</f>
        <v>13:50:00Z</v>
      </c>
      <c r="J441" s="4" t="str">
        <f t="shared" si="2"/>
        <v>13:50:00</v>
      </c>
      <c r="K441" s="4">
        <f t="shared" si="3"/>
        <v>164</v>
      </c>
      <c r="L441" s="4">
        <f t="shared" si="4"/>
        <v>-0.07013888889</v>
      </c>
      <c r="M441" s="4">
        <f t="shared" si="5"/>
        <v>163.9298611</v>
      </c>
    </row>
    <row r="442">
      <c r="A442" s="4" t="s">
        <v>46</v>
      </c>
      <c r="B442" s="4" t="s">
        <v>2126</v>
      </c>
      <c r="C442" s="4" t="s">
        <v>1914</v>
      </c>
      <c r="D442" s="4" t="s">
        <v>2127</v>
      </c>
      <c r="E442" s="10">
        <f>IFERROR(__xludf.DUMMYFUNCTION("SPLIT(B442,""T"")"),43109.0)</f>
        <v>43109</v>
      </c>
      <c r="F442" s="4" t="str">
        <f>IFERROR(__xludf.DUMMYFUNCTION("""COMPUTED_VALUE"""),"12:12:00Z")</f>
        <v>12:12:00Z</v>
      </c>
      <c r="G442" s="11" t="str">
        <f t="shared" si="1"/>
        <v>12:12:00</v>
      </c>
      <c r="H442" s="10">
        <f>IFERROR(__xludf.DUMMYFUNCTION("SPLIT(D442,""T"")"),42945.0)</f>
        <v>42945</v>
      </c>
      <c r="I442" s="4" t="str">
        <f>IFERROR(__xludf.DUMMYFUNCTION("""COMPUTED_VALUE"""),"16:33:00Z")</f>
        <v>16:33:00Z</v>
      </c>
      <c r="J442" s="4" t="str">
        <f t="shared" si="2"/>
        <v>16:33:00</v>
      </c>
      <c r="K442" s="4">
        <f t="shared" si="3"/>
        <v>164</v>
      </c>
      <c r="L442" s="4">
        <f t="shared" si="4"/>
        <v>-0.18125</v>
      </c>
      <c r="M442" s="4">
        <f t="shared" si="5"/>
        <v>163.81875</v>
      </c>
    </row>
    <row r="443">
      <c r="A443" s="4" t="s">
        <v>58</v>
      </c>
      <c r="B443" s="4" t="s">
        <v>2126</v>
      </c>
      <c r="C443" s="4" t="s">
        <v>941</v>
      </c>
      <c r="D443" s="4" t="s">
        <v>2538</v>
      </c>
      <c r="E443" s="10">
        <f>IFERROR(__xludf.DUMMYFUNCTION("SPLIT(B443,""T"")"),43109.0)</f>
        <v>43109</v>
      </c>
      <c r="F443" s="4" t="str">
        <f>IFERROR(__xludf.DUMMYFUNCTION("""COMPUTED_VALUE"""),"12:12:00Z")</f>
        <v>12:12:00Z</v>
      </c>
      <c r="G443" s="11" t="str">
        <f t="shared" si="1"/>
        <v>12:12:00</v>
      </c>
      <c r="H443" s="10">
        <f>IFERROR(__xludf.DUMMYFUNCTION("SPLIT(D443,""T"")"),42945.0)</f>
        <v>42945</v>
      </c>
      <c r="I443" s="4" t="str">
        <f>IFERROR(__xludf.DUMMYFUNCTION("""COMPUTED_VALUE"""),"17:29:00Z")</f>
        <v>17:29:00Z</v>
      </c>
      <c r="J443" s="4" t="str">
        <f t="shared" si="2"/>
        <v>17:29:00</v>
      </c>
      <c r="K443" s="4">
        <f t="shared" si="3"/>
        <v>164</v>
      </c>
      <c r="L443" s="4">
        <f t="shared" si="4"/>
        <v>-0.2201388889</v>
      </c>
      <c r="M443" s="4">
        <f t="shared" si="5"/>
        <v>163.7798611</v>
      </c>
    </row>
    <row r="444">
      <c r="A444" s="4" t="s">
        <v>58</v>
      </c>
      <c r="B444" s="4" t="s">
        <v>2687</v>
      </c>
      <c r="C444" s="4" t="s">
        <v>3050</v>
      </c>
      <c r="D444" s="4" t="s">
        <v>3051</v>
      </c>
      <c r="E444" s="10">
        <f>IFERROR(__xludf.DUMMYFUNCTION("SPLIT(B444,""T"")"),43469.0)</f>
        <v>43469</v>
      </c>
      <c r="F444" s="4" t="str">
        <f>IFERROR(__xludf.DUMMYFUNCTION("""COMPUTED_VALUE"""),"09:36:00Z")</f>
        <v>09:36:00Z</v>
      </c>
      <c r="G444" s="11" t="str">
        <f t="shared" si="1"/>
        <v>09:36:00</v>
      </c>
      <c r="H444" s="10">
        <f>IFERROR(__xludf.DUMMYFUNCTION("SPLIT(D444,""T"")"),43305.0)</f>
        <v>43305</v>
      </c>
      <c r="I444" s="4" t="str">
        <f>IFERROR(__xludf.DUMMYFUNCTION("""COMPUTED_VALUE"""),"15:24:00Z")</f>
        <v>15:24:00Z</v>
      </c>
      <c r="J444" s="4" t="str">
        <f t="shared" si="2"/>
        <v>15:24:00</v>
      </c>
      <c r="K444" s="4">
        <f t="shared" si="3"/>
        <v>164</v>
      </c>
      <c r="L444" s="4">
        <f t="shared" si="4"/>
        <v>-0.2416666667</v>
      </c>
      <c r="M444" s="4">
        <f t="shared" si="5"/>
        <v>163.7583333</v>
      </c>
    </row>
    <row r="445">
      <c r="A445" s="4" t="s">
        <v>320</v>
      </c>
      <c r="B445" s="4" t="s">
        <v>2888</v>
      </c>
      <c r="C445" s="4" t="s">
        <v>2889</v>
      </c>
      <c r="D445" s="4" t="s">
        <v>2890</v>
      </c>
      <c r="E445" s="10">
        <f>IFERROR(__xludf.DUMMYFUNCTION("SPLIT(B445,""T"")"),43469.0)</f>
        <v>43469</v>
      </c>
      <c r="F445" s="4" t="str">
        <f>IFERROR(__xludf.DUMMYFUNCTION("""COMPUTED_VALUE"""),"09:35:00Z")</f>
        <v>09:35:00Z</v>
      </c>
      <c r="G445" s="11" t="str">
        <f t="shared" si="1"/>
        <v>09:35:00</v>
      </c>
      <c r="H445" s="10">
        <f>IFERROR(__xludf.DUMMYFUNCTION("SPLIT(D445,""T"")"),43305.0)</f>
        <v>43305</v>
      </c>
      <c r="I445" s="4" t="str">
        <f>IFERROR(__xludf.DUMMYFUNCTION("""COMPUTED_VALUE"""),"16:02:00Z")</f>
        <v>16:02:00Z</v>
      </c>
      <c r="J445" s="4" t="str">
        <f t="shared" si="2"/>
        <v>16:02:00</v>
      </c>
      <c r="K445" s="4">
        <f t="shared" si="3"/>
        <v>164</v>
      </c>
      <c r="L445" s="4">
        <f t="shared" si="4"/>
        <v>-0.26875</v>
      </c>
      <c r="M445" s="4">
        <f t="shared" si="5"/>
        <v>163.73125</v>
      </c>
    </row>
    <row r="446">
      <c r="A446" s="4" t="s">
        <v>138</v>
      </c>
      <c r="B446" s="4" t="s">
        <v>1860</v>
      </c>
      <c r="C446" s="4" t="s">
        <v>1861</v>
      </c>
      <c r="D446" s="4" t="s">
        <v>1862</v>
      </c>
      <c r="E446" s="10">
        <f>IFERROR(__xludf.DUMMYFUNCTION("SPLIT(B446,""T"")"),43109.0)</f>
        <v>43109</v>
      </c>
      <c r="F446" s="4" t="str">
        <f>IFERROR(__xludf.DUMMYFUNCTION("""COMPUTED_VALUE"""),"12:08:00Z")</f>
        <v>12:08:00Z</v>
      </c>
      <c r="G446" s="11" t="str">
        <f t="shared" si="1"/>
        <v>12:08:00</v>
      </c>
      <c r="H446" s="10">
        <f>IFERROR(__xludf.DUMMYFUNCTION("SPLIT(D446,""T"")"),42945.0)</f>
        <v>42945</v>
      </c>
      <c r="I446" s="4" t="str">
        <f>IFERROR(__xludf.DUMMYFUNCTION("""COMPUTED_VALUE"""),"18:55:00Z")</f>
        <v>18:55:00Z</v>
      </c>
      <c r="J446" s="4" t="str">
        <f t="shared" si="2"/>
        <v>18:55:00</v>
      </c>
      <c r="K446" s="4">
        <f t="shared" si="3"/>
        <v>164</v>
      </c>
      <c r="L446" s="4">
        <f t="shared" si="4"/>
        <v>-0.2826388889</v>
      </c>
      <c r="M446" s="4">
        <f t="shared" si="5"/>
        <v>163.7173611</v>
      </c>
    </row>
    <row r="447">
      <c r="A447" s="4" t="s">
        <v>130</v>
      </c>
      <c r="B447" s="4" t="s">
        <v>1927</v>
      </c>
      <c r="C447" s="4" t="s">
        <v>2075</v>
      </c>
      <c r="D447" s="4" t="s">
        <v>2076</v>
      </c>
      <c r="E447" s="10">
        <f>IFERROR(__xludf.DUMMYFUNCTION("SPLIT(B447,""T"")"),43109.0)</f>
        <v>43109</v>
      </c>
      <c r="F447" s="4" t="str">
        <f>IFERROR(__xludf.DUMMYFUNCTION("""COMPUTED_VALUE"""),"12:14:00Z")</f>
        <v>12:14:00Z</v>
      </c>
      <c r="G447" s="11" t="str">
        <f t="shared" si="1"/>
        <v>12:14:00</v>
      </c>
      <c r="H447" s="10">
        <f>IFERROR(__xludf.DUMMYFUNCTION("SPLIT(D447,""T"")"),42946.0)</f>
        <v>42946</v>
      </c>
      <c r="I447" s="4" t="str">
        <f>IFERROR(__xludf.DUMMYFUNCTION("""COMPUTED_VALUE"""),"01:45:00Z")</f>
        <v>01:45:00Z</v>
      </c>
      <c r="J447" s="4" t="str">
        <f t="shared" si="2"/>
        <v>01:45:00</v>
      </c>
      <c r="K447" s="4">
        <f t="shared" si="3"/>
        <v>163</v>
      </c>
      <c r="L447" s="4">
        <f t="shared" si="4"/>
        <v>0.4368055556</v>
      </c>
      <c r="M447" s="4">
        <f t="shared" si="5"/>
        <v>163.4368056</v>
      </c>
    </row>
    <row r="448">
      <c r="A448" s="4" t="s">
        <v>27</v>
      </c>
      <c r="B448" s="4" t="s">
        <v>2687</v>
      </c>
      <c r="C448" s="4" t="s">
        <v>2688</v>
      </c>
      <c r="D448" s="4" t="s">
        <v>2689</v>
      </c>
      <c r="E448" s="10">
        <f>IFERROR(__xludf.DUMMYFUNCTION("SPLIT(B448,""T"")"),43469.0)</f>
        <v>43469</v>
      </c>
      <c r="F448" s="4" t="str">
        <f>IFERROR(__xludf.DUMMYFUNCTION("""COMPUTED_VALUE"""),"09:36:00Z")</f>
        <v>09:36:00Z</v>
      </c>
      <c r="G448" s="11" t="str">
        <f t="shared" si="1"/>
        <v>09:36:00</v>
      </c>
      <c r="H448" s="10">
        <f>IFERROR(__xludf.DUMMYFUNCTION("SPLIT(D448,""T"")"),43306.0)</f>
        <v>43306</v>
      </c>
      <c r="I448" s="4" t="str">
        <f>IFERROR(__xludf.DUMMYFUNCTION("""COMPUTED_VALUE"""),"11:41:00Z")</f>
        <v>11:41:00Z</v>
      </c>
      <c r="J448" s="4" t="str">
        <f t="shared" si="2"/>
        <v>11:41:00</v>
      </c>
      <c r="K448" s="4">
        <f t="shared" si="3"/>
        <v>163</v>
      </c>
      <c r="L448" s="4">
        <f t="shared" si="4"/>
        <v>-0.08680555556</v>
      </c>
      <c r="M448" s="4">
        <f t="shared" si="5"/>
        <v>162.9131944</v>
      </c>
    </row>
    <row r="449">
      <c r="A449" s="4" t="s">
        <v>69</v>
      </c>
      <c r="B449" s="4" t="s">
        <v>1927</v>
      </c>
      <c r="C449" s="4" t="s">
        <v>1928</v>
      </c>
      <c r="D449" s="4" t="s">
        <v>1929</v>
      </c>
      <c r="E449" s="10">
        <f>IFERROR(__xludf.DUMMYFUNCTION("SPLIT(B449,""T"")"),43109.0)</f>
        <v>43109</v>
      </c>
      <c r="F449" s="4" t="str">
        <f>IFERROR(__xludf.DUMMYFUNCTION("""COMPUTED_VALUE"""),"12:14:00Z")</f>
        <v>12:14:00Z</v>
      </c>
      <c r="G449" s="11" t="str">
        <f t="shared" si="1"/>
        <v>12:14:00</v>
      </c>
      <c r="H449" s="10">
        <f>IFERROR(__xludf.DUMMYFUNCTION("SPLIT(D449,""T"")"),42946.0)</f>
        <v>42946</v>
      </c>
      <c r="I449" s="4" t="str">
        <f>IFERROR(__xludf.DUMMYFUNCTION("""COMPUTED_VALUE"""),"16:17:00Z")</f>
        <v>16:17:00Z</v>
      </c>
      <c r="J449" s="4" t="str">
        <f t="shared" si="2"/>
        <v>16:17:00</v>
      </c>
      <c r="K449" s="4">
        <f t="shared" si="3"/>
        <v>163</v>
      </c>
      <c r="L449" s="4">
        <f t="shared" si="4"/>
        <v>-0.16875</v>
      </c>
      <c r="M449" s="4">
        <f t="shared" si="5"/>
        <v>162.83125</v>
      </c>
    </row>
    <row r="450">
      <c r="A450" s="4" t="s">
        <v>19</v>
      </c>
      <c r="B450" s="4" t="s">
        <v>1927</v>
      </c>
      <c r="C450" s="4" t="s">
        <v>2162</v>
      </c>
      <c r="D450" s="4" t="s">
        <v>2163</v>
      </c>
      <c r="E450" s="10">
        <f>IFERROR(__xludf.DUMMYFUNCTION("SPLIT(B450,""T"")"),43109.0)</f>
        <v>43109</v>
      </c>
      <c r="F450" s="4" t="str">
        <f>IFERROR(__xludf.DUMMYFUNCTION("""COMPUTED_VALUE"""),"12:14:00Z")</f>
        <v>12:14:00Z</v>
      </c>
      <c r="G450" s="11" t="str">
        <f t="shared" si="1"/>
        <v>12:14:00</v>
      </c>
      <c r="H450" s="10">
        <f>IFERROR(__xludf.DUMMYFUNCTION("SPLIT(D450,""T"")"),42946.0)</f>
        <v>42946</v>
      </c>
      <c r="I450" s="4" t="str">
        <f>IFERROR(__xludf.DUMMYFUNCTION("""COMPUTED_VALUE"""),"16:28:00Z")</f>
        <v>16:28:00Z</v>
      </c>
      <c r="J450" s="4" t="str">
        <f t="shared" si="2"/>
        <v>16:28:00</v>
      </c>
      <c r="K450" s="4">
        <f t="shared" si="3"/>
        <v>163</v>
      </c>
      <c r="L450" s="4">
        <f t="shared" si="4"/>
        <v>-0.1763888889</v>
      </c>
      <c r="M450" s="4">
        <f t="shared" si="5"/>
        <v>162.8236111</v>
      </c>
    </row>
    <row r="451">
      <c r="A451" s="4" t="s">
        <v>170</v>
      </c>
      <c r="B451" s="4" t="s">
        <v>2888</v>
      </c>
      <c r="C451" s="4" t="s">
        <v>1673</v>
      </c>
      <c r="D451" s="4" t="s">
        <v>3072</v>
      </c>
      <c r="E451" s="10">
        <f>IFERROR(__xludf.DUMMYFUNCTION("SPLIT(B451,""T"")"),43469.0)</f>
        <v>43469</v>
      </c>
      <c r="F451" s="4" t="str">
        <f>IFERROR(__xludf.DUMMYFUNCTION("""COMPUTED_VALUE"""),"09:35:00Z")</f>
        <v>09:35:00Z</v>
      </c>
      <c r="G451" s="11" t="str">
        <f t="shared" si="1"/>
        <v>09:35:00</v>
      </c>
      <c r="H451" s="10">
        <f>IFERROR(__xludf.DUMMYFUNCTION("SPLIT(D451,""T"")"),43306.0)</f>
        <v>43306</v>
      </c>
      <c r="I451" s="4" t="str">
        <f>IFERROR(__xludf.DUMMYFUNCTION("""COMPUTED_VALUE"""),"14:11:00Z")</f>
        <v>14:11:00Z</v>
      </c>
      <c r="J451" s="4" t="str">
        <f t="shared" si="2"/>
        <v>14:11:00</v>
      </c>
      <c r="K451" s="4">
        <f t="shared" si="3"/>
        <v>163</v>
      </c>
      <c r="L451" s="4">
        <f t="shared" si="4"/>
        <v>-0.1916666667</v>
      </c>
      <c r="M451" s="4">
        <f t="shared" si="5"/>
        <v>162.8083333</v>
      </c>
    </row>
    <row r="452">
      <c r="A452" s="4" t="s">
        <v>80</v>
      </c>
      <c r="B452" s="4" t="s">
        <v>2855</v>
      </c>
      <c r="C452" s="4" t="s">
        <v>737</v>
      </c>
      <c r="D452" s="4" t="s">
        <v>2856</v>
      </c>
      <c r="E452" s="10">
        <f>IFERROR(__xludf.DUMMYFUNCTION("SPLIT(B452,""T"")"),43469.0)</f>
        <v>43469</v>
      </c>
      <c r="F452" s="4" t="str">
        <f>IFERROR(__xludf.DUMMYFUNCTION("""COMPUTED_VALUE"""),"09:34:00Z")</f>
        <v>09:34:00Z</v>
      </c>
      <c r="G452" s="11" t="str">
        <f t="shared" si="1"/>
        <v>09:34:00</v>
      </c>
      <c r="H452" s="10">
        <f>IFERROR(__xludf.DUMMYFUNCTION("SPLIT(D452,""T"")"),43306.0)</f>
        <v>43306</v>
      </c>
      <c r="I452" s="4" t="str">
        <f>IFERROR(__xludf.DUMMYFUNCTION("""COMPUTED_VALUE"""),"14:41:00Z")</f>
        <v>14:41:00Z</v>
      </c>
      <c r="J452" s="4" t="str">
        <f t="shared" si="2"/>
        <v>14:41:00</v>
      </c>
      <c r="K452" s="4">
        <f t="shared" si="3"/>
        <v>163</v>
      </c>
      <c r="L452" s="4">
        <f t="shared" si="4"/>
        <v>-0.2131944444</v>
      </c>
      <c r="M452" s="4">
        <f t="shared" si="5"/>
        <v>162.7868056</v>
      </c>
    </row>
    <row r="453">
      <c r="A453" s="4" t="s">
        <v>94</v>
      </c>
      <c r="B453" s="4" t="s">
        <v>1854</v>
      </c>
      <c r="C453" s="4" t="s">
        <v>326</v>
      </c>
      <c r="D453" s="4" t="s">
        <v>1887</v>
      </c>
      <c r="E453" s="10">
        <f>IFERROR(__xludf.DUMMYFUNCTION("SPLIT(B453,""T"")"),43109.0)</f>
        <v>43109</v>
      </c>
      <c r="F453" s="4" t="str">
        <f>IFERROR(__xludf.DUMMYFUNCTION("""COMPUTED_VALUE"""),"12:15:00Z")</f>
        <v>12:15:00Z</v>
      </c>
      <c r="G453" s="11" t="str">
        <f t="shared" si="1"/>
        <v>12:15:00</v>
      </c>
      <c r="H453" s="10">
        <f>IFERROR(__xludf.DUMMYFUNCTION("SPLIT(D453,""T"")"),42946.0)</f>
        <v>42946</v>
      </c>
      <c r="I453" s="4" t="str">
        <f>IFERROR(__xludf.DUMMYFUNCTION("""COMPUTED_VALUE"""),"17:43:00Z")</f>
        <v>17:43:00Z</v>
      </c>
      <c r="J453" s="4" t="str">
        <f t="shared" si="2"/>
        <v>17:43:00</v>
      </c>
      <c r="K453" s="4">
        <f t="shared" si="3"/>
        <v>163</v>
      </c>
      <c r="L453" s="4">
        <f t="shared" si="4"/>
        <v>-0.2277777778</v>
      </c>
      <c r="M453" s="4">
        <f t="shared" si="5"/>
        <v>162.7722222</v>
      </c>
    </row>
    <row r="454">
      <c r="A454" s="4" t="s">
        <v>205</v>
      </c>
      <c r="B454" s="4" t="s">
        <v>2855</v>
      </c>
      <c r="C454" s="4" t="s">
        <v>2761</v>
      </c>
      <c r="D454" s="4" t="s">
        <v>3097</v>
      </c>
      <c r="E454" s="10">
        <f>IFERROR(__xludf.DUMMYFUNCTION("SPLIT(B454,""T"")"),43469.0)</f>
        <v>43469</v>
      </c>
      <c r="F454" s="4" t="str">
        <f>IFERROR(__xludf.DUMMYFUNCTION("""COMPUTED_VALUE"""),"09:34:00Z")</f>
        <v>09:34:00Z</v>
      </c>
      <c r="G454" s="11" t="str">
        <f t="shared" si="1"/>
        <v>09:34:00</v>
      </c>
      <c r="H454" s="10">
        <f>IFERROR(__xludf.DUMMYFUNCTION("SPLIT(D454,""T"")"),43306.0)</f>
        <v>43306</v>
      </c>
      <c r="I454" s="4" t="str">
        <f>IFERROR(__xludf.DUMMYFUNCTION("""COMPUTED_VALUE"""),"16:05:00Z")</f>
        <v>16:05:00Z</v>
      </c>
      <c r="J454" s="4" t="str">
        <f t="shared" si="2"/>
        <v>16:05:00</v>
      </c>
      <c r="K454" s="4">
        <f t="shared" si="3"/>
        <v>163</v>
      </c>
      <c r="L454" s="4">
        <f t="shared" si="4"/>
        <v>-0.2715277778</v>
      </c>
      <c r="M454" s="4">
        <f t="shared" si="5"/>
        <v>162.7284722</v>
      </c>
    </row>
    <row r="455">
      <c r="A455" s="4" t="s">
        <v>401</v>
      </c>
      <c r="B455" s="4" t="s">
        <v>2645</v>
      </c>
      <c r="C455" s="4" t="s">
        <v>2191</v>
      </c>
      <c r="D455" s="4" t="s">
        <v>3151</v>
      </c>
      <c r="E455" s="10">
        <f>IFERROR(__xludf.DUMMYFUNCTION("SPLIT(B455,""T"")"),43469.0)</f>
        <v>43469</v>
      </c>
      <c r="F455" s="4" t="str">
        <f>IFERROR(__xludf.DUMMYFUNCTION("""COMPUTED_VALUE"""),"09:33:00Z")</f>
        <v>09:33:00Z</v>
      </c>
      <c r="G455" s="11" t="str">
        <f t="shared" si="1"/>
        <v>09:33:00</v>
      </c>
      <c r="H455" s="10">
        <f>IFERROR(__xludf.DUMMYFUNCTION("SPLIT(D455,""T"")"),43306.0)</f>
        <v>43306</v>
      </c>
      <c r="I455" s="4" t="str">
        <f>IFERROR(__xludf.DUMMYFUNCTION("""COMPUTED_VALUE"""),"16:14:00Z")</f>
        <v>16:14:00Z</v>
      </c>
      <c r="J455" s="4" t="str">
        <f t="shared" si="2"/>
        <v>16:14:00</v>
      </c>
      <c r="K455" s="4">
        <f t="shared" si="3"/>
        <v>163</v>
      </c>
      <c r="L455" s="4">
        <f t="shared" si="4"/>
        <v>-0.2784722222</v>
      </c>
      <c r="M455" s="4">
        <f t="shared" si="5"/>
        <v>162.7215278</v>
      </c>
    </row>
    <row r="456">
      <c r="A456" s="4" t="s">
        <v>27</v>
      </c>
      <c r="B456" s="4" t="s">
        <v>2645</v>
      </c>
      <c r="C456" s="4" t="s">
        <v>2866</v>
      </c>
      <c r="D456" s="4" t="s">
        <v>2867</v>
      </c>
      <c r="E456" s="10">
        <f>IFERROR(__xludf.DUMMYFUNCTION("SPLIT(B456,""T"")"),43469.0)</f>
        <v>43469</v>
      </c>
      <c r="F456" s="4" t="str">
        <f>IFERROR(__xludf.DUMMYFUNCTION("""COMPUTED_VALUE"""),"09:33:00Z")</f>
        <v>09:33:00Z</v>
      </c>
      <c r="G456" s="11" t="str">
        <f t="shared" si="1"/>
        <v>09:33:00</v>
      </c>
      <c r="H456" s="10">
        <f>IFERROR(__xludf.DUMMYFUNCTION("SPLIT(D456,""T"")"),43307.0)</f>
        <v>43307</v>
      </c>
      <c r="I456" s="4" t="str">
        <f>IFERROR(__xludf.DUMMYFUNCTION("""COMPUTED_VALUE"""),"10:12:00Z")</f>
        <v>10:12:00Z</v>
      </c>
      <c r="J456" s="4" t="str">
        <f t="shared" si="2"/>
        <v>10:12:00</v>
      </c>
      <c r="K456" s="4">
        <f t="shared" si="3"/>
        <v>162</v>
      </c>
      <c r="L456" s="4">
        <f t="shared" si="4"/>
        <v>-0.02708333333</v>
      </c>
      <c r="M456" s="4">
        <f t="shared" si="5"/>
        <v>161.9729167</v>
      </c>
    </row>
    <row r="457">
      <c r="A457" s="4" t="s">
        <v>260</v>
      </c>
      <c r="B457" s="4" t="s">
        <v>1854</v>
      </c>
      <c r="C457" s="4" t="s">
        <v>1855</v>
      </c>
      <c r="D457" s="4" t="s">
        <v>1856</v>
      </c>
      <c r="E457" s="10">
        <f>IFERROR(__xludf.DUMMYFUNCTION("SPLIT(B457,""T"")"),43109.0)</f>
        <v>43109</v>
      </c>
      <c r="F457" s="4" t="str">
        <f>IFERROR(__xludf.DUMMYFUNCTION("""COMPUTED_VALUE"""),"12:15:00Z")</f>
        <v>12:15:00Z</v>
      </c>
      <c r="G457" s="11" t="str">
        <f t="shared" si="1"/>
        <v>12:15:00</v>
      </c>
      <c r="H457" s="10">
        <f>IFERROR(__xludf.DUMMYFUNCTION("SPLIT(D457,""T"")"),42947.0)</f>
        <v>42947</v>
      </c>
      <c r="I457" s="4" t="str">
        <f>IFERROR(__xludf.DUMMYFUNCTION("""COMPUTED_VALUE"""),"13:44:00Z")</f>
        <v>13:44:00Z</v>
      </c>
      <c r="J457" s="4" t="str">
        <f t="shared" si="2"/>
        <v>13:44:00</v>
      </c>
      <c r="K457" s="4">
        <f t="shared" si="3"/>
        <v>162</v>
      </c>
      <c r="L457" s="4">
        <f t="shared" si="4"/>
        <v>-0.06180555556</v>
      </c>
      <c r="M457" s="4">
        <f t="shared" si="5"/>
        <v>161.9381944</v>
      </c>
    </row>
    <row r="458">
      <c r="A458" s="4" t="s">
        <v>27</v>
      </c>
      <c r="B458" s="4" t="s">
        <v>1854</v>
      </c>
      <c r="C458" s="4" t="s">
        <v>2055</v>
      </c>
      <c r="D458" s="4" t="s">
        <v>2098</v>
      </c>
      <c r="E458" s="10">
        <f>IFERROR(__xludf.DUMMYFUNCTION("SPLIT(B458,""T"")"),43109.0)</f>
        <v>43109</v>
      </c>
      <c r="F458" s="4" t="str">
        <f>IFERROR(__xludf.DUMMYFUNCTION("""COMPUTED_VALUE"""),"12:15:00Z")</f>
        <v>12:15:00Z</v>
      </c>
      <c r="G458" s="11" t="str">
        <f t="shared" si="1"/>
        <v>12:15:00</v>
      </c>
      <c r="H458" s="10">
        <f>IFERROR(__xludf.DUMMYFUNCTION("SPLIT(D458,""T"")"),42947.0)</f>
        <v>42947</v>
      </c>
      <c r="I458" s="4" t="str">
        <f>IFERROR(__xludf.DUMMYFUNCTION("""COMPUTED_VALUE"""),"14:22:00Z")</f>
        <v>14:22:00Z</v>
      </c>
      <c r="J458" s="4" t="str">
        <f t="shared" si="2"/>
        <v>14:22:00</v>
      </c>
      <c r="K458" s="4">
        <f t="shared" si="3"/>
        <v>162</v>
      </c>
      <c r="L458" s="4">
        <f t="shared" si="4"/>
        <v>-0.08819444444</v>
      </c>
      <c r="M458" s="4">
        <f t="shared" si="5"/>
        <v>161.9118056</v>
      </c>
    </row>
    <row r="459">
      <c r="A459" s="4" t="s">
        <v>134</v>
      </c>
      <c r="B459" s="4" t="s">
        <v>1827</v>
      </c>
      <c r="C459" s="4" t="s">
        <v>2207</v>
      </c>
      <c r="D459" s="4" t="s">
        <v>2208</v>
      </c>
      <c r="E459" s="10">
        <f>IFERROR(__xludf.DUMMYFUNCTION("SPLIT(B459,""T"")"),43109.0)</f>
        <v>43109</v>
      </c>
      <c r="F459" s="4" t="str">
        <f>IFERROR(__xludf.DUMMYFUNCTION("""COMPUTED_VALUE"""),"12:16:00Z")</f>
        <v>12:16:00Z</v>
      </c>
      <c r="G459" s="11" t="str">
        <f t="shared" si="1"/>
        <v>12:16:00</v>
      </c>
      <c r="H459" s="10">
        <f>IFERROR(__xludf.DUMMYFUNCTION("SPLIT(D459,""T"")"),42947.0)</f>
        <v>42947</v>
      </c>
      <c r="I459" s="4" t="str">
        <f>IFERROR(__xludf.DUMMYFUNCTION("""COMPUTED_VALUE"""),"14:44:00Z")</f>
        <v>14:44:00Z</v>
      </c>
      <c r="J459" s="4" t="str">
        <f t="shared" si="2"/>
        <v>14:44:00</v>
      </c>
      <c r="K459" s="4">
        <f t="shared" si="3"/>
        <v>162</v>
      </c>
      <c r="L459" s="4">
        <f t="shared" si="4"/>
        <v>-0.1027777778</v>
      </c>
      <c r="M459" s="4">
        <f t="shared" si="5"/>
        <v>161.8972222</v>
      </c>
    </row>
    <row r="460">
      <c r="A460" s="4" t="s">
        <v>73</v>
      </c>
      <c r="B460" s="4" t="s">
        <v>1854</v>
      </c>
      <c r="C460" s="4" t="s">
        <v>2584</v>
      </c>
      <c r="D460" s="4" t="s">
        <v>2585</v>
      </c>
      <c r="E460" s="10">
        <f>IFERROR(__xludf.DUMMYFUNCTION("SPLIT(B460,""T"")"),43109.0)</f>
        <v>43109</v>
      </c>
      <c r="F460" s="4" t="str">
        <f>IFERROR(__xludf.DUMMYFUNCTION("""COMPUTED_VALUE"""),"12:15:00Z")</f>
        <v>12:15:00Z</v>
      </c>
      <c r="G460" s="11" t="str">
        <f t="shared" si="1"/>
        <v>12:15:00</v>
      </c>
      <c r="H460" s="10">
        <f>IFERROR(__xludf.DUMMYFUNCTION("SPLIT(D460,""T"")"),42947.0)</f>
        <v>42947</v>
      </c>
      <c r="I460" s="4" t="str">
        <f>IFERROR(__xludf.DUMMYFUNCTION("""COMPUTED_VALUE"""),"23:17:00Z")</f>
        <v>23:17:00Z</v>
      </c>
      <c r="J460" s="4" t="str">
        <f t="shared" si="2"/>
        <v>23:17:00</v>
      </c>
      <c r="K460" s="4">
        <f t="shared" si="3"/>
        <v>162</v>
      </c>
      <c r="L460" s="4">
        <f t="shared" si="4"/>
        <v>-0.4597222222</v>
      </c>
      <c r="M460" s="4">
        <f t="shared" si="5"/>
        <v>161.5402778</v>
      </c>
    </row>
    <row r="461">
      <c r="A461" s="4" t="s">
        <v>101</v>
      </c>
      <c r="B461" s="4" t="s">
        <v>1827</v>
      </c>
      <c r="C461" s="4" t="s">
        <v>458</v>
      </c>
      <c r="D461" s="4" t="s">
        <v>1828</v>
      </c>
      <c r="E461" s="10">
        <f>IFERROR(__xludf.DUMMYFUNCTION("SPLIT(B461,""T"")"),43109.0)</f>
        <v>43109</v>
      </c>
      <c r="F461" s="4" t="str">
        <f>IFERROR(__xludf.DUMMYFUNCTION("""COMPUTED_VALUE"""),"12:16:00Z")</f>
        <v>12:16:00Z</v>
      </c>
      <c r="G461" s="11" t="str">
        <f t="shared" si="1"/>
        <v>12:16:00</v>
      </c>
      <c r="H461" s="10">
        <f>IFERROR(__xludf.DUMMYFUNCTION("SPLIT(D461,""T"")"),42948.0)</f>
        <v>42948</v>
      </c>
      <c r="I461" s="4" t="str">
        <f>IFERROR(__xludf.DUMMYFUNCTION("""COMPUTED_VALUE"""),"08:45:00Z")</f>
        <v>08:45:00Z</v>
      </c>
      <c r="J461" s="4" t="str">
        <f t="shared" si="2"/>
        <v>08:45:00</v>
      </c>
      <c r="K461" s="4">
        <f t="shared" si="3"/>
        <v>161</v>
      </c>
      <c r="L461" s="4">
        <f t="shared" si="4"/>
        <v>0.1465277778</v>
      </c>
      <c r="M461" s="4">
        <f t="shared" si="5"/>
        <v>161.1465278</v>
      </c>
    </row>
    <row r="462" hidden="1">
      <c r="A462" s="4" t="s">
        <v>35</v>
      </c>
      <c r="B462" s="4" t="s">
        <v>1337</v>
      </c>
      <c r="C462" s="4" t="s">
        <v>1338</v>
      </c>
      <c r="D462" s="4" t="s">
        <v>1337</v>
      </c>
      <c r="E462" s="10">
        <f>IFERROR(__xludf.DUMMYFUNCTION("SPLIT(B462,""T"")"),42551.0)</f>
        <v>42551</v>
      </c>
      <c r="F462" s="4" t="str">
        <f>IFERROR(__xludf.DUMMYFUNCTION("""COMPUTED_VALUE"""),"16:55:00Z")</f>
        <v>16:55:00Z</v>
      </c>
      <c r="G462" s="11" t="str">
        <f t="shared" si="1"/>
        <v>16:55:00</v>
      </c>
      <c r="H462" s="10">
        <f>IFERROR(__xludf.DUMMYFUNCTION("SPLIT(D462,""T"")"),42551.0)</f>
        <v>42551</v>
      </c>
      <c r="I462" s="4" t="str">
        <f>IFERROR(__xludf.DUMMYFUNCTION("""COMPUTED_VALUE"""),"16:55:00Z")</f>
        <v>16:55:00Z</v>
      </c>
      <c r="J462" s="4" t="str">
        <f t="shared" si="2"/>
        <v>16:55:00</v>
      </c>
      <c r="K462" s="4">
        <f t="shared" si="3"/>
        <v>0</v>
      </c>
      <c r="L462" s="4">
        <f t="shared" si="4"/>
        <v>0</v>
      </c>
      <c r="M462" s="4">
        <f t="shared" si="5"/>
        <v>0</v>
      </c>
    </row>
    <row r="463">
      <c r="A463" s="4" t="s">
        <v>50</v>
      </c>
      <c r="B463" s="4" t="s">
        <v>1827</v>
      </c>
      <c r="C463" s="4" t="s">
        <v>2521</v>
      </c>
      <c r="D463" s="4" t="s">
        <v>2522</v>
      </c>
      <c r="E463" s="10">
        <f>IFERROR(__xludf.DUMMYFUNCTION("SPLIT(B463,""T"")"),43109.0)</f>
        <v>43109</v>
      </c>
      <c r="F463" s="4" t="str">
        <f>IFERROR(__xludf.DUMMYFUNCTION("""COMPUTED_VALUE"""),"12:16:00Z")</f>
        <v>12:16:00Z</v>
      </c>
      <c r="G463" s="11" t="str">
        <f t="shared" si="1"/>
        <v>12:16:00</v>
      </c>
      <c r="H463" s="10">
        <f>IFERROR(__xludf.DUMMYFUNCTION("SPLIT(D463,""T"")"),42948.0)</f>
        <v>42948</v>
      </c>
      <c r="I463" s="4" t="str">
        <f>IFERROR(__xludf.DUMMYFUNCTION("""COMPUTED_VALUE"""),"10:23:00Z")</f>
        <v>10:23:00Z</v>
      </c>
      <c r="J463" s="4" t="str">
        <f t="shared" si="2"/>
        <v>10:23:00</v>
      </c>
      <c r="K463" s="4">
        <f t="shared" si="3"/>
        <v>161</v>
      </c>
      <c r="L463" s="4">
        <f t="shared" si="4"/>
        <v>0.07847222222</v>
      </c>
      <c r="M463" s="4">
        <f t="shared" si="5"/>
        <v>161.0784722</v>
      </c>
    </row>
    <row r="464">
      <c r="A464" s="4" t="s">
        <v>489</v>
      </c>
      <c r="B464" s="4" t="s">
        <v>2645</v>
      </c>
      <c r="C464" s="4" t="s">
        <v>2646</v>
      </c>
      <c r="D464" s="4" t="s">
        <v>2647</v>
      </c>
      <c r="E464" s="10">
        <f>IFERROR(__xludf.DUMMYFUNCTION("SPLIT(B464,""T"")"),43469.0)</f>
        <v>43469</v>
      </c>
      <c r="F464" s="4" t="str">
        <f>IFERROR(__xludf.DUMMYFUNCTION("""COMPUTED_VALUE"""),"09:33:00Z")</f>
        <v>09:33:00Z</v>
      </c>
      <c r="G464" s="11" t="str">
        <f t="shared" si="1"/>
        <v>09:33:00</v>
      </c>
      <c r="H464" s="10">
        <f>IFERROR(__xludf.DUMMYFUNCTION("SPLIT(D464,""T"")"),43308.0)</f>
        <v>43308</v>
      </c>
      <c r="I464" s="4" t="str">
        <f>IFERROR(__xludf.DUMMYFUNCTION("""COMPUTED_VALUE"""),"12:05:00Z")</f>
        <v>12:05:00Z</v>
      </c>
      <c r="J464" s="4" t="str">
        <f t="shared" si="2"/>
        <v>12:05:00</v>
      </c>
      <c r="K464" s="4">
        <f t="shared" si="3"/>
        <v>161</v>
      </c>
      <c r="L464" s="4">
        <f t="shared" si="4"/>
        <v>-0.1055555556</v>
      </c>
      <c r="M464" s="4">
        <f t="shared" si="5"/>
        <v>160.8944444</v>
      </c>
    </row>
    <row r="465">
      <c r="A465" s="4" t="s">
        <v>212</v>
      </c>
      <c r="B465" s="4" t="s">
        <v>2645</v>
      </c>
      <c r="C465" s="4" t="s">
        <v>2646</v>
      </c>
      <c r="D465" s="4" t="s">
        <v>2647</v>
      </c>
      <c r="E465" s="10">
        <f>IFERROR(__xludf.DUMMYFUNCTION("SPLIT(B465,""T"")"),43469.0)</f>
        <v>43469</v>
      </c>
      <c r="F465" s="4" t="str">
        <f>IFERROR(__xludf.DUMMYFUNCTION("""COMPUTED_VALUE"""),"09:33:00Z")</f>
        <v>09:33:00Z</v>
      </c>
      <c r="G465" s="11" t="str">
        <f t="shared" si="1"/>
        <v>09:33:00</v>
      </c>
      <c r="H465" s="10">
        <f>IFERROR(__xludf.DUMMYFUNCTION("SPLIT(D465,""T"")"),43308.0)</f>
        <v>43308</v>
      </c>
      <c r="I465" s="4" t="str">
        <f>IFERROR(__xludf.DUMMYFUNCTION("""COMPUTED_VALUE"""),"12:05:00Z")</f>
        <v>12:05:00Z</v>
      </c>
      <c r="J465" s="4" t="str">
        <f t="shared" si="2"/>
        <v>12:05:00</v>
      </c>
      <c r="K465" s="4">
        <f t="shared" si="3"/>
        <v>161</v>
      </c>
      <c r="L465" s="4">
        <f t="shared" si="4"/>
        <v>-0.1055555556</v>
      </c>
      <c r="M465" s="4">
        <f t="shared" si="5"/>
        <v>160.8944444</v>
      </c>
    </row>
    <row r="466">
      <c r="A466" s="4" t="s">
        <v>186</v>
      </c>
      <c r="B466" s="4" t="s">
        <v>2645</v>
      </c>
      <c r="C466" s="4" t="s">
        <v>2646</v>
      </c>
      <c r="D466" s="4" t="s">
        <v>2647</v>
      </c>
      <c r="E466" s="10">
        <f>IFERROR(__xludf.DUMMYFUNCTION("SPLIT(B466,""T"")"),43469.0)</f>
        <v>43469</v>
      </c>
      <c r="F466" s="4" t="str">
        <f>IFERROR(__xludf.DUMMYFUNCTION("""COMPUTED_VALUE"""),"09:33:00Z")</f>
        <v>09:33:00Z</v>
      </c>
      <c r="G466" s="11" t="str">
        <f t="shared" si="1"/>
        <v>09:33:00</v>
      </c>
      <c r="H466" s="10">
        <f>IFERROR(__xludf.DUMMYFUNCTION("SPLIT(D466,""T"")"),43308.0)</f>
        <v>43308</v>
      </c>
      <c r="I466" s="4" t="str">
        <f>IFERROR(__xludf.DUMMYFUNCTION("""COMPUTED_VALUE"""),"12:05:00Z")</f>
        <v>12:05:00Z</v>
      </c>
      <c r="J466" s="4" t="str">
        <f t="shared" si="2"/>
        <v>12:05:00</v>
      </c>
      <c r="K466" s="4">
        <f t="shared" si="3"/>
        <v>161</v>
      </c>
      <c r="L466" s="4">
        <f t="shared" si="4"/>
        <v>-0.1055555556</v>
      </c>
      <c r="M466" s="4">
        <f t="shared" si="5"/>
        <v>160.8944444</v>
      </c>
    </row>
    <row r="467">
      <c r="A467" s="4" t="s">
        <v>313</v>
      </c>
      <c r="B467" s="4" t="s">
        <v>2645</v>
      </c>
      <c r="C467" s="4" t="s">
        <v>2646</v>
      </c>
      <c r="D467" s="4" t="s">
        <v>2647</v>
      </c>
      <c r="E467" s="10">
        <f>IFERROR(__xludf.DUMMYFUNCTION("SPLIT(B467,""T"")"),43469.0)</f>
        <v>43469</v>
      </c>
      <c r="F467" s="4" t="str">
        <f>IFERROR(__xludf.DUMMYFUNCTION("""COMPUTED_VALUE"""),"09:33:00Z")</f>
        <v>09:33:00Z</v>
      </c>
      <c r="G467" s="11" t="str">
        <f t="shared" si="1"/>
        <v>09:33:00</v>
      </c>
      <c r="H467" s="10">
        <f>IFERROR(__xludf.DUMMYFUNCTION("SPLIT(D467,""T"")"),43308.0)</f>
        <v>43308</v>
      </c>
      <c r="I467" s="4" t="str">
        <f>IFERROR(__xludf.DUMMYFUNCTION("""COMPUTED_VALUE"""),"12:05:00Z")</f>
        <v>12:05:00Z</v>
      </c>
      <c r="J467" s="4" t="str">
        <f t="shared" si="2"/>
        <v>12:05:00</v>
      </c>
      <c r="K467" s="4">
        <f t="shared" si="3"/>
        <v>161</v>
      </c>
      <c r="L467" s="4">
        <f t="shared" si="4"/>
        <v>-0.1055555556</v>
      </c>
      <c r="M467" s="4">
        <f t="shared" si="5"/>
        <v>160.8944444</v>
      </c>
    </row>
    <row r="468">
      <c r="A468" s="4" t="s">
        <v>94</v>
      </c>
      <c r="B468" s="4" t="s">
        <v>2645</v>
      </c>
      <c r="C468" s="4" t="s">
        <v>2951</v>
      </c>
      <c r="D468" s="4" t="s">
        <v>2952</v>
      </c>
      <c r="E468" s="10">
        <f>IFERROR(__xludf.DUMMYFUNCTION("SPLIT(B468,""T"")"),43469.0)</f>
        <v>43469</v>
      </c>
      <c r="F468" s="4" t="str">
        <f>IFERROR(__xludf.DUMMYFUNCTION("""COMPUTED_VALUE"""),"09:33:00Z")</f>
        <v>09:33:00Z</v>
      </c>
      <c r="G468" s="11" t="str">
        <f t="shared" si="1"/>
        <v>09:33:00</v>
      </c>
      <c r="H468" s="10">
        <f>IFERROR(__xludf.DUMMYFUNCTION("SPLIT(D468,""T"")"),43308.0)</f>
        <v>43308</v>
      </c>
      <c r="I468" s="4" t="str">
        <f>IFERROR(__xludf.DUMMYFUNCTION("""COMPUTED_VALUE"""),"12:14:00Z")</f>
        <v>12:14:00Z</v>
      </c>
      <c r="J468" s="4" t="str">
        <f t="shared" si="2"/>
        <v>12:14:00</v>
      </c>
      <c r="K468" s="4">
        <f t="shared" si="3"/>
        <v>161</v>
      </c>
      <c r="L468" s="4">
        <f t="shared" si="4"/>
        <v>-0.1118055556</v>
      </c>
      <c r="M468" s="4">
        <f t="shared" si="5"/>
        <v>160.8881944</v>
      </c>
    </row>
    <row r="469">
      <c r="A469" s="4" t="s">
        <v>489</v>
      </c>
      <c r="B469" s="4" t="s">
        <v>2665</v>
      </c>
      <c r="C469" s="4" t="s">
        <v>2666</v>
      </c>
      <c r="D469" s="4" t="s">
        <v>2667</v>
      </c>
      <c r="E469" s="10">
        <f>IFERROR(__xludf.DUMMYFUNCTION("SPLIT(B469,""T"")"),43469.0)</f>
        <v>43469</v>
      </c>
      <c r="F469" s="4" t="str">
        <f>IFERROR(__xludf.DUMMYFUNCTION("""COMPUTED_VALUE"""),"09:18:00Z")</f>
        <v>09:18:00Z</v>
      </c>
      <c r="G469" s="11" t="str">
        <f t="shared" si="1"/>
        <v>09:18:00</v>
      </c>
      <c r="H469" s="10">
        <f>IFERROR(__xludf.DUMMYFUNCTION("SPLIT(D469,""T"")"),43308.0)</f>
        <v>43308</v>
      </c>
      <c r="I469" s="4" t="str">
        <f>IFERROR(__xludf.DUMMYFUNCTION("""COMPUTED_VALUE"""),"13:01:00Z")</f>
        <v>13:01:00Z</v>
      </c>
      <c r="J469" s="4" t="str">
        <f t="shared" si="2"/>
        <v>13:01:00</v>
      </c>
      <c r="K469" s="4">
        <f t="shared" si="3"/>
        <v>161</v>
      </c>
      <c r="L469" s="4">
        <f t="shared" si="4"/>
        <v>-0.1548611111</v>
      </c>
      <c r="M469" s="4">
        <f t="shared" si="5"/>
        <v>160.8451389</v>
      </c>
    </row>
    <row r="470">
      <c r="A470" s="4" t="s">
        <v>186</v>
      </c>
      <c r="B470" s="4" t="s">
        <v>2665</v>
      </c>
      <c r="C470" s="4" t="s">
        <v>2666</v>
      </c>
      <c r="D470" s="4" t="s">
        <v>2667</v>
      </c>
      <c r="E470" s="10">
        <f>IFERROR(__xludf.DUMMYFUNCTION("SPLIT(B470,""T"")"),43469.0)</f>
        <v>43469</v>
      </c>
      <c r="F470" s="4" t="str">
        <f>IFERROR(__xludf.DUMMYFUNCTION("""COMPUTED_VALUE"""),"09:18:00Z")</f>
        <v>09:18:00Z</v>
      </c>
      <c r="G470" s="11" t="str">
        <f t="shared" si="1"/>
        <v>09:18:00</v>
      </c>
      <c r="H470" s="10">
        <f>IFERROR(__xludf.DUMMYFUNCTION("SPLIT(D470,""T"")"),43308.0)</f>
        <v>43308</v>
      </c>
      <c r="I470" s="4" t="str">
        <f>IFERROR(__xludf.DUMMYFUNCTION("""COMPUTED_VALUE"""),"13:01:00Z")</f>
        <v>13:01:00Z</v>
      </c>
      <c r="J470" s="4" t="str">
        <f t="shared" si="2"/>
        <v>13:01:00</v>
      </c>
      <c r="K470" s="4">
        <f t="shared" si="3"/>
        <v>161</v>
      </c>
      <c r="L470" s="4">
        <f t="shared" si="4"/>
        <v>-0.1548611111</v>
      </c>
      <c r="M470" s="4">
        <f t="shared" si="5"/>
        <v>160.8451389</v>
      </c>
    </row>
    <row r="471">
      <c r="A471" s="4" t="s">
        <v>313</v>
      </c>
      <c r="B471" s="4" t="s">
        <v>2665</v>
      </c>
      <c r="C471" s="4" t="s">
        <v>2666</v>
      </c>
      <c r="D471" s="4" t="s">
        <v>2667</v>
      </c>
      <c r="E471" s="10">
        <f>IFERROR(__xludf.DUMMYFUNCTION("SPLIT(B471,""T"")"),43469.0)</f>
        <v>43469</v>
      </c>
      <c r="F471" s="4" t="str">
        <f>IFERROR(__xludf.DUMMYFUNCTION("""COMPUTED_VALUE"""),"09:18:00Z")</f>
        <v>09:18:00Z</v>
      </c>
      <c r="G471" s="11" t="str">
        <f t="shared" si="1"/>
        <v>09:18:00</v>
      </c>
      <c r="H471" s="10">
        <f>IFERROR(__xludf.DUMMYFUNCTION("SPLIT(D471,""T"")"),43308.0)</f>
        <v>43308</v>
      </c>
      <c r="I471" s="4" t="str">
        <f>IFERROR(__xludf.DUMMYFUNCTION("""COMPUTED_VALUE"""),"13:01:00Z")</f>
        <v>13:01:00Z</v>
      </c>
      <c r="J471" s="4" t="str">
        <f t="shared" si="2"/>
        <v>13:01:00</v>
      </c>
      <c r="K471" s="4">
        <f t="shared" si="3"/>
        <v>161</v>
      </c>
      <c r="L471" s="4">
        <f t="shared" si="4"/>
        <v>-0.1548611111</v>
      </c>
      <c r="M471" s="4">
        <f t="shared" si="5"/>
        <v>160.8451389</v>
      </c>
    </row>
    <row r="472">
      <c r="A472" s="4" t="s">
        <v>62</v>
      </c>
      <c r="B472" s="4" t="s">
        <v>2681</v>
      </c>
      <c r="C472" s="4" t="s">
        <v>2811</v>
      </c>
      <c r="D472" s="4" t="s">
        <v>2812</v>
      </c>
      <c r="E472" s="10">
        <f>IFERROR(__xludf.DUMMYFUNCTION("SPLIT(B472,""T"")"),43469.0)</f>
        <v>43469</v>
      </c>
      <c r="F472" s="4" t="str">
        <f>IFERROR(__xludf.DUMMYFUNCTION("""COMPUTED_VALUE"""),"09:32:00Z")</f>
        <v>09:32:00Z</v>
      </c>
      <c r="G472" s="11" t="str">
        <f t="shared" si="1"/>
        <v>09:32:00</v>
      </c>
      <c r="H472" s="10">
        <f>IFERROR(__xludf.DUMMYFUNCTION("SPLIT(D472,""T"")"),43308.0)</f>
        <v>43308</v>
      </c>
      <c r="I472" s="4" t="str">
        <f>IFERROR(__xludf.DUMMYFUNCTION("""COMPUTED_VALUE"""),"13:28:00Z")</f>
        <v>13:28:00Z</v>
      </c>
      <c r="J472" s="4" t="str">
        <f t="shared" si="2"/>
        <v>13:28:00</v>
      </c>
      <c r="K472" s="4">
        <f t="shared" si="3"/>
        <v>161</v>
      </c>
      <c r="L472" s="4">
        <f t="shared" si="4"/>
        <v>-0.1638888889</v>
      </c>
      <c r="M472" s="4">
        <f t="shared" si="5"/>
        <v>160.8361111</v>
      </c>
    </row>
    <row r="473">
      <c r="A473" s="4" t="s">
        <v>320</v>
      </c>
      <c r="B473" s="4" t="s">
        <v>2681</v>
      </c>
      <c r="C473" s="4" t="s">
        <v>2682</v>
      </c>
      <c r="D473" s="4" t="s">
        <v>2683</v>
      </c>
      <c r="E473" s="10">
        <f>IFERROR(__xludf.DUMMYFUNCTION("SPLIT(B473,""T"")"),43469.0)</f>
        <v>43469</v>
      </c>
      <c r="F473" s="4" t="str">
        <f>IFERROR(__xludf.DUMMYFUNCTION("""COMPUTED_VALUE"""),"09:32:00Z")</f>
        <v>09:32:00Z</v>
      </c>
      <c r="G473" s="11" t="str">
        <f t="shared" si="1"/>
        <v>09:32:00</v>
      </c>
      <c r="H473" s="10">
        <f>IFERROR(__xludf.DUMMYFUNCTION("SPLIT(D473,""T"")"),43308.0)</f>
        <v>43308</v>
      </c>
      <c r="I473" s="4" t="str">
        <f>IFERROR(__xludf.DUMMYFUNCTION("""COMPUTED_VALUE"""),"13:32:00Z")</f>
        <v>13:32:00Z</v>
      </c>
      <c r="J473" s="4" t="str">
        <f t="shared" si="2"/>
        <v>13:32:00</v>
      </c>
      <c r="K473" s="4">
        <f t="shared" si="3"/>
        <v>161</v>
      </c>
      <c r="L473" s="4">
        <f t="shared" si="4"/>
        <v>-0.1666666667</v>
      </c>
      <c r="M473" s="4">
        <f t="shared" si="5"/>
        <v>160.8333333</v>
      </c>
    </row>
    <row r="474">
      <c r="A474" s="4" t="s">
        <v>19</v>
      </c>
      <c r="B474" s="4" t="s">
        <v>1827</v>
      </c>
      <c r="C474" s="4" t="s">
        <v>106</v>
      </c>
      <c r="D474" s="4" t="s">
        <v>2507</v>
      </c>
      <c r="E474" s="10">
        <f>IFERROR(__xludf.DUMMYFUNCTION("SPLIT(B474,""T"")"),43109.0)</f>
        <v>43109</v>
      </c>
      <c r="F474" s="4" t="str">
        <f>IFERROR(__xludf.DUMMYFUNCTION("""COMPUTED_VALUE"""),"12:16:00Z")</f>
        <v>12:16:00Z</v>
      </c>
      <c r="G474" s="11" t="str">
        <f t="shared" si="1"/>
        <v>12:16:00</v>
      </c>
      <c r="H474" s="10">
        <f>IFERROR(__xludf.DUMMYFUNCTION("SPLIT(D474,""T"")"),42948.0)</f>
        <v>42948</v>
      </c>
      <c r="I474" s="4" t="str">
        <f>IFERROR(__xludf.DUMMYFUNCTION("""COMPUTED_VALUE"""),"16:33:00Z")</f>
        <v>16:33:00Z</v>
      </c>
      <c r="J474" s="4" t="str">
        <f t="shared" si="2"/>
        <v>16:33:00</v>
      </c>
      <c r="K474" s="4">
        <f t="shared" si="3"/>
        <v>161</v>
      </c>
      <c r="L474" s="4">
        <f t="shared" si="4"/>
        <v>-0.1784722222</v>
      </c>
      <c r="M474" s="4">
        <f t="shared" si="5"/>
        <v>160.8215278</v>
      </c>
    </row>
    <row r="475">
      <c r="A475" s="4" t="s">
        <v>69</v>
      </c>
      <c r="B475" s="4" t="s">
        <v>2681</v>
      </c>
      <c r="C475" s="4" t="s">
        <v>2410</v>
      </c>
      <c r="D475" s="4" t="s">
        <v>2770</v>
      </c>
      <c r="E475" s="10">
        <f>IFERROR(__xludf.DUMMYFUNCTION("SPLIT(B475,""T"")"),43469.0)</f>
        <v>43469</v>
      </c>
      <c r="F475" s="4" t="str">
        <f>IFERROR(__xludf.DUMMYFUNCTION("""COMPUTED_VALUE"""),"09:32:00Z")</f>
        <v>09:32:00Z</v>
      </c>
      <c r="G475" s="11" t="str">
        <f t="shared" si="1"/>
        <v>09:32:00</v>
      </c>
      <c r="H475" s="10">
        <f>IFERROR(__xludf.DUMMYFUNCTION("SPLIT(D475,""T"")"),43308.0)</f>
        <v>43308</v>
      </c>
      <c r="I475" s="4" t="str">
        <f>IFERROR(__xludf.DUMMYFUNCTION("""COMPUTED_VALUE"""),"16:12:00Z")</f>
        <v>16:12:00Z</v>
      </c>
      <c r="J475" s="4" t="str">
        <f t="shared" si="2"/>
        <v>16:12:00</v>
      </c>
      <c r="K475" s="4">
        <f t="shared" si="3"/>
        <v>161</v>
      </c>
      <c r="L475" s="4">
        <f t="shared" si="4"/>
        <v>-0.2777777778</v>
      </c>
      <c r="M475" s="4">
        <f t="shared" si="5"/>
        <v>160.7222222</v>
      </c>
    </row>
    <row r="476">
      <c r="A476" s="4" t="s">
        <v>630</v>
      </c>
      <c r="B476" s="4" t="s">
        <v>1885</v>
      </c>
      <c r="C476" s="4" t="s">
        <v>2424</v>
      </c>
      <c r="D476" s="4" t="s">
        <v>2426</v>
      </c>
      <c r="E476" s="10">
        <f>IFERROR(__xludf.DUMMYFUNCTION("SPLIT(B476,""T"")"),43109.0)</f>
        <v>43109</v>
      </c>
      <c r="F476" s="4" t="str">
        <f>IFERROR(__xludf.DUMMYFUNCTION("""COMPUTED_VALUE"""),"12:17:00Z")</f>
        <v>12:17:00Z</v>
      </c>
      <c r="G476" s="11" t="str">
        <f t="shared" si="1"/>
        <v>12:17:00</v>
      </c>
      <c r="H476" s="10">
        <f>IFERROR(__xludf.DUMMYFUNCTION("SPLIT(D476,""T"")"),42949.0)</f>
        <v>42949</v>
      </c>
      <c r="I476" s="4" t="str">
        <f>IFERROR(__xludf.DUMMYFUNCTION("""COMPUTED_VALUE"""),"08:30:00Z")</f>
        <v>08:30:00Z</v>
      </c>
      <c r="J476" s="4" t="str">
        <f t="shared" si="2"/>
        <v>08:30:00</v>
      </c>
      <c r="K476" s="4">
        <f t="shared" si="3"/>
        <v>160</v>
      </c>
      <c r="L476" s="4">
        <f t="shared" si="4"/>
        <v>0.1576388889</v>
      </c>
      <c r="M476" s="4">
        <f t="shared" si="5"/>
        <v>160.1576389</v>
      </c>
    </row>
    <row r="477">
      <c r="A477" s="4" t="s">
        <v>149</v>
      </c>
      <c r="B477" s="4" t="s">
        <v>1885</v>
      </c>
      <c r="C477" s="4" t="s">
        <v>658</v>
      </c>
      <c r="D477" s="4" t="s">
        <v>2010</v>
      </c>
      <c r="E477" s="10">
        <f>IFERROR(__xludf.DUMMYFUNCTION("SPLIT(B477,""T"")"),43109.0)</f>
        <v>43109</v>
      </c>
      <c r="F477" s="4" t="str">
        <f>IFERROR(__xludf.DUMMYFUNCTION("""COMPUTED_VALUE"""),"12:17:00Z")</f>
        <v>12:17:00Z</v>
      </c>
      <c r="G477" s="11" t="str">
        <f t="shared" si="1"/>
        <v>12:17:00</v>
      </c>
      <c r="H477" s="10">
        <f>IFERROR(__xludf.DUMMYFUNCTION("SPLIT(D477,""T"")"),42949.0)</f>
        <v>42949</v>
      </c>
      <c r="I477" s="4" t="str">
        <f>IFERROR(__xludf.DUMMYFUNCTION("""COMPUTED_VALUE"""),"10:15:00Z")</f>
        <v>10:15:00Z</v>
      </c>
      <c r="J477" s="4" t="str">
        <f t="shared" si="2"/>
        <v>10:15:00</v>
      </c>
      <c r="K477" s="4">
        <f t="shared" si="3"/>
        <v>160</v>
      </c>
      <c r="L477" s="4">
        <f t="shared" si="4"/>
        <v>0.08472222222</v>
      </c>
      <c r="M477" s="4">
        <f t="shared" si="5"/>
        <v>160.0847222</v>
      </c>
    </row>
    <row r="478">
      <c r="A478" s="4" t="s">
        <v>149</v>
      </c>
      <c r="B478" s="4" t="s">
        <v>1885</v>
      </c>
      <c r="C478" s="4" t="s">
        <v>2263</v>
      </c>
      <c r="D478" s="4" t="s">
        <v>2264</v>
      </c>
      <c r="E478" s="10">
        <f>IFERROR(__xludf.DUMMYFUNCTION("SPLIT(B478,""T"")"),43109.0)</f>
        <v>43109</v>
      </c>
      <c r="F478" s="4" t="str">
        <f>IFERROR(__xludf.DUMMYFUNCTION("""COMPUTED_VALUE"""),"12:17:00Z")</f>
        <v>12:17:00Z</v>
      </c>
      <c r="G478" s="11" t="str">
        <f t="shared" si="1"/>
        <v>12:17:00</v>
      </c>
      <c r="H478" s="10">
        <f>IFERROR(__xludf.DUMMYFUNCTION("SPLIT(D478,""T"")"),42949.0)</f>
        <v>42949</v>
      </c>
      <c r="I478" s="4" t="str">
        <f>IFERROR(__xludf.DUMMYFUNCTION("""COMPUTED_VALUE"""),"10:33:00Z")</f>
        <v>10:33:00Z</v>
      </c>
      <c r="J478" s="4" t="str">
        <f t="shared" si="2"/>
        <v>10:33:00</v>
      </c>
      <c r="K478" s="4">
        <f t="shared" si="3"/>
        <v>160</v>
      </c>
      <c r="L478" s="4">
        <f t="shared" si="4"/>
        <v>0.07222222222</v>
      </c>
      <c r="M478" s="4">
        <f t="shared" si="5"/>
        <v>160.0722222</v>
      </c>
    </row>
    <row r="479">
      <c r="A479" s="4" t="s">
        <v>630</v>
      </c>
      <c r="B479" s="4" t="s">
        <v>1827</v>
      </c>
      <c r="C479" s="4" t="s">
        <v>2424</v>
      </c>
      <c r="D479" s="4" t="s">
        <v>2425</v>
      </c>
      <c r="E479" s="10">
        <f>IFERROR(__xludf.DUMMYFUNCTION("SPLIT(B479,""T"")"),43109.0)</f>
        <v>43109</v>
      </c>
      <c r="F479" s="4" t="str">
        <f>IFERROR(__xludf.DUMMYFUNCTION("""COMPUTED_VALUE"""),"12:16:00Z")</f>
        <v>12:16:00Z</v>
      </c>
      <c r="G479" s="11" t="str">
        <f t="shared" si="1"/>
        <v>12:16:00</v>
      </c>
      <c r="H479" s="10">
        <f>IFERROR(__xludf.DUMMYFUNCTION("SPLIT(D479,""T"")"),42949.0)</f>
        <v>42949</v>
      </c>
      <c r="I479" s="4" t="str">
        <f>IFERROR(__xludf.DUMMYFUNCTION("""COMPUTED_VALUE"""),"11:13:00Z")</f>
        <v>11:13:00Z</v>
      </c>
      <c r="J479" s="4" t="str">
        <f t="shared" si="2"/>
        <v>11:13:00</v>
      </c>
      <c r="K479" s="4">
        <f t="shared" si="3"/>
        <v>160</v>
      </c>
      <c r="L479" s="4">
        <f t="shared" si="4"/>
        <v>0.04375</v>
      </c>
      <c r="M479" s="4">
        <f t="shared" si="5"/>
        <v>160.04375</v>
      </c>
    </row>
    <row r="480">
      <c r="A480" s="4" t="s">
        <v>62</v>
      </c>
      <c r="B480" s="4" t="s">
        <v>2864</v>
      </c>
      <c r="C480" s="4" t="s">
        <v>1683</v>
      </c>
      <c r="D480" s="4" t="s">
        <v>2865</v>
      </c>
      <c r="E480" s="10">
        <f>IFERROR(__xludf.DUMMYFUNCTION("SPLIT(B480,""T"")"),43469.0)</f>
        <v>43469</v>
      </c>
      <c r="F480" s="4" t="str">
        <f>IFERROR(__xludf.DUMMYFUNCTION("""COMPUTED_VALUE"""),"09:31:00Z")</f>
        <v>09:31:00Z</v>
      </c>
      <c r="G480" s="11" t="str">
        <f t="shared" si="1"/>
        <v>09:31:00</v>
      </c>
      <c r="H480" s="10">
        <f>IFERROR(__xludf.DUMMYFUNCTION("SPLIT(D480,""T"")"),43309.0)</f>
        <v>43309</v>
      </c>
      <c r="I480" s="4" t="str">
        <f>IFERROR(__xludf.DUMMYFUNCTION("""COMPUTED_VALUE"""),"15:14:00Z")</f>
        <v>15:14:00Z</v>
      </c>
      <c r="J480" s="4" t="str">
        <f t="shared" si="2"/>
        <v>15:14:00</v>
      </c>
      <c r="K480" s="4">
        <f t="shared" si="3"/>
        <v>160</v>
      </c>
      <c r="L480" s="4">
        <f t="shared" si="4"/>
        <v>-0.2381944444</v>
      </c>
      <c r="M480" s="4">
        <f t="shared" si="5"/>
        <v>159.7618056</v>
      </c>
    </row>
    <row r="481">
      <c r="A481" s="4" t="s">
        <v>94</v>
      </c>
      <c r="B481" s="4" t="s">
        <v>1885</v>
      </c>
      <c r="C481" s="4" t="s">
        <v>461</v>
      </c>
      <c r="D481" s="4" t="s">
        <v>1886</v>
      </c>
      <c r="E481" s="10">
        <f>IFERROR(__xludf.DUMMYFUNCTION("SPLIT(B481,""T"")"),43109.0)</f>
        <v>43109</v>
      </c>
      <c r="F481" s="4" t="str">
        <f>IFERROR(__xludf.DUMMYFUNCTION("""COMPUTED_VALUE"""),"12:17:00Z")</f>
        <v>12:17:00Z</v>
      </c>
      <c r="G481" s="11" t="str">
        <f t="shared" si="1"/>
        <v>12:17:00</v>
      </c>
      <c r="H481" s="10">
        <f>IFERROR(__xludf.DUMMYFUNCTION("SPLIT(D481,""T"")"),42949.0)</f>
        <v>42949</v>
      </c>
      <c r="I481" s="4" t="str">
        <f>IFERROR(__xludf.DUMMYFUNCTION("""COMPUTED_VALUE"""),"18:00:00Z")</f>
        <v>18:00:00Z</v>
      </c>
      <c r="J481" s="4" t="str">
        <f t="shared" si="2"/>
        <v>18:00:00</v>
      </c>
      <c r="K481" s="4">
        <f t="shared" si="3"/>
        <v>160</v>
      </c>
      <c r="L481" s="4">
        <f t="shared" si="4"/>
        <v>-0.2381944444</v>
      </c>
      <c r="M481" s="4">
        <f t="shared" si="5"/>
        <v>159.7618056</v>
      </c>
    </row>
    <row r="482">
      <c r="A482" s="4" t="s">
        <v>27</v>
      </c>
      <c r="B482" s="4" t="s">
        <v>2914</v>
      </c>
      <c r="C482" s="4" t="s">
        <v>3120</v>
      </c>
      <c r="D482" s="4" t="s">
        <v>3121</v>
      </c>
      <c r="E482" s="10">
        <f>IFERROR(__xludf.DUMMYFUNCTION("SPLIT(B482,""T"")"),43469.0)</f>
        <v>43469</v>
      </c>
      <c r="F482" s="4" t="str">
        <f>IFERROR(__xludf.DUMMYFUNCTION("""COMPUTED_VALUE"""),"09:30:00Z")</f>
        <v>09:30:00Z</v>
      </c>
      <c r="G482" s="11" t="str">
        <f t="shared" si="1"/>
        <v>09:30:00</v>
      </c>
      <c r="H482" s="10">
        <f>IFERROR(__xludf.DUMMYFUNCTION("SPLIT(D482,""T"")"),43309.0)</f>
        <v>43309</v>
      </c>
      <c r="I482" s="4" t="str">
        <f>IFERROR(__xludf.DUMMYFUNCTION("""COMPUTED_VALUE"""),"15:38:00Z")</f>
        <v>15:38:00Z</v>
      </c>
      <c r="J482" s="4" t="str">
        <f t="shared" si="2"/>
        <v>15:38:00</v>
      </c>
      <c r="K482" s="4">
        <f t="shared" si="3"/>
        <v>160</v>
      </c>
      <c r="L482" s="4">
        <f t="shared" si="4"/>
        <v>-0.2555555556</v>
      </c>
      <c r="M482" s="4">
        <f t="shared" si="5"/>
        <v>159.7444444</v>
      </c>
    </row>
    <row r="483">
      <c r="A483" s="4" t="s">
        <v>166</v>
      </c>
      <c r="B483" s="4" t="s">
        <v>2914</v>
      </c>
      <c r="C483" s="4" t="s">
        <v>2915</v>
      </c>
      <c r="D483" s="4" t="s">
        <v>2916</v>
      </c>
      <c r="E483" s="10">
        <f>IFERROR(__xludf.DUMMYFUNCTION("SPLIT(B483,""T"")"),43469.0)</f>
        <v>43469</v>
      </c>
      <c r="F483" s="4" t="str">
        <f>IFERROR(__xludf.DUMMYFUNCTION("""COMPUTED_VALUE"""),"09:30:00Z")</f>
        <v>09:30:00Z</v>
      </c>
      <c r="G483" s="11" t="str">
        <f t="shared" si="1"/>
        <v>09:30:00</v>
      </c>
      <c r="H483" s="10">
        <f>IFERROR(__xludf.DUMMYFUNCTION("SPLIT(D483,""T"")"),43309.0)</f>
        <v>43309</v>
      </c>
      <c r="I483" s="4" t="str">
        <f>IFERROR(__xludf.DUMMYFUNCTION("""COMPUTED_VALUE"""),"16:30:00Z")</f>
        <v>16:30:00Z</v>
      </c>
      <c r="J483" s="4" t="str">
        <f t="shared" si="2"/>
        <v>16:30:00</v>
      </c>
      <c r="K483" s="4">
        <f t="shared" si="3"/>
        <v>160</v>
      </c>
      <c r="L483" s="4">
        <f t="shared" si="4"/>
        <v>-0.2916666667</v>
      </c>
      <c r="M483" s="4">
        <f t="shared" si="5"/>
        <v>159.7083333</v>
      </c>
    </row>
    <row r="484">
      <c r="A484" s="4" t="s">
        <v>50</v>
      </c>
      <c r="B484" s="4" t="s">
        <v>1885</v>
      </c>
      <c r="C484" s="4" t="s">
        <v>2225</v>
      </c>
      <c r="D484" s="4" t="s">
        <v>2226</v>
      </c>
      <c r="E484" s="10">
        <f>IFERROR(__xludf.DUMMYFUNCTION("SPLIT(B484,""T"")"),43109.0)</f>
        <v>43109</v>
      </c>
      <c r="F484" s="4" t="str">
        <f>IFERROR(__xludf.DUMMYFUNCTION("""COMPUTED_VALUE"""),"12:17:00Z")</f>
        <v>12:17:00Z</v>
      </c>
      <c r="G484" s="11" t="str">
        <f t="shared" si="1"/>
        <v>12:17:00</v>
      </c>
      <c r="H484" s="10">
        <f>IFERROR(__xludf.DUMMYFUNCTION("SPLIT(D484,""T"")"),42950.0)</f>
        <v>42950</v>
      </c>
      <c r="I484" s="4" t="str">
        <f>IFERROR(__xludf.DUMMYFUNCTION("""COMPUTED_VALUE"""),"11:58:00Z")</f>
        <v>11:58:00Z</v>
      </c>
      <c r="J484" s="4" t="str">
        <f t="shared" si="2"/>
        <v>11:58:00</v>
      </c>
      <c r="K484" s="4">
        <f t="shared" si="3"/>
        <v>159</v>
      </c>
      <c r="L484" s="4">
        <f t="shared" si="4"/>
        <v>0.01319444444</v>
      </c>
      <c r="M484" s="4">
        <f t="shared" si="5"/>
        <v>159.0131944</v>
      </c>
    </row>
    <row r="485">
      <c r="A485" s="4" t="s">
        <v>145</v>
      </c>
      <c r="B485" s="4" t="s">
        <v>1829</v>
      </c>
      <c r="C485" s="4" t="s">
        <v>1830</v>
      </c>
      <c r="D485" s="4" t="s">
        <v>1831</v>
      </c>
      <c r="E485" s="10">
        <f>IFERROR(__xludf.DUMMYFUNCTION("SPLIT(B485,""T"")"),43109.0)</f>
        <v>43109</v>
      </c>
      <c r="F485" s="4" t="str">
        <f>IFERROR(__xludf.DUMMYFUNCTION("""COMPUTED_VALUE"""),"12:18:00Z")</f>
        <v>12:18:00Z</v>
      </c>
      <c r="G485" s="11" t="str">
        <f t="shared" si="1"/>
        <v>12:18:00</v>
      </c>
      <c r="H485" s="10">
        <f>IFERROR(__xludf.DUMMYFUNCTION("SPLIT(D485,""T"")"),42950.0)</f>
        <v>42950</v>
      </c>
      <c r="I485" s="4" t="str">
        <f>IFERROR(__xludf.DUMMYFUNCTION("""COMPUTED_VALUE"""),"14:00:00Z")</f>
        <v>14:00:00Z</v>
      </c>
      <c r="J485" s="4" t="str">
        <f t="shared" si="2"/>
        <v>14:00:00</v>
      </c>
      <c r="K485" s="4">
        <f t="shared" si="3"/>
        <v>159</v>
      </c>
      <c r="L485" s="4">
        <f t="shared" si="4"/>
        <v>-0.07083333333</v>
      </c>
      <c r="M485" s="4">
        <f t="shared" si="5"/>
        <v>158.9291667</v>
      </c>
    </row>
    <row r="486" hidden="1">
      <c r="A486" s="4" t="s">
        <v>54</v>
      </c>
      <c r="B486" s="4" t="s">
        <v>1400</v>
      </c>
      <c r="C486" s="4" t="s">
        <v>1401</v>
      </c>
      <c r="D486" s="4" t="s">
        <v>1402</v>
      </c>
      <c r="E486" s="10">
        <f>IFERROR(__xludf.DUMMYFUNCTION("SPLIT(B486,""T"")"),42626.0)</f>
        <v>42626</v>
      </c>
      <c r="F486" s="4" t="str">
        <f>IFERROR(__xludf.DUMMYFUNCTION("""COMPUTED_VALUE"""),"14:30:00Z")</f>
        <v>14:30:00Z</v>
      </c>
      <c r="G486" s="11" t="str">
        <f t="shared" si="1"/>
        <v>14:30:00</v>
      </c>
      <c r="H486" s="10">
        <f>IFERROR(__xludf.DUMMYFUNCTION("SPLIT(D486,""T"")"),42626.0)</f>
        <v>42626</v>
      </c>
      <c r="I486" s="4" t="str">
        <f>IFERROR(__xludf.DUMMYFUNCTION("""COMPUTED_VALUE"""),"23:10:00Z")</f>
        <v>23:10:00Z</v>
      </c>
      <c r="J486" s="4" t="str">
        <f t="shared" si="2"/>
        <v>23:10:00</v>
      </c>
      <c r="K486" s="4">
        <f t="shared" si="3"/>
        <v>0</v>
      </c>
      <c r="L486" s="4">
        <f t="shared" si="4"/>
        <v>-0.3611111111</v>
      </c>
      <c r="M486" s="4">
        <f t="shared" si="5"/>
        <v>-0.3611111111</v>
      </c>
    </row>
    <row r="487">
      <c r="A487" s="4" t="s">
        <v>134</v>
      </c>
      <c r="B487" s="4" t="s">
        <v>1829</v>
      </c>
      <c r="C487" s="4" t="s">
        <v>2057</v>
      </c>
      <c r="D487" s="4" t="s">
        <v>2058</v>
      </c>
      <c r="E487" s="10">
        <f>IFERROR(__xludf.DUMMYFUNCTION("SPLIT(B487,""T"")"),43109.0)</f>
        <v>43109</v>
      </c>
      <c r="F487" s="4" t="str">
        <f>IFERROR(__xludf.DUMMYFUNCTION("""COMPUTED_VALUE"""),"12:18:00Z")</f>
        <v>12:18:00Z</v>
      </c>
      <c r="G487" s="11" t="str">
        <f t="shared" si="1"/>
        <v>12:18:00</v>
      </c>
      <c r="H487" s="10">
        <f>IFERROR(__xludf.DUMMYFUNCTION("SPLIT(D487,""T"")"),42950.0)</f>
        <v>42950</v>
      </c>
      <c r="I487" s="4" t="str">
        <f>IFERROR(__xludf.DUMMYFUNCTION("""COMPUTED_VALUE"""),"15:35:00Z")</f>
        <v>15:35:00Z</v>
      </c>
      <c r="J487" s="4" t="str">
        <f t="shared" si="2"/>
        <v>15:35:00</v>
      </c>
      <c r="K487" s="4">
        <f t="shared" si="3"/>
        <v>159</v>
      </c>
      <c r="L487" s="4">
        <f t="shared" si="4"/>
        <v>-0.1368055556</v>
      </c>
      <c r="M487" s="4">
        <f t="shared" si="5"/>
        <v>158.8631944</v>
      </c>
    </row>
    <row r="488">
      <c r="A488" s="4" t="s">
        <v>23</v>
      </c>
      <c r="B488" s="4" t="s">
        <v>1829</v>
      </c>
      <c r="C488" s="4" t="s">
        <v>2595</v>
      </c>
      <c r="D488" s="4" t="s">
        <v>2596</v>
      </c>
      <c r="E488" s="10">
        <f>IFERROR(__xludf.DUMMYFUNCTION("SPLIT(B488,""T"")"),43109.0)</f>
        <v>43109</v>
      </c>
      <c r="F488" s="4" t="str">
        <f>IFERROR(__xludf.DUMMYFUNCTION("""COMPUTED_VALUE"""),"12:18:00Z")</f>
        <v>12:18:00Z</v>
      </c>
      <c r="G488" s="11" t="str">
        <f t="shared" si="1"/>
        <v>12:18:00</v>
      </c>
      <c r="H488" s="10">
        <f>IFERROR(__xludf.DUMMYFUNCTION("SPLIT(D488,""T"")"),42950.0)</f>
        <v>42950</v>
      </c>
      <c r="I488" s="4" t="str">
        <f>IFERROR(__xludf.DUMMYFUNCTION("""COMPUTED_VALUE"""),"16:21:00Z")</f>
        <v>16:21:00Z</v>
      </c>
      <c r="J488" s="4" t="str">
        <f t="shared" si="2"/>
        <v>16:21:00</v>
      </c>
      <c r="K488" s="4">
        <f t="shared" si="3"/>
        <v>159</v>
      </c>
      <c r="L488" s="4">
        <f t="shared" si="4"/>
        <v>-0.16875</v>
      </c>
      <c r="M488" s="4">
        <f t="shared" si="5"/>
        <v>158.83125</v>
      </c>
    </row>
    <row r="489">
      <c r="A489" s="4" t="s">
        <v>50</v>
      </c>
      <c r="B489" s="4" t="s">
        <v>1829</v>
      </c>
      <c r="C489" s="4" t="s">
        <v>2441</v>
      </c>
      <c r="D489" s="4" t="s">
        <v>2442</v>
      </c>
      <c r="E489" s="10">
        <f>IFERROR(__xludf.DUMMYFUNCTION("SPLIT(B489,""T"")"),43109.0)</f>
        <v>43109</v>
      </c>
      <c r="F489" s="4" t="str">
        <f>IFERROR(__xludf.DUMMYFUNCTION("""COMPUTED_VALUE"""),"12:18:00Z")</f>
        <v>12:18:00Z</v>
      </c>
      <c r="G489" s="11" t="str">
        <f t="shared" si="1"/>
        <v>12:18:00</v>
      </c>
      <c r="H489" s="10">
        <f>IFERROR(__xludf.DUMMYFUNCTION("SPLIT(D489,""T"")"),42950.0)</f>
        <v>42950</v>
      </c>
      <c r="I489" s="4" t="str">
        <f>IFERROR(__xludf.DUMMYFUNCTION("""COMPUTED_VALUE"""),"16:41:00Z")</f>
        <v>16:41:00Z</v>
      </c>
      <c r="J489" s="4" t="str">
        <f t="shared" si="2"/>
        <v>16:41:00</v>
      </c>
      <c r="K489" s="4">
        <f t="shared" si="3"/>
        <v>159</v>
      </c>
      <c r="L489" s="4">
        <f t="shared" si="4"/>
        <v>-0.1826388889</v>
      </c>
      <c r="M489" s="4">
        <f t="shared" si="5"/>
        <v>158.8173611</v>
      </c>
    </row>
    <row r="490" hidden="1">
      <c r="A490" s="4" t="s">
        <v>69</v>
      </c>
      <c r="B490" s="4" t="s">
        <v>1410</v>
      </c>
      <c r="C490" s="4" t="s">
        <v>1411</v>
      </c>
      <c r="D490" s="4" t="s">
        <v>1410</v>
      </c>
      <c r="E490" s="10">
        <f>IFERROR(__xludf.DUMMYFUNCTION("SPLIT(B490,""T"")"),42610.0)</f>
        <v>42610</v>
      </c>
      <c r="F490" s="4" t="str">
        <f>IFERROR(__xludf.DUMMYFUNCTION("""COMPUTED_VALUE"""),"18:50:00Z")</f>
        <v>18:50:00Z</v>
      </c>
      <c r="G490" s="11" t="str">
        <f t="shared" si="1"/>
        <v>18:50:00</v>
      </c>
      <c r="H490" s="10">
        <f>IFERROR(__xludf.DUMMYFUNCTION("SPLIT(D490,""T"")"),42610.0)</f>
        <v>42610</v>
      </c>
      <c r="I490" s="4" t="str">
        <f>IFERROR(__xludf.DUMMYFUNCTION("""COMPUTED_VALUE"""),"18:50:00Z")</f>
        <v>18:50:00Z</v>
      </c>
      <c r="J490" s="4" t="str">
        <f t="shared" si="2"/>
        <v>18:50:00</v>
      </c>
      <c r="K490" s="4">
        <f t="shared" si="3"/>
        <v>0</v>
      </c>
      <c r="L490" s="4">
        <f t="shared" si="4"/>
        <v>0</v>
      </c>
      <c r="M490" s="4">
        <f t="shared" si="5"/>
        <v>0</v>
      </c>
    </row>
    <row r="491">
      <c r="A491" s="4" t="s">
        <v>58</v>
      </c>
      <c r="B491" s="4" t="s">
        <v>2771</v>
      </c>
      <c r="C491" s="4" t="s">
        <v>2536</v>
      </c>
      <c r="D491" s="4" t="s">
        <v>3093</v>
      </c>
      <c r="E491" s="10">
        <f>IFERROR(__xludf.DUMMYFUNCTION("SPLIT(B491,""T"")"),43469.0)</f>
        <v>43469</v>
      </c>
      <c r="F491" s="4" t="str">
        <f>IFERROR(__xludf.DUMMYFUNCTION("""COMPUTED_VALUE"""),"09:29:00Z")</f>
        <v>09:29:00Z</v>
      </c>
      <c r="G491" s="11" t="str">
        <f t="shared" si="1"/>
        <v>09:29:00</v>
      </c>
      <c r="H491" s="10">
        <f>IFERROR(__xludf.DUMMYFUNCTION("SPLIT(D491,""T"")"),43310.0)</f>
        <v>43310</v>
      </c>
      <c r="I491" s="4" t="str">
        <f>IFERROR(__xludf.DUMMYFUNCTION("""COMPUTED_VALUE"""),"16:22:00Z")</f>
        <v>16:22:00Z</v>
      </c>
      <c r="J491" s="4" t="str">
        <f t="shared" si="2"/>
        <v>16:22:00</v>
      </c>
      <c r="K491" s="4">
        <f t="shared" si="3"/>
        <v>159</v>
      </c>
      <c r="L491" s="4">
        <f t="shared" si="4"/>
        <v>-0.2868055556</v>
      </c>
      <c r="M491" s="4">
        <f t="shared" si="5"/>
        <v>158.7131944</v>
      </c>
    </row>
    <row r="492">
      <c r="A492" s="4" t="s">
        <v>27</v>
      </c>
      <c r="B492" s="4" t="s">
        <v>2164</v>
      </c>
      <c r="C492" s="4" t="s">
        <v>2165</v>
      </c>
      <c r="D492" s="4" t="s">
        <v>2166</v>
      </c>
      <c r="E492" s="10">
        <f>IFERROR(__xludf.DUMMYFUNCTION("SPLIT(B492,""T"")"),43109.0)</f>
        <v>43109</v>
      </c>
      <c r="F492" s="4" t="str">
        <f>IFERROR(__xludf.DUMMYFUNCTION("""COMPUTED_VALUE"""),"12:19:00Z")</f>
        <v>12:19:00Z</v>
      </c>
      <c r="G492" s="11" t="str">
        <f t="shared" si="1"/>
        <v>12:19:00</v>
      </c>
      <c r="H492" s="10">
        <f>IFERROR(__xludf.DUMMYFUNCTION("SPLIT(D492,""T"")"),42951.0)</f>
        <v>42951</v>
      </c>
      <c r="I492" s="4" t="str">
        <f>IFERROR(__xludf.DUMMYFUNCTION("""COMPUTED_VALUE"""),"14:25:00Z")</f>
        <v>14:25:00Z</v>
      </c>
      <c r="J492" s="4" t="str">
        <f t="shared" si="2"/>
        <v>14:25:00</v>
      </c>
      <c r="K492" s="4">
        <f t="shared" si="3"/>
        <v>158</v>
      </c>
      <c r="L492" s="4">
        <f t="shared" si="4"/>
        <v>-0.0875</v>
      </c>
      <c r="M492" s="4">
        <f t="shared" si="5"/>
        <v>157.9125</v>
      </c>
    </row>
    <row r="493">
      <c r="A493" s="4" t="s">
        <v>69</v>
      </c>
      <c r="B493" s="4" t="s">
        <v>2164</v>
      </c>
      <c r="C493" s="4" t="s">
        <v>2329</v>
      </c>
      <c r="D493" s="4" t="s">
        <v>2330</v>
      </c>
      <c r="E493" s="10">
        <f>IFERROR(__xludf.DUMMYFUNCTION("SPLIT(B493,""T"")"),43109.0)</f>
        <v>43109</v>
      </c>
      <c r="F493" s="4" t="str">
        <f>IFERROR(__xludf.DUMMYFUNCTION("""COMPUTED_VALUE"""),"12:19:00Z")</f>
        <v>12:19:00Z</v>
      </c>
      <c r="G493" s="11" t="str">
        <f t="shared" si="1"/>
        <v>12:19:00</v>
      </c>
      <c r="H493" s="10">
        <f>IFERROR(__xludf.DUMMYFUNCTION("SPLIT(D493,""T"")"),42952.0)</f>
        <v>42952</v>
      </c>
      <c r="I493" s="4" t="str">
        <f>IFERROR(__xludf.DUMMYFUNCTION("""COMPUTED_VALUE"""),"13:16:00Z")</f>
        <v>13:16:00Z</v>
      </c>
      <c r="J493" s="4" t="str">
        <f t="shared" si="2"/>
        <v>13:16:00</v>
      </c>
      <c r="K493" s="4">
        <f t="shared" si="3"/>
        <v>157</v>
      </c>
      <c r="L493" s="4">
        <f t="shared" si="4"/>
        <v>-0.03958333333</v>
      </c>
      <c r="M493" s="4">
        <f t="shared" si="5"/>
        <v>156.9604167</v>
      </c>
    </row>
    <row r="494">
      <c r="A494" s="4" t="s">
        <v>162</v>
      </c>
      <c r="B494" s="4" t="s">
        <v>2771</v>
      </c>
      <c r="C494" s="4" t="s">
        <v>2309</v>
      </c>
      <c r="D494" s="4" t="s">
        <v>2816</v>
      </c>
      <c r="E494" s="10">
        <f>IFERROR(__xludf.DUMMYFUNCTION("SPLIT(B494,""T"")"),43469.0)</f>
        <v>43469</v>
      </c>
      <c r="F494" s="4" t="str">
        <f>IFERROR(__xludf.DUMMYFUNCTION("""COMPUTED_VALUE"""),"09:29:00Z")</f>
        <v>09:29:00Z</v>
      </c>
      <c r="G494" s="11" t="str">
        <f t="shared" si="1"/>
        <v>09:29:00</v>
      </c>
      <c r="H494" s="10">
        <f>IFERROR(__xludf.DUMMYFUNCTION("SPLIT(D494,""T"")"),43312.0)</f>
        <v>43312</v>
      </c>
      <c r="I494" s="4" t="str">
        <f>IFERROR(__xludf.DUMMYFUNCTION("""COMPUTED_VALUE"""),"15:07:00Z")</f>
        <v>15:07:00Z</v>
      </c>
      <c r="J494" s="4" t="str">
        <f t="shared" si="2"/>
        <v>15:07:00</v>
      </c>
      <c r="K494" s="4">
        <f t="shared" si="3"/>
        <v>157</v>
      </c>
      <c r="L494" s="4">
        <f t="shared" si="4"/>
        <v>-0.2347222222</v>
      </c>
      <c r="M494" s="4">
        <f t="shared" si="5"/>
        <v>156.7652778</v>
      </c>
    </row>
    <row r="495">
      <c r="A495" s="4" t="s">
        <v>313</v>
      </c>
      <c r="B495" s="4" t="s">
        <v>2771</v>
      </c>
      <c r="C495" s="4" t="s">
        <v>2772</v>
      </c>
      <c r="D495" s="4" t="s">
        <v>2773</v>
      </c>
      <c r="E495" s="10">
        <f>IFERROR(__xludf.DUMMYFUNCTION("SPLIT(B495,""T"")"),43469.0)</f>
        <v>43469</v>
      </c>
      <c r="F495" s="4" t="str">
        <f>IFERROR(__xludf.DUMMYFUNCTION("""COMPUTED_VALUE"""),"09:29:00Z")</f>
        <v>09:29:00Z</v>
      </c>
      <c r="G495" s="11" t="str">
        <f t="shared" si="1"/>
        <v>09:29:00</v>
      </c>
      <c r="H495" s="10">
        <f>IFERROR(__xludf.DUMMYFUNCTION("SPLIT(D495,""T"")"),43312.0)</f>
        <v>43312</v>
      </c>
      <c r="I495" s="4" t="str">
        <f>IFERROR(__xludf.DUMMYFUNCTION("""COMPUTED_VALUE"""),"15:28:00Z")</f>
        <v>15:28:00Z</v>
      </c>
      <c r="J495" s="4" t="str">
        <f t="shared" si="2"/>
        <v>15:28:00</v>
      </c>
      <c r="K495" s="4">
        <f t="shared" si="3"/>
        <v>157</v>
      </c>
      <c r="L495" s="4">
        <f t="shared" si="4"/>
        <v>-0.2493055556</v>
      </c>
      <c r="M495" s="4">
        <f t="shared" si="5"/>
        <v>156.7506944</v>
      </c>
    </row>
    <row r="496">
      <c r="A496" s="4" t="s">
        <v>1412</v>
      </c>
      <c r="B496" s="4" t="s">
        <v>2763</v>
      </c>
      <c r="C496" s="4" t="s">
        <v>348</v>
      </c>
      <c r="D496" s="4" t="s">
        <v>2764</v>
      </c>
      <c r="E496" s="10">
        <f>IFERROR(__xludf.DUMMYFUNCTION("SPLIT(B496,""T"")"),43469.0)</f>
        <v>43469</v>
      </c>
      <c r="F496" s="4" t="str">
        <f>IFERROR(__xludf.DUMMYFUNCTION("""COMPUTED_VALUE"""),"09:28:00Z")</f>
        <v>09:28:00Z</v>
      </c>
      <c r="G496" s="11" t="str">
        <f t="shared" si="1"/>
        <v>09:28:00</v>
      </c>
      <c r="H496" s="10">
        <f>IFERROR(__xludf.DUMMYFUNCTION("SPLIT(D496,""T"")"),43312.0)</f>
        <v>43312</v>
      </c>
      <c r="I496" s="4" t="str">
        <f>IFERROR(__xludf.DUMMYFUNCTION("""COMPUTED_VALUE"""),"17:34:00Z")</f>
        <v>17:34:00Z</v>
      </c>
      <c r="J496" s="4" t="str">
        <f t="shared" si="2"/>
        <v>17:34:00</v>
      </c>
      <c r="K496" s="4">
        <f t="shared" si="3"/>
        <v>157</v>
      </c>
      <c r="L496" s="4">
        <f t="shared" si="4"/>
        <v>-0.3375</v>
      </c>
      <c r="M496" s="4">
        <f t="shared" si="5"/>
        <v>156.6625</v>
      </c>
    </row>
    <row r="497">
      <c r="A497" s="4" t="s">
        <v>320</v>
      </c>
      <c r="B497" s="4" t="s">
        <v>1952</v>
      </c>
      <c r="C497" s="4" t="s">
        <v>2000</v>
      </c>
      <c r="D497" s="4" t="s">
        <v>2001</v>
      </c>
      <c r="E497" s="10">
        <f>IFERROR(__xludf.DUMMYFUNCTION("SPLIT(B497,""T"")"),43109.0)</f>
        <v>43109</v>
      </c>
      <c r="F497" s="4" t="str">
        <f>IFERROR(__xludf.DUMMYFUNCTION("""COMPUTED_VALUE"""),"12:20:00Z")</f>
        <v>12:20:00Z</v>
      </c>
      <c r="G497" s="11" t="str">
        <f t="shared" si="1"/>
        <v>12:20:00</v>
      </c>
      <c r="H497" s="10">
        <f>IFERROR(__xludf.DUMMYFUNCTION("SPLIT(D497,""T"")"),42953.0)</f>
        <v>42953</v>
      </c>
      <c r="I497" s="4" t="str">
        <f>IFERROR(__xludf.DUMMYFUNCTION("""COMPUTED_VALUE"""),"15:29:00Z")</f>
        <v>15:29:00Z</v>
      </c>
      <c r="J497" s="4" t="str">
        <f t="shared" si="2"/>
        <v>15:29:00</v>
      </c>
      <c r="K497" s="4">
        <f t="shared" si="3"/>
        <v>156</v>
      </c>
      <c r="L497" s="4">
        <f t="shared" si="4"/>
        <v>-0.13125</v>
      </c>
      <c r="M497" s="4">
        <f t="shared" si="5"/>
        <v>155.86875</v>
      </c>
    </row>
    <row r="498">
      <c r="A498" s="4" t="s">
        <v>138</v>
      </c>
      <c r="B498" s="4" t="s">
        <v>1952</v>
      </c>
      <c r="C498" s="4" t="s">
        <v>1953</v>
      </c>
      <c r="D498" s="4" t="s">
        <v>1954</v>
      </c>
      <c r="E498" s="10">
        <f>IFERROR(__xludf.DUMMYFUNCTION("SPLIT(B498,""T"")"),43109.0)</f>
        <v>43109</v>
      </c>
      <c r="F498" s="4" t="str">
        <f>IFERROR(__xludf.DUMMYFUNCTION("""COMPUTED_VALUE"""),"12:20:00Z")</f>
        <v>12:20:00Z</v>
      </c>
      <c r="G498" s="11" t="str">
        <f t="shared" si="1"/>
        <v>12:20:00</v>
      </c>
      <c r="H498" s="10">
        <f>IFERROR(__xludf.DUMMYFUNCTION("SPLIT(D498,""T"")"),42953.0)</f>
        <v>42953</v>
      </c>
      <c r="I498" s="4" t="str">
        <f>IFERROR(__xludf.DUMMYFUNCTION("""COMPUTED_VALUE"""),"15:32:00Z")</f>
        <v>15:32:00Z</v>
      </c>
      <c r="J498" s="4" t="str">
        <f t="shared" si="2"/>
        <v>15:32:00</v>
      </c>
      <c r="K498" s="4">
        <f t="shared" si="3"/>
        <v>156</v>
      </c>
      <c r="L498" s="4">
        <f t="shared" si="4"/>
        <v>-0.1333333333</v>
      </c>
      <c r="M498" s="4">
        <f t="shared" si="5"/>
        <v>155.8666667</v>
      </c>
    </row>
    <row r="499">
      <c r="A499" s="4" t="s">
        <v>31</v>
      </c>
      <c r="B499" s="4" t="s">
        <v>2763</v>
      </c>
      <c r="C499" s="4" t="s">
        <v>2783</v>
      </c>
      <c r="D499" s="4" t="s">
        <v>2784</v>
      </c>
      <c r="E499" s="10">
        <f>IFERROR(__xludf.DUMMYFUNCTION("SPLIT(B499,""T"")"),43469.0)</f>
        <v>43469</v>
      </c>
      <c r="F499" s="4" t="str">
        <f>IFERROR(__xludf.DUMMYFUNCTION("""COMPUTED_VALUE"""),"09:28:00Z")</f>
        <v>09:28:00Z</v>
      </c>
      <c r="G499" s="11" t="str">
        <f t="shared" si="1"/>
        <v>09:28:00</v>
      </c>
      <c r="H499" s="10">
        <f>IFERROR(__xludf.DUMMYFUNCTION("SPLIT(D499,""T"")"),43313.0)</f>
        <v>43313</v>
      </c>
      <c r="I499" s="4" t="str">
        <f>IFERROR(__xludf.DUMMYFUNCTION("""COMPUTED_VALUE"""),"13:11:00Z")</f>
        <v>13:11:00Z</v>
      </c>
      <c r="J499" s="4" t="str">
        <f t="shared" si="2"/>
        <v>13:11:00</v>
      </c>
      <c r="K499" s="4">
        <f t="shared" si="3"/>
        <v>156</v>
      </c>
      <c r="L499" s="4">
        <f t="shared" si="4"/>
        <v>-0.1548611111</v>
      </c>
      <c r="M499" s="4">
        <f t="shared" si="5"/>
        <v>155.8451389</v>
      </c>
    </row>
    <row r="500">
      <c r="A500" s="4" t="s">
        <v>130</v>
      </c>
      <c r="B500" s="4" t="s">
        <v>2763</v>
      </c>
      <c r="C500" s="4" t="s">
        <v>2997</v>
      </c>
      <c r="D500" s="4" t="s">
        <v>2998</v>
      </c>
      <c r="E500" s="10">
        <f>IFERROR(__xludf.DUMMYFUNCTION("SPLIT(B500,""T"")"),43469.0)</f>
        <v>43469</v>
      </c>
      <c r="F500" s="4" t="str">
        <f>IFERROR(__xludf.DUMMYFUNCTION("""COMPUTED_VALUE"""),"09:28:00Z")</f>
        <v>09:28:00Z</v>
      </c>
      <c r="G500" s="11" t="str">
        <f t="shared" si="1"/>
        <v>09:28:00</v>
      </c>
      <c r="H500" s="10">
        <f>IFERROR(__xludf.DUMMYFUNCTION("SPLIT(D500,""T"")"),43313.0)</f>
        <v>43313</v>
      </c>
      <c r="I500" s="4" t="str">
        <f>IFERROR(__xludf.DUMMYFUNCTION("""COMPUTED_VALUE"""),"13:57:00Z")</f>
        <v>13:57:00Z</v>
      </c>
      <c r="J500" s="4" t="str">
        <f t="shared" si="2"/>
        <v>13:57:00</v>
      </c>
      <c r="K500" s="4">
        <f t="shared" si="3"/>
        <v>156</v>
      </c>
      <c r="L500" s="4">
        <f t="shared" si="4"/>
        <v>-0.1868055556</v>
      </c>
      <c r="M500" s="4">
        <f t="shared" si="5"/>
        <v>155.8131944</v>
      </c>
    </row>
    <row r="501">
      <c r="A501" s="4" t="s">
        <v>130</v>
      </c>
      <c r="B501" s="4" t="s">
        <v>3001</v>
      </c>
      <c r="C501" s="4" t="s">
        <v>3002</v>
      </c>
      <c r="D501" s="4" t="s">
        <v>3003</v>
      </c>
      <c r="E501" s="10">
        <f>IFERROR(__xludf.DUMMYFUNCTION("SPLIT(B501,""T"")"),43469.0)</f>
        <v>43469</v>
      </c>
      <c r="F501" s="4" t="str">
        <f>IFERROR(__xludf.DUMMYFUNCTION("""COMPUTED_VALUE"""),"09:27:00Z")</f>
        <v>09:27:00Z</v>
      </c>
      <c r="G501" s="11" t="str">
        <f t="shared" si="1"/>
        <v>09:27:00</v>
      </c>
      <c r="H501" s="10">
        <f>IFERROR(__xludf.DUMMYFUNCTION("SPLIT(D501,""T"")"),43313.0)</f>
        <v>43313</v>
      </c>
      <c r="I501" s="4" t="str">
        <f>IFERROR(__xludf.DUMMYFUNCTION("""COMPUTED_VALUE"""),"14:40:00Z")</f>
        <v>14:40:00Z</v>
      </c>
      <c r="J501" s="4" t="str">
        <f t="shared" si="2"/>
        <v>14:40:00</v>
      </c>
      <c r="K501" s="4">
        <f t="shared" si="3"/>
        <v>156</v>
      </c>
      <c r="L501" s="4">
        <f t="shared" si="4"/>
        <v>-0.2173611111</v>
      </c>
      <c r="M501" s="4">
        <f t="shared" si="5"/>
        <v>155.7826389</v>
      </c>
    </row>
    <row r="502">
      <c r="A502" s="4" t="s">
        <v>313</v>
      </c>
      <c r="B502" s="4" t="s">
        <v>2676</v>
      </c>
      <c r="C502" s="4" t="s">
        <v>2943</v>
      </c>
      <c r="D502" s="4" t="s">
        <v>2944</v>
      </c>
      <c r="E502" s="10">
        <f>IFERROR(__xludf.DUMMYFUNCTION("SPLIT(B502,""T"")"),43469.0)</f>
        <v>43469</v>
      </c>
      <c r="F502" s="4" t="str">
        <f>IFERROR(__xludf.DUMMYFUNCTION("""COMPUTED_VALUE"""),"09:26:00Z")</f>
        <v>09:26:00Z</v>
      </c>
      <c r="G502" s="11" t="str">
        <f t="shared" si="1"/>
        <v>09:26:00</v>
      </c>
      <c r="H502" s="10">
        <f>IFERROR(__xludf.DUMMYFUNCTION("SPLIT(D502,""T"")"),43313.0)</f>
        <v>43313</v>
      </c>
      <c r="I502" s="4" t="str">
        <f>IFERROR(__xludf.DUMMYFUNCTION("""COMPUTED_VALUE"""),"15:53:00Z")</f>
        <v>15:53:00Z</v>
      </c>
      <c r="J502" s="4" t="str">
        <f t="shared" si="2"/>
        <v>15:53:00</v>
      </c>
      <c r="K502" s="4">
        <f t="shared" si="3"/>
        <v>156</v>
      </c>
      <c r="L502" s="4">
        <f t="shared" si="4"/>
        <v>-0.26875</v>
      </c>
      <c r="M502" s="4">
        <f t="shared" si="5"/>
        <v>155.73125</v>
      </c>
    </row>
    <row r="503">
      <c r="A503" s="4" t="s">
        <v>320</v>
      </c>
      <c r="B503" s="4" t="s">
        <v>1968</v>
      </c>
      <c r="C503" s="4" t="s">
        <v>1969</v>
      </c>
      <c r="D503" s="4" t="s">
        <v>1970</v>
      </c>
      <c r="E503" s="10">
        <f>IFERROR(__xludf.DUMMYFUNCTION("SPLIT(B503,""T"")"),43109.0)</f>
        <v>43109</v>
      </c>
      <c r="F503" s="4" t="str">
        <f>IFERROR(__xludf.DUMMYFUNCTION("""COMPUTED_VALUE"""),"12:21:00Z")</f>
        <v>12:21:00Z</v>
      </c>
      <c r="G503" s="11" t="str">
        <f t="shared" si="1"/>
        <v>12:21:00</v>
      </c>
      <c r="H503" s="10">
        <f>IFERROR(__xludf.DUMMYFUNCTION("SPLIT(D503,""T"")"),42953.0)</f>
        <v>42953</v>
      </c>
      <c r="I503" s="4" t="str">
        <f>IFERROR(__xludf.DUMMYFUNCTION("""COMPUTED_VALUE"""),"19:52:00Z")</f>
        <v>19:52:00Z</v>
      </c>
      <c r="J503" s="4" t="str">
        <f t="shared" si="2"/>
        <v>19:52:00</v>
      </c>
      <c r="K503" s="4">
        <f t="shared" si="3"/>
        <v>156</v>
      </c>
      <c r="L503" s="4">
        <f t="shared" si="4"/>
        <v>-0.3131944444</v>
      </c>
      <c r="M503" s="4">
        <f t="shared" si="5"/>
        <v>155.6868056</v>
      </c>
    </row>
    <row r="504">
      <c r="A504" s="4" t="s">
        <v>19</v>
      </c>
      <c r="B504" s="4" t="s">
        <v>2676</v>
      </c>
      <c r="C504" s="4" t="s">
        <v>2677</v>
      </c>
      <c r="D504" s="4" t="s">
        <v>2678</v>
      </c>
      <c r="E504" s="10">
        <f>IFERROR(__xludf.DUMMYFUNCTION("SPLIT(B504,""T"")"),43469.0)</f>
        <v>43469</v>
      </c>
      <c r="F504" s="4" t="str">
        <f>IFERROR(__xludf.DUMMYFUNCTION("""COMPUTED_VALUE"""),"09:26:00Z")</f>
        <v>09:26:00Z</v>
      </c>
      <c r="G504" s="11" t="str">
        <f t="shared" si="1"/>
        <v>09:26:00</v>
      </c>
      <c r="H504" s="10">
        <f>IFERROR(__xludf.DUMMYFUNCTION("SPLIT(D504,""T"")"),43313.0)</f>
        <v>43313</v>
      </c>
      <c r="I504" s="4" t="str">
        <f>IFERROR(__xludf.DUMMYFUNCTION("""COMPUTED_VALUE"""),"17:48:00Z")</f>
        <v>17:48:00Z</v>
      </c>
      <c r="J504" s="4" t="str">
        <f t="shared" si="2"/>
        <v>17:48:00</v>
      </c>
      <c r="K504" s="4">
        <f t="shared" si="3"/>
        <v>156</v>
      </c>
      <c r="L504" s="4">
        <f t="shared" si="4"/>
        <v>-0.3486111111</v>
      </c>
      <c r="M504" s="4">
        <f t="shared" si="5"/>
        <v>155.6513889</v>
      </c>
    </row>
    <row r="505">
      <c r="A505" s="4" t="s">
        <v>27</v>
      </c>
      <c r="B505" s="4" t="s">
        <v>2210</v>
      </c>
      <c r="C505" s="4" t="s">
        <v>706</v>
      </c>
      <c r="D505" s="4" t="s">
        <v>2211</v>
      </c>
      <c r="E505" s="10">
        <f>IFERROR(__xludf.DUMMYFUNCTION("SPLIT(B505,""T"")"),43109.0)</f>
        <v>43109</v>
      </c>
      <c r="F505" s="4" t="str">
        <f>IFERROR(__xludf.DUMMYFUNCTION("""COMPUTED_VALUE"""),"12:23:00Z")</f>
        <v>12:23:00Z</v>
      </c>
      <c r="G505" s="11" t="str">
        <f t="shared" si="1"/>
        <v>12:23:00</v>
      </c>
      <c r="H505" s="10">
        <f>IFERROR(__xludf.DUMMYFUNCTION("SPLIT(D505,""T"")"),42954.0)</f>
        <v>42954</v>
      </c>
      <c r="I505" s="4" t="str">
        <f>IFERROR(__xludf.DUMMYFUNCTION("""COMPUTED_VALUE"""),"14:14:00Z")</f>
        <v>14:14:00Z</v>
      </c>
      <c r="J505" s="4" t="str">
        <f t="shared" si="2"/>
        <v>14:14:00</v>
      </c>
      <c r="K505" s="4">
        <f t="shared" si="3"/>
        <v>155</v>
      </c>
      <c r="L505" s="4">
        <f t="shared" si="4"/>
        <v>-0.07708333333</v>
      </c>
      <c r="M505" s="4">
        <f t="shared" si="5"/>
        <v>154.9229167</v>
      </c>
    </row>
    <row r="506">
      <c r="A506" s="4" t="s">
        <v>46</v>
      </c>
      <c r="B506" s="4" t="s">
        <v>1872</v>
      </c>
      <c r="C506" s="4" t="s">
        <v>1873</v>
      </c>
      <c r="D506" s="4" t="s">
        <v>1874</v>
      </c>
      <c r="E506" s="10">
        <f>IFERROR(__xludf.DUMMYFUNCTION("SPLIT(B506,""T"")"),43109.0)</f>
        <v>43109</v>
      </c>
      <c r="F506" s="4" t="str">
        <f>IFERROR(__xludf.DUMMYFUNCTION("""COMPUTED_VALUE"""),"12:26:00Z")</f>
        <v>12:26:00Z</v>
      </c>
      <c r="G506" s="11" t="str">
        <f t="shared" si="1"/>
        <v>12:26:00</v>
      </c>
      <c r="H506" s="10">
        <f>IFERROR(__xludf.DUMMYFUNCTION("SPLIT(D506,""T"")"),42954.0)</f>
        <v>42954</v>
      </c>
      <c r="I506" s="4" t="str">
        <f>IFERROR(__xludf.DUMMYFUNCTION("""COMPUTED_VALUE"""),"17:45:00Z")</f>
        <v>17:45:00Z</v>
      </c>
      <c r="J506" s="4" t="str">
        <f t="shared" si="2"/>
        <v>17:45:00</v>
      </c>
      <c r="K506" s="4">
        <f t="shared" si="3"/>
        <v>155</v>
      </c>
      <c r="L506" s="4">
        <f t="shared" si="4"/>
        <v>-0.2215277778</v>
      </c>
      <c r="M506" s="4">
        <f t="shared" si="5"/>
        <v>154.7784722</v>
      </c>
    </row>
    <row r="507">
      <c r="A507" s="4" t="s">
        <v>114</v>
      </c>
      <c r="B507" s="4" t="s">
        <v>1857</v>
      </c>
      <c r="C507" s="4" t="s">
        <v>2232</v>
      </c>
      <c r="D507" s="4" t="s">
        <v>2233</v>
      </c>
      <c r="E507" s="10">
        <f>IFERROR(__xludf.DUMMYFUNCTION("SPLIT(B507,""T"")"),43109.0)</f>
        <v>43109</v>
      </c>
      <c r="F507" s="4" t="str">
        <f>IFERROR(__xludf.DUMMYFUNCTION("""COMPUTED_VALUE"""),"12:27:00Z")</f>
        <v>12:27:00Z</v>
      </c>
      <c r="G507" s="11" t="str">
        <f t="shared" si="1"/>
        <v>12:27:00</v>
      </c>
      <c r="H507" s="10">
        <f>IFERROR(__xludf.DUMMYFUNCTION("SPLIT(D507,""T"")"),42954.0)</f>
        <v>42954</v>
      </c>
      <c r="I507" s="4" t="str">
        <f>IFERROR(__xludf.DUMMYFUNCTION("""COMPUTED_VALUE"""),"18:08:00Z")</f>
        <v>18:08:00Z</v>
      </c>
      <c r="J507" s="4" t="str">
        <f t="shared" si="2"/>
        <v>18:08:00</v>
      </c>
      <c r="K507" s="4">
        <f t="shared" si="3"/>
        <v>155</v>
      </c>
      <c r="L507" s="4">
        <f t="shared" si="4"/>
        <v>-0.2368055556</v>
      </c>
      <c r="M507" s="4">
        <f t="shared" si="5"/>
        <v>154.7631944</v>
      </c>
    </row>
    <row r="508">
      <c r="A508" s="4" t="s">
        <v>630</v>
      </c>
      <c r="B508" s="4" t="s">
        <v>1857</v>
      </c>
      <c r="C508" s="4" t="s">
        <v>1858</v>
      </c>
      <c r="D508" s="4" t="s">
        <v>1859</v>
      </c>
      <c r="E508" s="10">
        <f>IFERROR(__xludf.DUMMYFUNCTION("SPLIT(B508,""T"")"),43109.0)</f>
        <v>43109</v>
      </c>
      <c r="F508" s="4" t="str">
        <f>IFERROR(__xludf.DUMMYFUNCTION("""COMPUTED_VALUE"""),"12:27:00Z")</f>
        <v>12:27:00Z</v>
      </c>
      <c r="G508" s="11" t="str">
        <f t="shared" si="1"/>
        <v>12:27:00</v>
      </c>
      <c r="H508" s="10">
        <f>IFERROR(__xludf.DUMMYFUNCTION("SPLIT(D508,""T"")"),42954.0)</f>
        <v>42954</v>
      </c>
      <c r="I508" s="4" t="str">
        <f>IFERROR(__xludf.DUMMYFUNCTION("""COMPUTED_VALUE"""),"22:30:00Z")</f>
        <v>22:30:00Z</v>
      </c>
      <c r="J508" s="4" t="str">
        <f t="shared" si="2"/>
        <v>22:30:00</v>
      </c>
      <c r="K508" s="4">
        <f t="shared" si="3"/>
        <v>155</v>
      </c>
      <c r="L508" s="4">
        <f t="shared" si="4"/>
        <v>-0.41875</v>
      </c>
      <c r="M508" s="4">
        <f t="shared" si="5"/>
        <v>154.58125</v>
      </c>
    </row>
    <row r="509">
      <c r="A509" s="4" t="s">
        <v>46</v>
      </c>
      <c r="B509" s="4" t="s">
        <v>1323</v>
      </c>
      <c r="C509" s="4" t="s">
        <v>1324</v>
      </c>
      <c r="D509" s="4" t="s">
        <v>1325</v>
      </c>
      <c r="E509" s="10">
        <f>IFERROR(__xludf.DUMMYFUNCTION("SPLIT(B509,""T"")"),42682.0)</f>
        <v>42682</v>
      </c>
      <c r="F509" s="4" t="str">
        <f>IFERROR(__xludf.DUMMYFUNCTION("""COMPUTED_VALUE"""),"10:15:00Z")</f>
        <v>10:15:00Z</v>
      </c>
      <c r="G509" s="11" t="str">
        <f t="shared" si="1"/>
        <v>10:15:00</v>
      </c>
      <c r="H509" s="10">
        <f>IFERROR(__xludf.DUMMYFUNCTION("SPLIT(D509,""T"")"),42528.0)</f>
        <v>42528</v>
      </c>
      <c r="I509" s="4" t="str">
        <f>IFERROR(__xludf.DUMMYFUNCTION("""COMPUTED_VALUE"""),"02:45:00Z")</f>
        <v>02:45:00Z</v>
      </c>
      <c r="J509" s="4" t="str">
        <f t="shared" si="2"/>
        <v>02:45:00</v>
      </c>
      <c r="K509" s="4">
        <f t="shared" si="3"/>
        <v>154</v>
      </c>
      <c r="L509" s="4">
        <f t="shared" si="4"/>
        <v>0.3125</v>
      </c>
      <c r="M509" s="4">
        <f t="shared" si="5"/>
        <v>154.3125</v>
      </c>
    </row>
    <row r="510">
      <c r="A510" s="4" t="s">
        <v>186</v>
      </c>
      <c r="B510" s="4" t="s">
        <v>2285</v>
      </c>
      <c r="C510" s="4" t="s">
        <v>2286</v>
      </c>
      <c r="D510" s="4" t="s">
        <v>2287</v>
      </c>
      <c r="E510" s="10">
        <f>IFERROR(__xludf.DUMMYFUNCTION("SPLIT(B510,""T"")"),43109.0)</f>
        <v>43109</v>
      </c>
      <c r="F510" s="4" t="str">
        <f>IFERROR(__xludf.DUMMYFUNCTION("""COMPUTED_VALUE"""),"12:28:00Z")</f>
        <v>12:28:00Z</v>
      </c>
      <c r="G510" s="11" t="str">
        <f t="shared" si="1"/>
        <v>12:28:00</v>
      </c>
      <c r="H510" s="10">
        <f>IFERROR(__xludf.DUMMYFUNCTION("SPLIT(D510,""T"")"),42955.0)</f>
        <v>42955</v>
      </c>
      <c r="I510" s="4" t="str">
        <f>IFERROR(__xludf.DUMMYFUNCTION("""COMPUTED_VALUE"""),"16:40:00Z")</f>
        <v>16:40:00Z</v>
      </c>
      <c r="J510" s="4" t="str">
        <f t="shared" si="2"/>
        <v>16:40:00</v>
      </c>
      <c r="K510" s="4">
        <f t="shared" si="3"/>
        <v>154</v>
      </c>
      <c r="L510" s="4">
        <f t="shared" si="4"/>
        <v>-0.175</v>
      </c>
      <c r="M510" s="4">
        <f t="shared" si="5"/>
        <v>153.825</v>
      </c>
    </row>
    <row r="511">
      <c r="A511" s="4" t="s">
        <v>69</v>
      </c>
      <c r="B511" s="4" t="s">
        <v>2676</v>
      </c>
      <c r="C511" s="4" t="s">
        <v>1939</v>
      </c>
      <c r="D511" s="4" t="s">
        <v>2722</v>
      </c>
      <c r="E511" s="10">
        <f>IFERROR(__xludf.DUMMYFUNCTION("SPLIT(B511,""T"")"),43469.0)</f>
        <v>43469</v>
      </c>
      <c r="F511" s="4" t="str">
        <f>IFERROR(__xludf.DUMMYFUNCTION("""COMPUTED_VALUE"""),"09:26:00Z")</f>
        <v>09:26:00Z</v>
      </c>
      <c r="G511" s="11" t="str">
        <f t="shared" si="1"/>
        <v>09:26:00</v>
      </c>
      <c r="H511" s="10">
        <f>IFERROR(__xludf.DUMMYFUNCTION("SPLIT(D511,""T"")"),43315.0)</f>
        <v>43315</v>
      </c>
      <c r="I511" s="4" t="str">
        <f>IFERROR(__xludf.DUMMYFUNCTION("""COMPUTED_VALUE"""),"14:48:00Z")</f>
        <v>14:48:00Z</v>
      </c>
      <c r="J511" s="4" t="str">
        <f t="shared" si="2"/>
        <v>14:48:00</v>
      </c>
      <c r="K511" s="4">
        <f t="shared" si="3"/>
        <v>154</v>
      </c>
      <c r="L511" s="4">
        <f t="shared" si="4"/>
        <v>-0.2236111111</v>
      </c>
      <c r="M511" s="4">
        <f t="shared" si="5"/>
        <v>153.7763889</v>
      </c>
    </row>
    <row r="512">
      <c r="A512" s="4" t="s">
        <v>101</v>
      </c>
      <c r="B512" s="4" t="s">
        <v>2911</v>
      </c>
      <c r="C512" s="4" t="s">
        <v>3145</v>
      </c>
      <c r="D512" s="4" t="s">
        <v>3146</v>
      </c>
      <c r="E512" s="10">
        <f>IFERROR(__xludf.DUMMYFUNCTION("SPLIT(B512,""T"")"),43469.0)</f>
        <v>43469</v>
      </c>
      <c r="F512" s="4" t="str">
        <f>IFERROR(__xludf.DUMMYFUNCTION("""COMPUTED_VALUE"""),"09:24:00Z")</f>
        <v>09:24:00Z</v>
      </c>
      <c r="G512" s="11" t="str">
        <f t="shared" si="1"/>
        <v>09:24:00</v>
      </c>
      <c r="H512" s="10">
        <f>IFERROR(__xludf.DUMMYFUNCTION("SPLIT(D512,""T"")"),43316.0)</f>
        <v>43316</v>
      </c>
      <c r="I512" s="4" t="str">
        <f>IFERROR(__xludf.DUMMYFUNCTION("""COMPUTED_VALUE"""),"13:57:00Z")</f>
        <v>13:57:00Z</v>
      </c>
      <c r="J512" s="4" t="str">
        <f t="shared" si="2"/>
        <v>13:57:00</v>
      </c>
      <c r="K512" s="4">
        <f t="shared" si="3"/>
        <v>153</v>
      </c>
      <c r="L512" s="4">
        <f t="shared" si="4"/>
        <v>-0.1895833333</v>
      </c>
      <c r="M512" s="4">
        <f t="shared" si="5"/>
        <v>152.8104167</v>
      </c>
    </row>
    <row r="513">
      <c r="A513" s="4" t="s">
        <v>205</v>
      </c>
      <c r="B513" s="4" t="s">
        <v>3118</v>
      </c>
      <c r="C513" s="4" t="s">
        <v>329</v>
      </c>
      <c r="D513" s="4" t="s">
        <v>3119</v>
      </c>
      <c r="E513" s="10">
        <f>IFERROR(__xludf.DUMMYFUNCTION("SPLIT(B513,""T"")"),43469.0)</f>
        <v>43469</v>
      </c>
      <c r="F513" s="4" t="str">
        <f>IFERROR(__xludf.DUMMYFUNCTION("""COMPUTED_VALUE"""),"09:25:00Z")</f>
        <v>09:25:00Z</v>
      </c>
      <c r="G513" s="11" t="str">
        <f t="shared" si="1"/>
        <v>09:25:00</v>
      </c>
      <c r="H513" s="10">
        <f>IFERROR(__xludf.DUMMYFUNCTION("SPLIT(D513,""T"")"),43316.0)</f>
        <v>43316</v>
      </c>
      <c r="I513" s="4" t="str">
        <f>IFERROR(__xludf.DUMMYFUNCTION("""COMPUTED_VALUE"""),"17:32:00Z")</f>
        <v>17:32:00Z</v>
      </c>
      <c r="J513" s="4" t="str">
        <f t="shared" si="2"/>
        <v>17:32:00</v>
      </c>
      <c r="K513" s="4">
        <f t="shared" si="3"/>
        <v>153</v>
      </c>
      <c r="L513" s="4">
        <f t="shared" si="4"/>
        <v>-0.3381944444</v>
      </c>
      <c r="M513" s="4">
        <f t="shared" si="5"/>
        <v>152.6618056</v>
      </c>
    </row>
    <row r="514">
      <c r="A514" s="4" t="s">
        <v>411</v>
      </c>
      <c r="B514" s="4" t="s">
        <v>2911</v>
      </c>
      <c r="C514" s="4" t="s">
        <v>2912</v>
      </c>
      <c r="D514" s="4" t="s">
        <v>2913</v>
      </c>
      <c r="E514" s="10">
        <f>IFERROR(__xludf.DUMMYFUNCTION("SPLIT(B514,""T"")"),43469.0)</f>
        <v>43469</v>
      </c>
      <c r="F514" s="4" t="str">
        <f>IFERROR(__xludf.DUMMYFUNCTION("""COMPUTED_VALUE"""),"09:24:00Z")</f>
        <v>09:24:00Z</v>
      </c>
      <c r="G514" s="11" t="str">
        <f t="shared" si="1"/>
        <v>09:24:00</v>
      </c>
      <c r="H514" s="10">
        <f>IFERROR(__xludf.DUMMYFUNCTION("SPLIT(D514,""T"")"),43317.0)</f>
        <v>43317</v>
      </c>
      <c r="I514" s="4" t="str">
        <f>IFERROR(__xludf.DUMMYFUNCTION("""COMPUTED_VALUE"""),"04:19:00Z")</f>
        <v>04:19:00Z</v>
      </c>
      <c r="J514" s="4" t="str">
        <f t="shared" si="2"/>
        <v>04:19:00</v>
      </c>
      <c r="K514" s="4">
        <f t="shared" si="3"/>
        <v>152</v>
      </c>
      <c r="L514" s="4">
        <f t="shared" si="4"/>
        <v>0.2118055556</v>
      </c>
      <c r="M514" s="4">
        <f t="shared" si="5"/>
        <v>152.2118056</v>
      </c>
    </row>
    <row r="515">
      <c r="A515" s="4" t="s">
        <v>69</v>
      </c>
      <c r="B515" s="4" t="s">
        <v>2054</v>
      </c>
      <c r="C515" s="4" t="s">
        <v>2055</v>
      </c>
      <c r="D515" s="4" t="s">
        <v>2056</v>
      </c>
      <c r="E515" s="10">
        <f>IFERROR(__xludf.DUMMYFUNCTION("SPLIT(B515,""T"")"),43109.0)</f>
        <v>43109</v>
      </c>
      <c r="F515" s="4" t="str">
        <f>IFERROR(__xludf.DUMMYFUNCTION("""COMPUTED_VALUE"""),"12:31:00Z")</f>
        <v>12:31:00Z</v>
      </c>
      <c r="G515" s="11" t="str">
        <f t="shared" si="1"/>
        <v>12:31:00</v>
      </c>
      <c r="H515" s="10">
        <f>IFERROR(__xludf.DUMMYFUNCTION("SPLIT(D515,""T"")"),42957.0)</f>
        <v>42957</v>
      </c>
      <c r="I515" s="4" t="str">
        <f>IFERROR(__xludf.DUMMYFUNCTION("""COMPUTED_VALUE"""),"14:32:00Z")</f>
        <v>14:32:00Z</v>
      </c>
      <c r="J515" s="4" t="str">
        <f t="shared" si="2"/>
        <v>14:32:00</v>
      </c>
      <c r="K515" s="4">
        <f t="shared" si="3"/>
        <v>152</v>
      </c>
      <c r="L515" s="4">
        <f t="shared" si="4"/>
        <v>-0.08402777778</v>
      </c>
      <c r="M515" s="4">
        <f t="shared" si="5"/>
        <v>151.9159722</v>
      </c>
    </row>
    <row r="516">
      <c r="A516" s="4" t="s">
        <v>54</v>
      </c>
      <c r="B516" s="4" t="s">
        <v>2054</v>
      </c>
      <c r="C516" s="4" t="s">
        <v>232</v>
      </c>
      <c r="D516" s="4" t="s">
        <v>2549</v>
      </c>
      <c r="E516" s="10">
        <f>IFERROR(__xludf.DUMMYFUNCTION("SPLIT(B516,""T"")"),43109.0)</f>
        <v>43109</v>
      </c>
      <c r="F516" s="4" t="str">
        <f>IFERROR(__xludf.DUMMYFUNCTION("""COMPUTED_VALUE"""),"12:31:00Z")</f>
        <v>12:31:00Z</v>
      </c>
      <c r="G516" s="11" t="str">
        <f t="shared" si="1"/>
        <v>12:31:00</v>
      </c>
      <c r="H516" s="10">
        <f>IFERROR(__xludf.DUMMYFUNCTION("SPLIT(D516,""T"")"),42957.0)</f>
        <v>42957</v>
      </c>
      <c r="I516" s="4" t="str">
        <f>IFERROR(__xludf.DUMMYFUNCTION("""COMPUTED_VALUE"""),"17:24:00Z")</f>
        <v>17:24:00Z</v>
      </c>
      <c r="J516" s="4" t="str">
        <f t="shared" si="2"/>
        <v>17:24:00</v>
      </c>
      <c r="K516" s="4">
        <f t="shared" si="3"/>
        <v>152</v>
      </c>
      <c r="L516" s="4">
        <f t="shared" si="4"/>
        <v>-0.2034722222</v>
      </c>
      <c r="M516" s="4">
        <f t="shared" si="5"/>
        <v>151.7965278</v>
      </c>
    </row>
    <row r="517">
      <c r="A517" s="4" t="s">
        <v>166</v>
      </c>
      <c r="B517" s="4" t="s">
        <v>2175</v>
      </c>
      <c r="C517" s="4" t="s">
        <v>1278</v>
      </c>
      <c r="D517" s="4" t="s">
        <v>2176</v>
      </c>
      <c r="E517" s="10">
        <f>IFERROR(__xludf.DUMMYFUNCTION("SPLIT(B517,""T"")"),43109.0)</f>
        <v>43109</v>
      </c>
      <c r="F517" s="4" t="str">
        <f>IFERROR(__xludf.DUMMYFUNCTION("""COMPUTED_VALUE"""),"12:35:00Z")</f>
        <v>12:35:00Z</v>
      </c>
      <c r="G517" s="11" t="str">
        <f t="shared" si="1"/>
        <v>12:35:00</v>
      </c>
      <c r="H517" s="10">
        <f>IFERROR(__xludf.DUMMYFUNCTION("SPLIT(D517,""T"")"),42958.0)</f>
        <v>42958</v>
      </c>
      <c r="I517" s="4" t="str">
        <f>IFERROR(__xludf.DUMMYFUNCTION("""COMPUTED_VALUE"""),"12:57:00Z")</f>
        <v>12:57:00Z</v>
      </c>
      <c r="J517" s="4" t="str">
        <f t="shared" si="2"/>
        <v>12:57:00</v>
      </c>
      <c r="K517" s="4">
        <f t="shared" si="3"/>
        <v>151</v>
      </c>
      <c r="L517" s="4">
        <f t="shared" si="4"/>
        <v>-0.01527777778</v>
      </c>
      <c r="M517" s="4">
        <f t="shared" si="5"/>
        <v>150.9847222</v>
      </c>
    </row>
    <row r="518">
      <c r="A518" s="4" t="s">
        <v>62</v>
      </c>
      <c r="B518" s="4" t="s">
        <v>2911</v>
      </c>
      <c r="C518" s="4" t="s">
        <v>3179</v>
      </c>
      <c r="D518" s="4" t="s">
        <v>3180</v>
      </c>
      <c r="E518" s="10">
        <f>IFERROR(__xludf.DUMMYFUNCTION("SPLIT(B518,""T"")"),43469.0)</f>
        <v>43469</v>
      </c>
      <c r="F518" s="4" t="str">
        <f>IFERROR(__xludf.DUMMYFUNCTION("""COMPUTED_VALUE"""),"09:24:00Z")</f>
        <v>09:24:00Z</v>
      </c>
      <c r="G518" s="11" t="str">
        <f t="shared" si="1"/>
        <v>09:24:00</v>
      </c>
      <c r="H518" s="10">
        <f>IFERROR(__xludf.DUMMYFUNCTION("SPLIT(D518,""T"")"),43318.0)</f>
        <v>43318</v>
      </c>
      <c r="I518" s="4" t="str">
        <f>IFERROR(__xludf.DUMMYFUNCTION("""COMPUTED_VALUE"""),"10:31:00Z")</f>
        <v>10:31:00Z</v>
      </c>
      <c r="J518" s="4" t="str">
        <f t="shared" si="2"/>
        <v>10:31:00</v>
      </c>
      <c r="K518" s="4">
        <f t="shared" si="3"/>
        <v>151</v>
      </c>
      <c r="L518" s="4">
        <f t="shared" si="4"/>
        <v>-0.04652777778</v>
      </c>
      <c r="M518" s="4">
        <f t="shared" si="5"/>
        <v>150.9534722</v>
      </c>
    </row>
    <row r="519">
      <c r="A519" s="4" t="s">
        <v>401</v>
      </c>
      <c r="B519" s="4" t="s">
        <v>1834</v>
      </c>
      <c r="C519" s="4" t="s">
        <v>2205</v>
      </c>
      <c r="D519" s="4" t="s">
        <v>2206</v>
      </c>
      <c r="E519" s="10">
        <f>IFERROR(__xludf.DUMMYFUNCTION("SPLIT(B519,""T"")"),43109.0)</f>
        <v>43109</v>
      </c>
      <c r="F519" s="4" t="str">
        <f>IFERROR(__xludf.DUMMYFUNCTION("""COMPUTED_VALUE"""),"12:39:00Z")</f>
        <v>12:39:00Z</v>
      </c>
      <c r="G519" s="11" t="str">
        <f t="shared" si="1"/>
        <v>12:39:00</v>
      </c>
      <c r="H519" s="10">
        <f>IFERROR(__xludf.DUMMYFUNCTION("SPLIT(D519,""T"")"),42958.0)</f>
        <v>42958</v>
      </c>
      <c r="I519" s="4" t="str">
        <f>IFERROR(__xludf.DUMMYFUNCTION("""COMPUTED_VALUE"""),"14:55:00Z")</f>
        <v>14:55:00Z</v>
      </c>
      <c r="J519" s="4" t="str">
        <f t="shared" si="2"/>
        <v>14:55:00</v>
      </c>
      <c r="K519" s="4">
        <f t="shared" si="3"/>
        <v>151</v>
      </c>
      <c r="L519" s="4">
        <f t="shared" si="4"/>
        <v>-0.09444444444</v>
      </c>
      <c r="M519" s="4">
        <f t="shared" si="5"/>
        <v>150.9055556</v>
      </c>
    </row>
    <row r="520">
      <c r="A520" s="4" t="s">
        <v>149</v>
      </c>
      <c r="B520" s="4" t="s">
        <v>1976</v>
      </c>
      <c r="C520" s="4" t="s">
        <v>1977</v>
      </c>
      <c r="D520" s="4" t="s">
        <v>1978</v>
      </c>
      <c r="E520" s="10">
        <f>IFERROR(__xludf.DUMMYFUNCTION("SPLIT(B520,""T"")"),43109.0)</f>
        <v>43109</v>
      </c>
      <c r="F520" s="4" t="str">
        <f>IFERROR(__xludf.DUMMYFUNCTION("""COMPUTED_VALUE"""),"12:36:00Z")</f>
        <v>12:36:00Z</v>
      </c>
      <c r="G520" s="11" t="str">
        <f t="shared" si="1"/>
        <v>12:36:00</v>
      </c>
      <c r="H520" s="10">
        <f>IFERROR(__xludf.DUMMYFUNCTION("SPLIT(D520,""T"")"),42958.0)</f>
        <v>42958</v>
      </c>
      <c r="I520" s="4" t="str">
        <f>IFERROR(__xludf.DUMMYFUNCTION("""COMPUTED_VALUE"""),"16:06:00Z")</f>
        <v>16:06:00Z</v>
      </c>
      <c r="J520" s="4" t="str">
        <f t="shared" si="2"/>
        <v>16:06:00</v>
      </c>
      <c r="K520" s="4">
        <f t="shared" si="3"/>
        <v>151</v>
      </c>
      <c r="L520" s="4">
        <f t="shared" si="4"/>
        <v>-0.1458333333</v>
      </c>
      <c r="M520" s="4">
        <f t="shared" si="5"/>
        <v>150.8541667</v>
      </c>
    </row>
    <row r="521">
      <c r="A521" s="4" t="s">
        <v>114</v>
      </c>
      <c r="B521" s="4" t="s">
        <v>2679</v>
      </c>
      <c r="C521" s="4" t="s">
        <v>2732</v>
      </c>
      <c r="D521" s="4" t="s">
        <v>2733</v>
      </c>
      <c r="E521" s="10">
        <f>IFERROR(__xludf.DUMMYFUNCTION("SPLIT(B521,""T"")"),43469.0)</f>
        <v>43469</v>
      </c>
      <c r="F521" s="4" t="str">
        <f>IFERROR(__xludf.DUMMYFUNCTION("""COMPUTED_VALUE"""),"09:23:00Z")</f>
        <v>09:23:00Z</v>
      </c>
      <c r="G521" s="11" t="str">
        <f t="shared" si="1"/>
        <v>09:23:00</v>
      </c>
      <c r="H521" s="10">
        <f>IFERROR(__xludf.DUMMYFUNCTION("SPLIT(D521,""T"")"),43318.0)</f>
        <v>43318</v>
      </c>
      <c r="I521" s="4" t="str">
        <f>IFERROR(__xludf.DUMMYFUNCTION("""COMPUTED_VALUE"""),"12:59:00Z")</f>
        <v>12:59:00Z</v>
      </c>
      <c r="J521" s="4" t="str">
        <f t="shared" si="2"/>
        <v>12:59:00</v>
      </c>
      <c r="K521" s="4">
        <f t="shared" si="3"/>
        <v>151</v>
      </c>
      <c r="L521" s="4">
        <f t="shared" si="4"/>
        <v>-0.15</v>
      </c>
      <c r="M521" s="4">
        <f t="shared" si="5"/>
        <v>150.85</v>
      </c>
    </row>
    <row r="522">
      <c r="A522" s="4" t="s">
        <v>435</v>
      </c>
      <c r="B522" s="4" t="s">
        <v>2679</v>
      </c>
      <c r="C522" s="4" t="s">
        <v>1462</v>
      </c>
      <c r="D522" s="4" t="s">
        <v>2680</v>
      </c>
      <c r="E522" s="10">
        <f>IFERROR(__xludf.DUMMYFUNCTION("SPLIT(B522,""T"")"),43469.0)</f>
        <v>43469</v>
      </c>
      <c r="F522" s="4" t="str">
        <f>IFERROR(__xludf.DUMMYFUNCTION("""COMPUTED_VALUE"""),"09:23:00Z")</f>
        <v>09:23:00Z</v>
      </c>
      <c r="G522" s="11" t="str">
        <f t="shared" si="1"/>
        <v>09:23:00</v>
      </c>
      <c r="H522" s="10">
        <f>IFERROR(__xludf.DUMMYFUNCTION("SPLIT(D522,""T"")"),43318.0)</f>
        <v>43318</v>
      </c>
      <c r="I522" s="4" t="str">
        <f>IFERROR(__xludf.DUMMYFUNCTION("""COMPUTED_VALUE"""),"13:20:00Z")</f>
        <v>13:20:00Z</v>
      </c>
      <c r="J522" s="4" t="str">
        <f t="shared" si="2"/>
        <v>13:20:00</v>
      </c>
      <c r="K522" s="4">
        <f t="shared" si="3"/>
        <v>151</v>
      </c>
      <c r="L522" s="4">
        <f t="shared" si="4"/>
        <v>-0.1645833333</v>
      </c>
      <c r="M522" s="4">
        <f t="shared" si="5"/>
        <v>150.8354167</v>
      </c>
    </row>
    <row r="523">
      <c r="A523" s="4" t="s">
        <v>27</v>
      </c>
      <c r="B523" s="4" t="s">
        <v>2679</v>
      </c>
      <c r="C523" s="4" t="s">
        <v>3091</v>
      </c>
      <c r="D523" s="4" t="s">
        <v>3092</v>
      </c>
      <c r="E523" s="10">
        <f>IFERROR(__xludf.DUMMYFUNCTION("SPLIT(B523,""T"")"),43469.0)</f>
        <v>43469</v>
      </c>
      <c r="F523" s="4" t="str">
        <f>IFERROR(__xludf.DUMMYFUNCTION("""COMPUTED_VALUE"""),"09:23:00Z")</f>
        <v>09:23:00Z</v>
      </c>
      <c r="G523" s="11" t="str">
        <f t="shared" si="1"/>
        <v>09:23:00</v>
      </c>
      <c r="H523" s="10">
        <f>IFERROR(__xludf.DUMMYFUNCTION("SPLIT(D523,""T"")"),43318.0)</f>
        <v>43318</v>
      </c>
      <c r="I523" s="4" t="str">
        <f>IFERROR(__xludf.DUMMYFUNCTION("""COMPUTED_VALUE"""),"14:19:00Z")</f>
        <v>14:19:00Z</v>
      </c>
      <c r="J523" s="4" t="str">
        <f t="shared" si="2"/>
        <v>14:19:00</v>
      </c>
      <c r="K523" s="4">
        <f t="shared" si="3"/>
        <v>151</v>
      </c>
      <c r="L523" s="4">
        <f t="shared" si="4"/>
        <v>-0.2055555556</v>
      </c>
      <c r="M523" s="4">
        <f t="shared" si="5"/>
        <v>150.7944444</v>
      </c>
    </row>
    <row r="524">
      <c r="A524" s="4" t="s">
        <v>411</v>
      </c>
      <c r="B524" s="4" t="s">
        <v>2679</v>
      </c>
      <c r="C524" s="4" t="s">
        <v>2831</v>
      </c>
      <c r="D524" s="4" t="s">
        <v>2832</v>
      </c>
      <c r="E524" s="10">
        <f>IFERROR(__xludf.DUMMYFUNCTION("SPLIT(B524,""T"")"),43469.0)</f>
        <v>43469</v>
      </c>
      <c r="F524" s="4" t="str">
        <f>IFERROR(__xludf.DUMMYFUNCTION("""COMPUTED_VALUE"""),"09:23:00Z")</f>
        <v>09:23:00Z</v>
      </c>
      <c r="G524" s="11" t="str">
        <f t="shared" si="1"/>
        <v>09:23:00</v>
      </c>
      <c r="H524" s="10">
        <f>IFERROR(__xludf.DUMMYFUNCTION("SPLIT(D524,""T"")"),43318.0)</f>
        <v>43318</v>
      </c>
      <c r="I524" s="4" t="str">
        <f>IFERROR(__xludf.DUMMYFUNCTION("""COMPUTED_VALUE"""),"16:26:00Z")</f>
        <v>16:26:00Z</v>
      </c>
      <c r="J524" s="4" t="str">
        <f t="shared" si="2"/>
        <v>16:26:00</v>
      </c>
      <c r="K524" s="4">
        <f t="shared" si="3"/>
        <v>151</v>
      </c>
      <c r="L524" s="4">
        <f t="shared" si="4"/>
        <v>-0.29375</v>
      </c>
      <c r="M524" s="4">
        <f t="shared" si="5"/>
        <v>150.70625</v>
      </c>
    </row>
    <row r="525">
      <c r="A525" s="4" t="s">
        <v>1768</v>
      </c>
      <c r="B525" s="4" t="s">
        <v>2679</v>
      </c>
      <c r="C525" s="4" t="s">
        <v>2718</v>
      </c>
      <c r="D525" s="4" t="s">
        <v>2719</v>
      </c>
      <c r="E525" s="10">
        <f>IFERROR(__xludf.DUMMYFUNCTION("SPLIT(B525,""T"")"),43469.0)</f>
        <v>43469</v>
      </c>
      <c r="F525" s="4" t="str">
        <f>IFERROR(__xludf.DUMMYFUNCTION("""COMPUTED_VALUE"""),"09:23:00Z")</f>
        <v>09:23:00Z</v>
      </c>
      <c r="G525" s="11" t="str">
        <f t="shared" si="1"/>
        <v>09:23:00</v>
      </c>
      <c r="H525" s="10">
        <f>IFERROR(__xludf.DUMMYFUNCTION("SPLIT(D525,""T"")"),43318.0)</f>
        <v>43318</v>
      </c>
      <c r="I525" s="4" t="str">
        <f>IFERROR(__xludf.DUMMYFUNCTION("""COMPUTED_VALUE"""),"17:29:00Z")</f>
        <v>17:29:00Z</v>
      </c>
      <c r="J525" s="4" t="str">
        <f t="shared" si="2"/>
        <v>17:29:00</v>
      </c>
      <c r="K525" s="4">
        <f t="shared" si="3"/>
        <v>151</v>
      </c>
      <c r="L525" s="4">
        <f t="shared" si="4"/>
        <v>-0.3375</v>
      </c>
      <c r="M525" s="4">
        <f t="shared" si="5"/>
        <v>150.6625</v>
      </c>
    </row>
    <row r="526">
      <c r="A526" s="4" t="s">
        <v>138</v>
      </c>
      <c r="B526" s="4" t="s">
        <v>2928</v>
      </c>
      <c r="C526" s="4" t="s">
        <v>308</v>
      </c>
      <c r="D526" s="4" t="s">
        <v>2929</v>
      </c>
      <c r="E526" s="10">
        <f>IFERROR(__xludf.DUMMYFUNCTION("SPLIT(B526,""T"")"),43469.0)</f>
        <v>43469</v>
      </c>
      <c r="F526" s="4" t="str">
        <f>IFERROR(__xludf.DUMMYFUNCTION("""COMPUTED_VALUE"""),"09:22:00Z")</f>
        <v>09:22:00Z</v>
      </c>
      <c r="G526" s="11" t="str">
        <f t="shared" si="1"/>
        <v>09:22:00</v>
      </c>
      <c r="H526" s="10">
        <f>IFERROR(__xludf.DUMMYFUNCTION("SPLIT(D526,""T"")"),43319.0)</f>
        <v>43319</v>
      </c>
      <c r="I526" s="4" t="str">
        <f>IFERROR(__xludf.DUMMYFUNCTION("""COMPUTED_VALUE"""),"02:11:00Z")</f>
        <v>02:11:00Z</v>
      </c>
      <c r="J526" s="4" t="str">
        <f t="shared" si="2"/>
        <v>02:11:00</v>
      </c>
      <c r="K526" s="4">
        <f t="shared" si="3"/>
        <v>150</v>
      </c>
      <c r="L526" s="4">
        <f t="shared" si="4"/>
        <v>0.2993055556</v>
      </c>
      <c r="M526" s="4">
        <f t="shared" si="5"/>
        <v>150.2993056</v>
      </c>
    </row>
    <row r="527">
      <c r="A527" s="4" t="s">
        <v>46</v>
      </c>
      <c r="B527" s="4" t="s">
        <v>1947</v>
      </c>
      <c r="C527" s="4" t="s">
        <v>1037</v>
      </c>
      <c r="D527" s="4" t="s">
        <v>2369</v>
      </c>
      <c r="E527" s="10">
        <f>IFERROR(__xludf.DUMMYFUNCTION("SPLIT(B527,""T"")"),43109.0)</f>
        <v>43109</v>
      </c>
      <c r="F527" s="4" t="str">
        <f>IFERROR(__xludf.DUMMYFUNCTION("""COMPUTED_VALUE"""),"12:38:00Z")</f>
        <v>12:38:00Z</v>
      </c>
      <c r="G527" s="11" t="str">
        <f t="shared" si="1"/>
        <v>12:38:00</v>
      </c>
      <c r="H527" s="10">
        <f>IFERROR(__xludf.DUMMYFUNCTION("SPLIT(D527,""T"")"),42960.0)</f>
        <v>42960</v>
      </c>
      <c r="I527" s="4" t="str">
        <f>IFERROR(__xludf.DUMMYFUNCTION("""COMPUTED_VALUE"""),"12:41:00Z")</f>
        <v>12:41:00Z</v>
      </c>
      <c r="J527" s="4" t="str">
        <f t="shared" si="2"/>
        <v>12:41:00</v>
      </c>
      <c r="K527" s="4">
        <f t="shared" si="3"/>
        <v>149</v>
      </c>
      <c r="L527" s="4">
        <f t="shared" si="4"/>
        <v>-0.002083333333</v>
      </c>
      <c r="M527" s="4">
        <f t="shared" si="5"/>
        <v>148.9979167</v>
      </c>
    </row>
    <row r="528">
      <c r="A528" s="4" t="s">
        <v>27</v>
      </c>
      <c r="B528" s="4" t="s">
        <v>1947</v>
      </c>
      <c r="C528" s="4" t="s">
        <v>2456</v>
      </c>
      <c r="D528" s="4" t="s">
        <v>2520</v>
      </c>
      <c r="E528" s="10">
        <f>IFERROR(__xludf.DUMMYFUNCTION("SPLIT(B528,""T"")"),43109.0)</f>
        <v>43109</v>
      </c>
      <c r="F528" s="4" t="str">
        <f>IFERROR(__xludf.DUMMYFUNCTION("""COMPUTED_VALUE"""),"12:38:00Z")</f>
        <v>12:38:00Z</v>
      </c>
      <c r="G528" s="11" t="str">
        <f t="shared" si="1"/>
        <v>12:38:00</v>
      </c>
      <c r="H528" s="10">
        <f>IFERROR(__xludf.DUMMYFUNCTION("SPLIT(D528,""T"")"),42960.0)</f>
        <v>42960</v>
      </c>
      <c r="I528" s="4" t="str">
        <f>IFERROR(__xludf.DUMMYFUNCTION("""COMPUTED_VALUE"""),"13:34:00Z")</f>
        <v>13:34:00Z</v>
      </c>
      <c r="J528" s="4" t="str">
        <f t="shared" si="2"/>
        <v>13:34:00</v>
      </c>
      <c r="K528" s="4">
        <f t="shared" si="3"/>
        <v>149</v>
      </c>
      <c r="L528" s="4">
        <f t="shared" si="4"/>
        <v>-0.03888888889</v>
      </c>
      <c r="M528" s="4">
        <f t="shared" si="5"/>
        <v>148.9611111</v>
      </c>
    </row>
    <row r="529">
      <c r="A529" s="4" t="s">
        <v>27</v>
      </c>
      <c r="B529" s="4" t="s">
        <v>1947</v>
      </c>
      <c r="C529" s="4" t="s">
        <v>1948</v>
      </c>
      <c r="D529" s="4" t="s">
        <v>1949</v>
      </c>
      <c r="E529" s="10">
        <f>IFERROR(__xludf.DUMMYFUNCTION("SPLIT(B529,""T"")"),43109.0)</f>
        <v>43109</v>
      </c>
      <c r="F529" s="4" t="str">
        <f>IFERROR(__xludf.DUMMYFUNCTION("""COMPUTED_VALUE"""),"12:38:00Z")</f>
        <v>12:38:00Z</v>
      </c>
      <c r="G529" s="11" t="str">
        <f t="shared" si="1"/>
        <v>12:38:00</v>
      </c>
      <c r="H529" s="10">
        <f>IFERROR(__xludf.DUMMYFUNCTION("SPLIT(D529,""T"")"),42960.0)</f>
        <v>42960</v>
      </c>
      <c r="I529" s="4" t="str">
        <f>IFERROR(__xludf.DUMMYFUNCTION("""COMPUTED_VALUE"""),"16:10:00Z")</f>
        <v>16:10:00Z</v>
      </c>
      <c r="J529" s="4" t="str">
        <f t="shared" si="2"/>
        <v>16:10:00</v>
      </c>
      <c r="K529" s="4">
        <f t="shared" si="3"/>
        <v>149</v>
      </c>
      <c r="L529" s="4">
        <f t="shared" si="4"/>
        <v>-0.1472222222</v>
      </c>
      <c r="M529" s="4">
        <f t="shared" si="5"/>
        <v>148.8527778</v>
      </c>
    </row>
    <row r="530">
      <c r="A530" s="4" t="s">
        <v>101</v>
      </c>
      <c r="B530" s="4" t="s">
        <v>2159</v>
      </c>
      <c r="C530" s="4" t="s">
        <v>2160</v>
      </c>
      <c r="D530" s="4" t="s">
        <v>2161</v>
      </c>
      <c r="E530" s="10">
        <f>IFERROR(__xludf.DUMMYFUNCTION("SPLIT(B530,""T"")"),43109.0)</f>
        <v>43109</v>
      </c>
      <c r="F530" s="4" t="str">
        <f>IFERROR(__xludf.DUMMYFUNCTION("""COMPUTED_VALUE"""),"12:40:00Z")</f>
        <v>12:40:00Z</v>
      </c>
      <c r="G530" s="11" t="str">
        <f t="shared" si="1"/>
        <v>12:40:00</v>
      </c>
      <c r="H530" s="10">
        <f>IFERROR(__xludf.DUMMYFUNCTION("SPLIT(D530,""T"")"),42960.0)</f>
        <v>42960</v>
      </c>
      <c r="I530" s="4" t="str">
        <f>IFERROR(__xludf.DUMMYFUNCTION("""COMPUTED_VALUE"""),"16:23:00Z")</f>
        <v>16:23:00Z</v>
      </c>
      <c r="J530" s="4" t="str">
        <f t="shared" si="2"/>
        <v>16:23:00</v>
      </c>
      <c r="K530" s="4">
        <f t="shared" si="3"/>
        <v>149</v>
      </c>
      <c r="L530" s="4">
        <f t="shared" si="4"/>
        <v>-0.1548611111</v>
      </c>
      <c r="M530" s="4">
        <f t="shared" si="5"/>
        <v>148.8451389</v>
      </c>
    </row>
    <row r="531">
      <c r="A531" s="4" t="s">
        <v>58</v>
      </c>
      <c r="B531" s="4" t="s">
        <v>2668</v>
      </c>
      <c r="C531" s="4" t="s">
        <v>2669</v>
      </c>
      <c r="D531" s="4" t="s">
        <v>2670</v>
      </c>
      <c r="E531" s="10">
        <f>IFERROR(__xludf.DUMMYFUNCTION("SPLIT(B531,""T"")"),43469.0)</f>
        <v>43469</v>
      </c>
      <c r="F531" s="4" t="str">
        <f>IFERROR(__xludf.DUMMYFUNCTION("""COMPUTED_VALUE"""),"09:21:00Z")</f>
        <v>09:21:00Z</v>
      </c>
      <c r="G531" s="11" t="str">
        <f t="shared" si="1"/>
        <v>09:21:00</v>
      </c>
      <c r="H531" s="10">
        <f>IFERROR(__xludf.DUMMYFUNCTION("SPLIT(D531,""T"")"),43321.0)</f>
        <v>43321</v>
      </c>
      <c r="I531" s="4" t="str">
        <f>IFERROR(__xludf.DUMMYFUNCTION("""COMPUTED_VALUE"""),"01:55:00Z")</f>
        <v>01:55:00Z</v>
      </c>
      <c r="J531" s="4" t="str">
        <f t="shared" si="2"/>
        <v>01:55:00</v>
      </c>
      <c r="K531" s="4">
        <f t="shared" si="3"/>
        <v>148</v>
      </c>
      <c r="L531" s="4">
        <f t="shared" si="4"/>
        <v>0.3097222222</v>
      </c>
      <c r="M531" s="4">
        <f t="shared" si="5"/>
        <v>148.3097222</v>
      </c>
    </row>
    <row r="532">
      <c r="A532" s="4" t="s">
        <v>46</v>
      </c>
      <c r="B532" s="4" t="s">
        <v>1772</v>
      </c>
      <c r="C532" s="4" t="s">
        <v>1773</v>
      </c>
      <c r="D532" s="4" t="s">
        <v>1774</v>
      </c>
      <c r="E532" s="10">
        <f>IFERROR(__xludf.DUMMYFUNCTION("SPLIT(B532,""T"")"),43109.0)</f>
        <v>43109</v>
      </c>
      <c r="F532" s="4" t="str">
        <f>IFERROR(__xludf.DUMMYFUNCTION("""COMPUTED_VALUE"""),"12:42:00Z")</f>
        <v>12:42:00Z</v>
      </c>
      <c r="G532" s="11" t="str">
        <f t="shared" si="1"/>
        <v>12:42:00</v>
      </c>
      <c r="H532" s="10">
        <f>IFERROR(__xludf.DUMMYFUNCTION("SPLIT(D532,""T"")"),42961.0)</f>
        <v>42961</v>
      </c>
      <c r="I532" s="4" t="str">
        <f>IFERROR(__xludf.DUMMYFUNCTION("""COMPUTED_VALUE"""),"14:00:00Z")</f>
        <v>14:00:00Z</v>
      </c>
      <c r="J532" s="4" t="str">
        <f t="shared" si="2"/>
        <v>14:00:00</v>
      </c>
      <c r="K532" s="4">
        <f t="shared" si="3"/>
        <v>148</v>
      </c>
      <c r="L532" s="4">
        <f t="shared" si="4"/>
        <v>-0.05416666667</v>
      </c>
      <c r="M532" s="4">
        <f t="shared" si="5"/>
        <v>147.9458333</v>
      </c>
    </row>
    <row r="533">
      <c r="A533" s="4" t="s">
        <v>101</v>
      </c>
      <c r="B533" s="4" t="s">
        <v>1834</v>
      </c>
      <c r="C533" s="4" t="s">
        <v>1835</v>
      </c>
      <c r="D533" s="4" t="s">
        <v>1836</v>
      </c>
      <c r="E533" s="10">
        <f>IFERROR(__xludf.DUMMYFUNCTION("SPLIT(B533,""T"")"),43109.0)</f>
        <v>43109</v>
      </c>
      <c r="F533" s="4" t="str">
        <f>IFERROR(__xludf.DUMMYFUNCTION("""COMPUTED_VALUE"""),"12:39:00Z")</f>
        <v>12:39:00Z</v>
      </c>
      <c r="G533" s="11" t="str">
        <f t="shared" si="1"/>
        <v>12:39:00</v>
      </c>
      <c r="H533" s="10">
        <f>IFERROR(__xludf.DUMMYFUNCTION("SPLIT(D533,""T"")"),42961.0)</f>
        <v>42961</v>
      </c>
      <c r="I533" s="4" t="str">
        <f>IFERROR(__xludf.DUMMYFUNCTION("""COMPUTED_VALUE"""),"14:28:00Z")</f>
        <v>14:28:00Z</v>
      </c>
      <c r="J533" s="4" t="str">
        <f t="shared" si="2"/>
        <v>14:28:00</v>
      </c>
      <c r="K533" s="4">
        <f t="shared" si="3"/>
        <v>148</v>
      </c>
      <c r="L533" s="4">
        <f t="shared" si="4"/>
        <v>-0.07569444444</v>
      </c>
      <c r="M533" s="4">
        <f t="shared" si="5"/>
        <v>147.9243056</v>
      </c>
    </row>
    <row r="534">
      <c r="A534" s="4" t="s">
        <v>27</v>
      </c>
      <c r="B534" s="4" t="s">
        <v>1772</v>
      </c>
      <c r="C534" s="4" t="s">
        <v>1998</v>
      </c>
      <c r="D534" s="4" t="s">
        <v>1999</v>
      </c>
      <c r="E534" s="10">
        <f>IFERROR(__xludf.DUMMYFUNCTION("SPLIT(B534,""T"")"),43109.0)</f>
        <v>43109</v>
      </c>
      <c r="F534" s="4" t="str">
        <f>IFERROR(__xludf.DUMMYFUNCTION("""COMPUTED_VALUE"""),"12:42:00Z")</f>
        <v>12:42:00Z</v>
      </c>
      <c r="G534" s="11" t="str">
        <f t="shared" si="1"/>
        <v>12:42:00</v>
      </c>
      <c r="H534" s="10">
        <f>IFERROR(__xludf.DUMMYFUNCTION("SPLIT(D534,""T"")"),42961.0)</f>
        <v>42961</v>
      </c>
      <c r="I534" s="4" t="str">
        <f>IFERROR(__xludf.DUMMYFUNCTION("""COMPUTED_VALUE"""),"15:45:00Z")</f>
        <v>15:45:00Z</v>
      </c>
      <c r="J534" s="4" t="str">
        <f t="shared" si="2"/>
        <v>15:45:00</v>
      </c>
      <c r="K534" s="4">
        <f t="shared" si="3"/>
        <v>148</v>
      </c>
      <c r="L534" s="4">
        <f t="shared" si="4"/>
        <v>-0.1270833333</v>
      </c>
      <c r="M534" s="4">
        <f t="shared" si="5"/>
        <v>147.8729167</v>
      </c>
    </row>
    <row r="535">
      <c r="A535" s="4" t="s">
        <v>62</v>
      </c>
      <c r="B535" s="4" t="s">
        <v>2668</v>
      </c>
      <c r="C535" s="4" t="s">
        <v>2853</v>
      </c>
      <c r="D535" s="4" t="s">
        <v>2854</v>
      </c>
      <c r="E535" s="10">
        <f>IFERROR(__xludf.DUMMYFUNCTION("SPLIT(B535,""T"")"),43469.0)</f>
        <v>43469</v>
      </c>
      <c r="F535" s="4" t="str">
        <f>IFERROR(__xludf.DUMMYFUNCTION("""COMPUTED_VALUE"""),"09:21:00Z")</f>
        <v>09:21:00Z</v>
      </c>
      <c r="G535" s="11" t="str">
        <f t="shared" si="1"/>
        <v>09:21:00</v>
      </c>
      <c r="H535" s="10">
        <f>IFERROR(__xludf.DUMMYFUNCTION("SPLIT(D535,""T"")"),43321.0)</f>
        <v>43321</v>
      </c>
      <c r="I535" s="4" t="str">
        <f>IFERROR(__xludf.DUMMYFUNCTION("""COMPUTED_VALUE"""),"13:09:00Z")</f>
        <v>13:09:00Z</v>
      </c>
      <c r="J535" s="4" t="str">
        <f t="shared" si="2"/>
        <v>13:09:00</v>
      </c>
      <c r="K535" s="4">
        <f t="shared" si="3"/>
        <v>148</v>
      </c>
      <c r="L535" s="4">
        <f t="shared" si="4"/>
        <v>-0.1583333333</v>
      </c>
      <c r="M535" s="4">
        <f t="shared" si="5"/>
        <v>147.8416667</v>
      </c>
    </row>
    <row r="536">
      <c r="A536" s="4" t="s">
        <v>166</v>
      </c>
      <c r="B536" s="4" t="s">
        <v>2671</v>
      </c>
      <c r="C536" s="4" t="s">
        <v>3226</v>
      </c>
      <c r="D536" s="4" t="s">
        <v>3227</v>
      </c>
      <c r="E536" s="10">
        <f>IFERROR(__xludf.DUMMYFUNCTION("SPLIT(B536,""T"")"),43469.0)</f>
        <v>43469</v>
      </c>
      <c r="F536" s="4" t="str">
        <f>IFERROR(__xludf.DUMMYFUNCTION("""COMPUTED_VALUE"""),"09:20:00Z")</f>
        <v>09:20:00Z</v>
      </c>
      <c r="G536" s="11" t="str">
        <f t="shared" si="1"/>
        <v>09:20:00</v>
      </c>
      <c r="H536" s="10">
        <f>IFERROR(__xludf.DUMMYFUNCTION("SPLIT(D536,""T"")"),43321.0)</f>
        <v>43321</v>
      </c>
      <c r="I536" s="4" t="str">
        <f>IFERROR(__xludf.DUMMYFUNCTION("""COMPUTED_VALUE"""),"14:21:00Z")</f>
        <v>14:21:00Z</v>
      </c>
      <c r="J536" s="4" t="str">
        <f t="shared" si="2"/>
        <v>14:21:00</v>
      </c>
      <c r="K536" s="4">
        <f t="shared" si="3"/>
        <v>148</v>
      </c>
      <c r="L536" s="4">
        <f t="shared" si="4"/>
        <v>-0.2090277778</v>
      </c>
      <c r="M536" s="4">
        <f t="shared" si="5"/>
        <v>147.7909722</v>
      </c>
    </row>
    <row r="537">
      <c r="A537" s="4" t="s">
        <v>58</v>
      </c>
      <c r="B537" s="4" t="s">
        <v>2668</v>
      </c>
      <c r="C537" s="4" t="s">
        <v>2739</v>
      </c>
      <c r="D537" s="4" t="s">
        <v>2740</v>
      </c>
      <c r="E537" s="10">
        <f>IFERROR(__xludf.DUMMYFUNCTION("SPLIT(B537,""T"")"),43469.0)</f>
        <v>43469</v>
      </c>
      <c r="F537" s="4" t="str">
        <f>IFERROR(__xludf.DUMMYFUNCTION("""COMPUTED_VALUE"""),"09:21:00Z")</f>
        <v>09:21:00Z</v>
      </c>
      <c r="G537" s="11" t="str">
        <f t="shared" si="1"/>
        <v>09:21:00</v>
      </c>
      <c r="H537" s="10">
        <f>IFERROR(__xludf.DUMMYFUNCTION("SPLIT(D537,""T"")"),43321.0)</f>
        <v>43321</v>
      </c>
      <c r="I537" s="4" t="str">
        <f>IFERROR(__xludf.DUMMYFUNCTION("""COMPUTED_VALUE"""),"14:34:00Z")</f>
        <v>14:34:00Z</v>
      </c>
      <c r="J537" s="4" t="str">
        <f t="shared" si="2"/>
        <v>14:34:00</v>
      </c>
      <c r="K537" s="4">
        <f t="shared" si="3"/>
        <v>148</v>
      </c>
      <c r="L537" s="4">
        <f t="shared" si="4"/>
        <v>-0.2173611111</v>
      </c>
      <c r="M537" s="4">
        <f t="shared" si="5"/>
        <v>147.7826389</v>
      </c>
    </row>
    <row r="538">
      <c r="A538" s="4" t="s">
        <v>46</v>
      </c>
      <c r="B538" s="4" t="s">
        <v>1759</v>
      </c>
      <c r="C538" s="4" t="s">
        <v>1760</v>
      </c>
      <c r="D538" s="4" t="s">
        <v>1761</v>
      </c>
      <c r="E538" s="10">
        <f>IFERROR(__xludf.DUMMYFUNCTION("SPLIT(B538,""T"")"),43109.0)</f>
        <v>43109</v>
      </c>
      <c r="F538" s="4" t="str">
        <f>IFERROR(__xludf.DUMMYFUNCTION("""COMPUTED_VALUE"""),"12:43:00Z")</f>
        <v>12:43:00Z</v>
      </c>
      <c r="G538" s="11" t="str">
        <f t="shared" si="1"/>
        <v>12:43:00</v>
      </c>
      <c r="H538" s="10">
        <f>IFERROR(__xludf.DUMMYFUNCTION("SPLIT(D538,""T"")"),42962.0)</f>
        <v>42962</v>
      </c>
      <c r="I538" s="4" t="str">
        <f>IFERROR(__xludf.DUMMYFUNCTION("""COMPUTED_VALUE"""),"07:55:00Z")</f>
        <v>07:55:00Z</v>
      </c>
      <c r="J538" s="4" t="str">
        <f t="shared" si="2"/>
        <v>07:55:00</v>
      </c>
      <c r="K538" s="4">
        <f t="shared" si="3"/>
        <v>147</v>
      </c>
      <c r="L538" s="4">
        <f t="shared" si="4"/>
        <v>0.2</v>
      </c>
      <c r="M538" s="4">
        <f t="shared" si="5"/>
        <v>147.2</v>
      </c>
    </row>
    <row r="539">
      <c r="A539" s="4" t="s">
        <v>278</v>
      </c>
      <c r="B539" s="4" t="s">
        <v>2671</v>
      </c>
      <c r="C539" s="4" t="s">
        <v>767</v>
      </c>
      <c r="D539" s="4" t="s">
        <v>2734</v>
      </c>
      <c r="E539" s="10">
        <f>IFERROR(__xludf.DUMMYFUNCTION("SPLIT(B539,""T"")"),43469.0)</f>
        <v>43469</v>
      </c>
      <c r="F539" s="4" t="str">
        <f>IFERROR(__xludf.DUMMYFUNCTION("""COMPUTED_VALUE"""),"09:20:00Z")</f>
        <v>09:20:00Z</v>
      </c>
      <c r="G539" s="11" t="str">
        <f t="shared" si="1"/>
        <v>09:20:00</v>
      </c>
      <c r="H539" s="10">
        <f>IFERROR(__xludf.DUMMYFUNCTION("SPLIT(D539,""T"")"),43322.0)</f>
        <v>43322</v>
      </c>
      <c r="I539" s="4" t="str">
        <f>IFERROR(__xludf.DUMMYFUNCTION("""COMPUTED_VALUE"""),"16:57:00Z")</f>
        <v>16:57:00Z</v>
      </c>
      <c r="J539" s="4" t="str">
        <f t="shared" si="2"/>
        <v>16:57:00</v>
      </c>
      <c r="K539" s="4">
        <f t="shared" si="3"/>
        <v>147</v>
      </c>
      <c r="L539" s="4">
        <f t="shared" si="4"/>
        <v>-0.3173611111</v>
      </c>
      <c r="M539" s="4">
        <f t="shared" si="5"/>
        <v>146.6826389</v>
      </c>
    </row>
    <row r="540">
      <c r="A540" s="4" t="s">
        <v>114</v>
      </c>
      <c r="B540" s="4" t="s">
        <v>2671</v>
      </c>
      <c r="C540" s="4" t="s">
        <v>604</v>
      </c>
      <c r="D540" s="4" t="s">
        <v>2787</v>
      </c>
      <c r="E540" s="10">
        <f>IFERROR(__xludf.DUMMYFUNCTION("SPLIT(B540,""T"")"),43469.0)</f>
        <v>43469</v>
      </c>
      <c r="F540" s="4" t="str">
        <f>IFERROR(__xludf.DUMMYFUNCTION("""COMPUTED_VALUE"""),"09:20:00Z")</f>
        <v>09:20:00Z</v>
      </c>
      <c r="G540" s="11" t="str">
        <f t="shared" si="1"/>
        <v>09:20:00</v>
      </c>
      <c r="H540" s="10">
        <f>IFERROR(__xludf.DUMMYFUNCTION("SPLIT(D540,""T"")"),43323.0)</f>
        <v>43323</v>
      </c>
      <c r="I540" s="4" t="str">
        <f>IFERROR(__xludf.DUMMYFUNCTION("""COMPUTED_VALUE"""),"14:12:00Z")</f>
        <v>14:12:00Z</v>
      </c>
      <c r="J540" s="4" t="str">
        <f t="shared" si="2"/>
        <v>14:12:00</v>
      </c>
      <c r="K540" s="4">
        <f t="shared" si="3"/>
        <v>146</v>
      </c>
      <c r="L540" s="4">
        <f t="shared" si="4"/>
        <v>-0.2027777778</v>
      </c>
      <c r="M540" s="4">
        <f t="shared" si="5"/>
        <v>145.7972222</v>
      </c>
    </row>
    <row r="541">
      <c r="A541" s="4" t="s">
        <v>58</v>
      </c>
      <c r="B541" s="4" t="s">
        <v>1772</v>
      </c>
      <c r="C541" s="4" t="s">
        <v>2536</v>
      </c>
      <c r="D541" s="4" t="s">
        <v>2537</v>
      </c>
      <c r="E541" s="10">
        <f>IFERROR(__xludf.DUMMYFUNCTION("SPLIT(B541,""T"")"),43109.0)</f>
        <v>43109</v>
      </c>
      <c r="F541" s="4" t="str">
        <f>IFERROR(__xludf.DUMMYFUNCTION("""COMPUTED_VALUE"""),"12:42:00Z")</f>
        <v>12:42:00Z</v>
      </c>
      <c r="G541" s="11" t="str">
        <f t="shared" si="1"/>
        <v>12:42:00</v>
      </c>
      <c r="H541" s="10">
        <f>IFERROR(__xludf.DUMMYFUNCTION("SPLIT(D541,""T"")"),42964.0)</f>
        <v>42964</v>
      </c>
      <c r="I541" s="4" t="str">
        <f>IFERROR(__xludf.DUMMYFUNCTION("""COMPUTED_VALUE"""),"14:15:00Z")</f>
        <v>14:15:00Z</v>
      </c>
      <c r="J541" s="4" t="str">
        <f t="shared" si="2"/>
        <v>14:15:00</v>
      </c>
      <c r="K541" s="4">
        <f t="shared" si="3"/>
        <v>145</v>
      </c>
      <c r="L541" s="4">
        <f t="shared" si="4"/>
        <v>-0.06458333333</v>
      </c>
      <c r="M541" s="4">
        <f t="shared" si="5"/>
        <v>144.9354167</v>
      </c>
    </row>
    <row r="542">
      <c r="A542" s="4" t="s">
        <v>388</v>
      </c>
      <c r="B542" s="4" t="s">
        <v>2785</v>
      </c>
      <c r="C542" s="4" t="s">
        <v>730</v>
      </c>
      <c r="D542" s="4" t="s">
        <v>3167</v>
      </c>
      <c r="E542" s="10">
        <f>IFERROR(__xludf.DUMMYFUNCTION("SPLIT(B542,""T"")"),43469.0)</f>
        <v>43469</v>
      </c>
      <c r="F542" s="4" t="str">
        <f>IFERROR(__xludf.DUMMYFUNCTION("""COMPUTED_VALUE"""),"09:19:00Z")</f>
        <v>09:19:00Z</v>
      </c>
      <c r="G542" s="11" t="str">
        <f t="shared" si="1"/>
        <v>09:19:00</v>
      </c>
      <c r="H542" s="10">
        <f>IFERROR(__xludf.DUMMYFUNCTION("SPLIT(D542,""T"")"),43324.0)</f>
        <v>43324</v>
      </c>
      <c r="I542" s="4" t="str">
        <f>IFERROR(__xludf.DUMMYFUNCTION("""COMPUTED_VALUE"""),"14:20:00Z")</f>
        <v>14:20:00Z</v>
      </c>
      <c r="J542" s="4" t="str">
        <f t="shared" si="2"/>
        <v>14:20:00</v>
      </c>
      <c r="K542" s="4">
        <f t="shared" si="3"/>
        <v>145</v>
      </c>
      <c r="L542" s="4">
        <f t="shared" si="4"/>
        <v>-0.2090277778</v>
      </c>
      <c r="M542" s="4">
        <f t="shared" si="5"/>
        <v>144.7909722</v>
      </c>
    </row>
    <row r="543">
      <c r="A543" s="4" t="s">
        <v>62</v>
      </c>
      <c r="B543" s="4" t="s">
        <v>2785</v>
      </c>
      <c r="C543" s="4" t="s">
        <v>491</v>
      </c>
      <c r="D543" s="4" t="s">
        <v>2950</v>
      </c>
      <c r="E543" s="10">
        <f>IFERROR(__xludf.DUMMYFUNCTION("SPLIT(B543,""T"")"),43469.0)</f>
        <v>43469</v>
      </c>
      <c r="F543" s="4" t="str">
        <f>IFERROR(__xludf.DUMMYFUNCTION("""COMPUTED_VALUE"""),"09:19:00Z")</f>
        <v>09:19:00Z</v>
      </c>
      <c r="G543" s="11" t="str">
        <f t="shared" si="1"/>
        <v>09:19:00</v>
      </c>
      <c r="H543" s="10">
        <f>IFERROR(__xludf.DUMMYFUNCTION("SPLIT(D543,""T"")"),43325.0)</f>
        <v>43325</v>
      </c>
      <c r="I543" s="4" t="str">
        <f>IFERROR(__xludf.DUMMYFUNCTION("""COMPUTED_VALUE"""),"14:58:00Z")</f>
        <v>14:58:00Z</v>
      </c>
      <c r="J543" s="4" t="str">
        <f t="shared" si="2"/>
        <v>14:58:00</v>
      </c>
      <c r="K543" s="4">
        <f t="shared" si="3"/>
        <v>144</v>
      </c>
      <c r="L543" s="4">
        <f t="shared" si="4"/>
        <v>-0.2354166667</v>
      </c>
      <c r="M543" s="4">
        <f t="shared" si="5"/>
        <v>143.7645833</v>
      </c>
    </row>
    <row r="544">
      <c r="A544" s="4" t="s">
        <v>27</v>
      </c>
      <c r="B544" s="4" t="s">
        <v>1759</v>
      </c>
      <c r="C544" s="4" t="s">
        <v>1456</v>
      </c>
      <c r="D544" s="4" t="s">
        <v>2115</v>
      </c>
      <c r="E544" s="10">
        <f>IFERROR(__xludf.DUMMYFUNCTION("SPLIT(B544,""T"")"),43109.0)</f>
        <v>43109</v>
      </c>
      <c r="F544" s="4" t="str">
        <f>IFERROR(__xludf.DUMMYFUNCTION("""COMPUTED_VALUE"""),"12:43:00Z")</f>
        <v>12:43:00Z</v>
      </c>
      <c r="G544" s="11" t="str">
        <f t="shared" si="1"/>
        <v>12:43:00</v>
      </c>
      <c r="H544" s="10">
        <f>IFERROR(__xludf.DUMMYFUNCTION("SPLIT(D544,""T"")"),42966.0)</f>
        <v>42966</v>
      </c>
      <c r="I544" s="4" t="str">
        <f>IFERROR(__xludf.DUMMYFUNCTION("""COMPUTED_VALUE"""),"16:31:00Z")</f>
        <v>16:31:00Z</v>
      </c>
      <c r="J544" s="4" t="str">
        <f t="shared" si="2"/>
        <v>16:31:00</v>
      </c>
      <c r="K544" s="4">
        <f t="shared" si="3"/>
        <v>143</v>
      </c>
      <c r="L544" s="4">
        <f t="shared" si="4"/>
        <v>-0.1583333333</v>
      </c>
      <c r="M544" s="4">
        <f t="shared" si="5"/>
        <v>142.8416667</v>
      </c>
    </row>
    <row r="545">
      <c r="A545" s="4" t="s">
        <v>367</v>
      </c>
      <c r="B545" s="4" t="s">
        <v>1759</v>
      </c>
      <c r="C545" s="4" t="s">
        <v>1391</v>
      </c>
      <c r="D545" s="4" t="s">
        <v>1964</v>
      </c>
      <c r="E545" s="10">
        <f>IFERROR(__xludf.DUMMYFUNCTION("SPLIT(B545,""T"")"),43109.0)</f>
        <v>43109</v>
      </c>
      <c r="F545" s="4" t="str">
        <f>IFERROR(__xludf.DUMMYFUNCTION("""COMPUTED_VALUE"""),"12:43:00Z")</f>
        <v>12:43:00Z</v>
      </c>
      <c r="G545" s="11" t="str">
        <f t="shared" si="1"/>
        <v>12:43:00</v>
      </c>
      <c r="H545" s="10">
        <f>IFERROR(__xludf.DUMMYFUNCTION("SPLIT(D545,""T"")"),42967.0)</f>
        <v>42967</v>
      </c>
      <c r="I545" s="4" t="str">
        <f>IFERROR(__xludf.DUMMYFUNCTION("""COMPUTED_VALUE"""),"14:44:00Z")</f>
        <v>14:44:00Z</v>
      </c>
      <c r="J545" s="4" t="str">
        <f t="shared" si="2"/>
        <v>14:44:00</v>
      </c>
      <c r="K545" s="4">
        <f t="shared" si="3"/>
        <v>142</v>
      </c>
      <c r="L545" s="4">
        <f t="shared" si="4"/>
        <v>-0.08402777778</v>
      </c>
      <c r="M545" s="4">
        <f t="shared" si="5"/>
        <v>141.9159722</v>
      </c>
    </row>
    <row r="546">
      <c r="A546" s="4" t="s">
        <v>138</v>
      </c>
      <c r="B546" s="4" t="s">
        <v>1759</v>
      </c>
      <c r="C546" s="4" t="s">
        <v>2102</v>
      </c>
      <c r="D546" s="4" t="s">
        <v>2103</v>
      </c>
      <c r="E546" s="10">
        <f>IFERROR(__xludf.DUMMYFUNCTION("SPLIT(B546,""T"")"),43109.0)</f>
        <v>43109</v>
      </c>
      <c r="F546" s="4" t="str">
        <f>IFERROR(__xludf.DUMMYFUNCTION("""COMPUTED_VALUE"""),"12:43:00Z")</f>
        <v>12:43:00Z</v>
      </c>
      <c r="G546" s="11" t="str">
        <f t="shared" si="1"/>
        <v>12:43:00</v>
      </c>
      <c r="H546" s="10">
        <f>IFERROR(__xludf.DUMMYFUNCTION("SPLIT(D546,""T"")"),42967.0)</f>
        <v>42967</v>
      </c>
      <c r="I546" s="4" t="str">
        <f>IFERROR(__xludf.DUMMYFUNCTION("""COMPUTED_VALUE"""),"16:26:00Z")</f>
        <v>16:26:00Z</v>
      </c>
      <c r="J546" s="4" t="str">
        <f t="shared" si="2"/>
        <v>16:26:00</v>
      </c>
      <c r="K546" s="4">
        <f t="shared" si="3"/>
        <v>142</v>
      </c>
      <c r="L546" s="4">
        <f t="shared" si="4"/>
        <v>-0.1548611111</v>
      </c>
      <c r="M546" s="4">
        <f t="shared" si="5"/>
        <v>141.8451389</v>
      </c>
    </row>
    <row r="547">
      <c r="A547" s="4" t="s">
        <v>94</v>
      </c>
      <c r="B547" s="4" t="s">
        <v>2785</v>
      </c>
      <c r="C547" s="4" t="s">
        <v>164</v>
      </c>
      <c r="D547" s="4" t="s">
        <v>2786</v>
      </c>
      <c r="E547" s="10">
        <f>IFERROR(__xludf.DUMMYFUNCTION("SPLIT(B547,""T"")"),43469.0)</f>
        <v>43469</v>
      </c>
      <c r="F547" s="4" t="str">
        <f>IFERROR(__xludf.DUMMYFUNCTION("""COMPUTED_VALUE"""),"09:19:00Z")</f>
        <v>09:19:00Z</v>
      </c>
      <c r="G547" s="11" t="str">
        <f t="shared" si="1"/>
        <v>09:19:00</v>
      </c>
      <c r="H547" s="10">
        <f>IFERROR(__xludf.DUMMYFUNCTION("SPLIT(D547,""T"")"),43327.0)</f>
        <v>43327</v>
      </c>
      <c r="I547" s="4" t="str">
        <f>IFERROR(__xludf.DUMMYFUNCTION("""COMPUTED_VALUE"""),"17:14:00Z")</f>
        <v>17:14:00Z</v>
      </c>
      <c r="J547" s="4" t="str">
        <f t="shared" si="2"/>
        <v>17:14:00</v>
      </c>
      <c r="K547" s="4">
        <f t="shared" si="3"/>
        <v>142</v>
      </c>
      <c r="L547" s="4">
        <f t="shared" si="4"/>
        <v>-0.3298611111</v>
      </c>
      <c r="M547" s="4">
        <f t="shared" si="5"/>
        <v>141.6701389</v>
      </c>
    </row>
    <row r="548">
      <c r="A548" s="4" t="s">
        <v>145</v>
      </c>
      <c r="B548" s="4" t="s">
        <v>2671</v>
      </c>
      <c r="C548" s="4" t="s">
        <v>2049</v>
      </c>
      <c r="D548" s="4" t="s">
        <v>2672</v>
      </c>
      <c r="E548" s="10">
        <f>IFERROR(__xludf.DUMMYFUNCTION("SPLIT(B548,""T"")"),43469.0)</f>
        <v>43469</v>
      </c>
      <c r="F548" s="4" t="str">
        <f>IFERROR(__xludf.DUMMYFUNCTION("""COMPUTED_VALUE"""),"09:20:00Z")</f>
        <v>09:20:00Z</v>
      </c>
      <c r="G548" s="11" t="str">
        <f t="shared" si="1"/>
        <v>09:20:00</v>
      </c>
      <c r="H548" s="10">
        <f>IFERROR(__xludf.DUMMYFUNCTION("SPLIT(D548,""T"")"),43327.0)</f>
        <v>43327</v>
      </c>
      <c r="I548" s="4" t="str">
        <f>IFERROR(__xludf.DUMMYFUNCTION("""COMPUTED_VALUE"""),"18:05:00Z")</f>
        <v>18:05:00Z</v>
      </c>
      <c r="J548" s="4" t="str">
        <f t="shared" si="2"/>
        <v>18:05:00</v>
      </c>
      <c r="K548" s="4">
        <f t="shared" si="3"/>
        <v>142</v>
      </c>
      <c r="L548" s="4">
        <f t="shared" si="4"/>
        <v>-0.3645833333</v>
      </c>
      <c r="M548" s="4">
        <f t="shared" si="5"/>
        <v>141.6354167</v>
      </c>
    </row>
    <row r="549">
      <c r="A549" s="4" t="s">
        <v>50</v>
      </c>
      <c r="B549" s="4" t="s">
        <v>2712</v>
      </c>
      <c r="C549" s="4" t="s">
        <v>2713</v>
      </c>
      <c r="D549" s="4" t="s">
        <v>2714</v>
      </c>
      <c r="E549" s="10">
        <f>IFERROR(__xludf.DUMMYFUNCTION("SPLIT(B549,""T"")"),43469.0)</f>
        <v>43469</v>
      </c>
      <c r="F549" s="4" t="str">
        <f>IFERROR(__xludf.DUMMYFUNCTION("""COMPUTED_VALUE"""),"09:17:00Z")</f>
        <v>09:17:00Z</v>
      </c>
      <c r="G549" s="11" t="str">
        <f t="shared" si="1"/>
        <v>09:17:00</v>
      </c>
      <c r="H549" s="10">
        <f>IFERROR(__xludf.DUMMYFUNCTION("SPLIT(D549,""T"")"),43328.0)</f>
        <v>43328</v>
      </c>
      <c r="I549" s="4" t="str">
        <f>IFERROR(__xludf.DUMMYFUNCTION("""COMPUTED_VALUE"""),"09:18:00Z")</f>
        <v>09:18:00Z</v>
      </c>
      <c r="J549" s="4" t="str">
        <f t="shared" si="2"/>
        <v>09:18:00</v>
      </c>
      <c r="K549" s="4">
        <f t="shared" si="3"/>
        <v>141</v>
      </c>
      <c r="L549" s="4">
        <f t="shared" si="4"/>
        <v>-0.0006944444444</v>
      </c>
      <c r="M549" s="4">
        <f t="shared" si="5"/>
        <v>140.9993056</v>
      </c>
    </row>
    <row r="550">
      <c r="A550" s="4" t="s">
        <v>62</v>
      </c>
      <c r="B550" s="4" t="s">
        <v>1759</v>
      </c>
      <c r="C550" s="4" t="s">
        <v>2096</v>
      </c>
      <c r="D550" s="4" t="s">
        <v>2097</v>
      </c>
      <c r="E550" s="10">
        <f>IFERROR(__xludf.DUMMYFUNCTION("SPLIT(B550,""T"")"),43109.0)</f>
        <v>43109</v>
      </c>
      <c r="F550" s="4" t="str">
        <f>IFERROR(__xludf.DUMMYFUNCTION("""COMPUTED_VALUE"""),"12:43:00Z")</f>
        <v>12:43:00Z</v>
      </c>
      <c r="G550" s="11" t="str">
        <f t="shared" si="1"/>
        <v>12:43:00</v>
      </c>
      <c r="H550" s="10">
        <f>IFERROR(__xludf.DUMMYFUNCTION("SPLIT(D550,""T"")"),42968.0)</f>
        <v>42968</v>
      </c>
      <c r="I550" s="4" t="str">
        <f>IFERROR(__xludf.DUMMYFUNCTION("""COMPUTED_VALUE"""),"14:00:00Z")</f>
        <v>14:00:00Z</v>
      </c>
      <c r="J550" s="4" t="str">
        <f t="shared" si="2"/>
        <v>14:00:00</v>
      </c>
      <c r="K550" s="4">
        <f t="shared" si="3"/>
        <v>141</v>
      </c>
      <c r="L550" s="4">
        <f t="shared" si="4"/>
        <v>-0.05347222222</v>
      </c>
      <c r="M550" s="4">
        <f t="shared" si="5"/>
        <v>140.9465278</v>
      </c>
    </row>
    <row r="551">
      <c r="A551" s="4" t="s">
        <v>69</v>
      </c>
      <c r="B551" s="4" t="s">
        <v>2712</v>
      </c>
      <c r="C551" s="4" t="s">
        <v>1338</v>
      </c>
      <c r="D551" s="4" t="s">
        <v>2935</v>
      </c>
      <c r="E551" s="10">
        <f>IFERROR(__xludf.DUMMYFUNCTION("SPLIT(B551,""T"")"),43469.0)</f>
        <v>43469</v>
      </c>
      <c r="F551" s="4" t="str">
        <f>IFERROR(__xludf.DUMMYFUNCTION("""COMPUTED_VALUE"""),"09:17:00Z")</f>
        <v>09:17:00Z</v>
      </c>
      <c r="G551" s="11" t="str">
        <f t="shared" si="1"/>
        <v>09:17:00</v>
      </c>
      <c r="H551" s="10">
        <f>IFERROR(__xludf.DUMMYFUNCTION("SPLIT(D551,""T"")"),43328.0)</f>
        <v>43328</v>
      </c>
      <c r="I551" s="4" t="str">
        <f>IFERROR(__xludf.DUMMYFUNCTION("""COMPUTED_VALUE"""),"16:06:00Z")</f>
        <v>16:06:00Z</v>
      </c>
      <c r="J551" s="4" t="str">
        <f t="shared" si="2"/>
        <v>16:06:00</v>
      </c>
      <c r="K551" s="4">
        <f t="shared" si="3"/>
        <v>141</v>
      </c>
      <c r="L551" s="4">
        <f t="shared" si="4"/>
        <v>-0.2840277778</v>
      </c>
      <c r="M551" s="4">
        <f t="shared" si="5"/>
        <v>140.7159722</v>
      </c>
    </row>
    <row r="552">
      <c r="A552" s="4" t="s">
        <v>205</v>
      </c>
      <c r="B552" s="4" t="s">
        <v>1882</v>
      </c>
      <c r="C552" s="4" t="s">
        <v>1381</v>
      </c>
      <c r="D552" s="4" t="s">
        <v>2095</v>
      </c>
      <c r="E552" s="10">
        <f>IFERROR(__xludf.DUMMYFUNCTION("SPLIT(B552,""T"")"),43109.0)</f>
        <v>43109</v>
      </c>
      <c r="F552" s="4" t="str">
        <f>IFERROR(__xludf.DUMMYFUNCTION("""COMPUTED_VALUE"""),"12:44:00Z")</f>
        <v>12:44:00Z</v>
      </c>
      <c r="G552" s="11" t="str">
        <f t="shared" si="1"/>
        <v>12:44:00</v>
      </c>
      <c r="H552" s="10">
        <f>IFERROR(__xludf.DUMMYFUNCTION("SPLIT(D552,""T"")"),42969.0)</f>
        <v>42969</v>
      </c>
      <c r="I552" s="4" t="str">
        <f>IFERROR(__xludf.DUMMYFUNCTION("""COMPUTED_VALUE"""),"14:00:00Z")</f>
        <v>14:00:00Z</v>
      </c>
      <c r="J552" s="4" t="str">
        <f t="shared" si="2"/>
        <v>14:00:00</v>
      </c>
      <c r="K552" s="4">
        <f t="shared" si="3"/>
        <v>140</v>
      </c>
      <c r="L552" s="4">
        <f t="shared" si="4"/>
        <v>-0.05277777778</v>
      </c>
      <c r="M552" s="4">
        <f t="shared" si="5"/>
        <v>139.9472222</v>
      </c>
    </row>
    <row r="553">
      <c r="A553" s="4" t="s">
        <v>69</v>
      </c>
      <c r="B553" s="4" t="s">
        <v>2767</v>
      </c>
      <c r="C553" s="4" t="s">
        <v>3095</v>
      </c>
      <c r="D553" s="4" t="s">
        <v>3096</v>
      </c>
      <c r="E553" s="10">
        <f>IFERROR(__xludf.DUMMYFUNCTION("SPLIT(B553,""T"")"),43469.0)</f>
        <v>43469</v>
      </c>
      <c r="F553" s="4" t="str">
        <f>IFERROR(__xludf.DUMMYFUNCTION("""COMPUTED_VALUE"""),"09:16:00Z")</f>
        <v>09:16:00Z</v>
      </c>
      <c r="G553" s="11" t="str">
        <f t="shared" si="1"/>
        <v>09:16:00</v>
      </c>
      <c r="H553" s="10">
        <f>IFERROR(__xludf.DUMMYFUNCTION("SPLIT(D553,""T"")"),43329.0)</f>
        <v>43329</v>
      </c>
      <c r="I553" s="4" t="str">
        <f>IFERROR(__xludf.DUMMYFUNCTION("""COMPUTED_VALUE"""),"18:47:00Z")</f>
        <v>18:47:00Z</v>
      </c>
      <c r="J553" s="4" t="str">
        <f t="shared" si="2"/>
        <v>18:47:00</v>
      </c>
      <c r="K553" s="4">
        <f t="shared" si="3"/>
        <v>140</v>
      </c>
      <c r="L553" s="4">
        <f t="shared" si="4"/>
        <v>-0.3965277778</v>
      </c>
      <c r="M553" s="4">
        <f t="shared" si="5"/>
        <v>139.6034722</v>
      </c>
    </row>
    <row r="554">
      <c r="A554" s="4" t="s">
        <v>80</v>
      </c>
      <c r="B554" s="4" t="s">
        <v>2712</v>
      </c>
      <c r="C554" s="4" t="s">
        <v>3116</v>
      </c>
      <c r="D554" s="4" t="s">
        <v>3117</v>
      </c>
      <c r="E554" s="10">
        <f>IFERROR(__xludf.DUMMYFUNCTION("SPLIT(B554,""T"")"),43469.0)</f>
        <v>43469</v>
      </c>
      <c r="F554" s="4" t="str">
        <f>IFERROR(__xludf.DUMMYFUNCTION("""COMPUTED_VALUE"""),"09:17:00Z")</f>
        <v>09:17:00Z</v>
      </c>
      <c r="G554" s="11" t="str">
        <f t="shared" si="1"/>
        <v>09:17:00</v>
      </c>
      <c r="H554" s="10">
        <f>IFERROR(__xludf.DUMMYFUNCTION("SPLIT(D554,""T"")"),43329.0)</f>
        <v>43329</v>
      </c>
      <c r="I554" s="4" t="str">
        <f>IFERROR(__xludf.DUMMYFUNCTION("""COMPUTED_VALUE"""),"19:19:00Z")</f>
        <v>19:19:00Z</v>
      </c>
      <c r="J554" s="4" t="str">
        <f t="shared" si="2"/>
        <v>19:19:00</v>
      </c>
      <c r="K554" s="4">
        <f t="shared" si="3"/>
        <v>140</v>
      </c>
      <c r="L554" s="4">
        <f t="shared" si="4"/>
        <v>-0.4180555556</v>
      </c>
      <c r="M554" s="4">
        <f t="shared" si="5"/>
        <v>139.5819444</v>
      </c>
    </row>
    <row r="555">
      <c r="A555" s="4" t="s">
        <v>39</v>
      </c>
      <c r="B555" s="4" t="s">
        <v>1882</v>
      </c>
      <c r="C555" s="4" t="s">
        <v>2434</v>
      </c>
      <c r="D555" s="4" t="s">
        <v>2435</v>
      </c>
      <c r="E555" s="10">
        <f>IFERROR(__xludf.DUMMYFUNCTION("SPLIT(B555,""T"")"),43109.0)</f>
        <v>43109</v>
      </c>
      <c r="F555" s="4" t="str">
        <f>IFERROR(__xludf.DUMMYFUNCTION("""COMPUTED_VALUE"""),"12:44:00Z")</f>
        <v>12:44:00Z</v>
      </c>
      <c r="G555" s="11" t="str">
        <f t="shared" si="1"/>
        <v>12:44:00</v>
      </c>
      <c r="H555" s="10">
        <f>IFERROR(__xludf.DUMMYFUNCTION("SPLIT(D555,""T"")"),42970.0)</f>
        <v>42970</v>
      </c>
      <c r="I555" s="4" t="str">
        <f>IFERROR(__xludf.DUMMYFUNCTION("""COMPUTED_VALUE"""),"13:28:00Z")</f>
        <v>13:28:00Z</v>
      </c>
      <c r="J555" s="4" t="str">
        <f t="shared" si="2"/>
        <v>13:28:00</v>
      </c>
      <c r="K555" s="4">
        <f t="shared" si="3"/>
        <v>139</v>
      </c>
      <c r="L555" s="4">
        <f t="shared" si="4"/>
        <v>-0.03055555556</v>
      </c>
      <c r="M555" s="4">
        <f t="shared" si="5"/>
        <v>138.9694444</v>
      </c>
    </row>
    <row r="556">
      <c r="A556" s="4" t="s">
        <v>69</v>
      </c>
      <c r="B556" s="4" t="s">
        <v>2767</v>
      </c>
      <c r="C556" s="4" t="s">
        <v>2809</v>
      </c>
      <c r="D556" s="4" t="s">
        <v>2810</v>
      </c>
      <c r="E556" s="10">
        <f>IFERROR(__xludf.DUMMYFUNCTION("SPLIT(B556,""T"")"),43469.0)</f>
        <v>43469</v>
      </c>
      <c r="F556" s="4" t="str">
        <f>IFERROR(__xludf.DUMMYFUNCTION("""COMPUTED_VALUE"""),"09:16:00Z")</f>
        <v>09:16:00Z</v>
      </c>
      <c r="G556" s="11" t="str">
        <f t="shared" si="1"/>
        <v>09:16:00</v>
      </c>
      <c r="H556" s="10">
        <f>IFERROR(__xludf.DUMMYFUNCTION("SPLIT(D556,""T"")"),43330.0)</f>
        <v>43330</v>
      </c>
      <c r="I556" s="4" t="str">
        <f>IFERROR(__xludf.DUMMYFUNCTION("""COMPUTED_VALUE"""),"15:17:00Z")</f>
        <v>15:17:00Z</v>
      </c>
      <c r="J556" s="4" t="str">
        <f t="shared" si="2"/>
        <v>15:17:00</v>
      </c>
      <c r="K556" s="4">
        <f t="shared" si="3"/>
        <v>139</v>
      </c>
      <c r="L556" s="4">
        <f t="shared" si="4"/>
        <v>-0.2506944444</v>
      </c>
      <c r="M556" s="4">
        <f t="shared" si="5"/>
        <v>138.7493056</v>
      </c>
    </row>
    <row r="557">
      <c r="A557" s="4" t="s">
        <v>58</v>
      </c>
      <c r="B557" s="4" t="s">
        <v>2767</v>
      </c>
      <c r="C557" s="4" t="s">
        <v>2896</v>
      </c>
      <c r="D557" s="4" t="s">
        <v>2897</v>
      </c>
      <c r="E557" s="10">
        <f>IFERROR(__xludf.DUMMYFUNCTION("SPLIT(B557,""T"")"),43469.0)</f>
        <v>43469</v>
      </c>
      <c r="F557" s="4" t="str">
        <f>IFERROR(__xludf.DUMMYFUNCTION("""COMPUTED_VALUE"""),"09:16:00Z")</f>
        <v>09:16:00Z</v>
      </c>
      <c r="G557" s="11" t="str">
        <f t="shared" si="1"/>
        <v>09:16:00</v>
      </c>
      <c r="H557" s="10">
        <f>IFERROR(__xludf.DUMMYFUNCTION("SPLIT(D557,""T"")"),43331.0)</f>
        <v>43331</v>
      </c>
      <c r="I557" s="4" t="str">
        <f>IFERROR(__xludf.DUMMYFUNCTION("""COMPUTED_VALUE"""),"07:32:00Z")</f>
        <v>07:32:00Z</v>
      </c>
      <c r="J557" s="4" t="str">
        <f t="shared" si="2"/>
        <v>07:32:00</v>
      </c>
      <c r="K557" s="4">
        <f t="shared" si="3"/>
        <v>138</v>
      </c>
      <c r="L557" s="4">
        <f t="shared" si="4"/>
        <v>0.07222222222</v>
      </c>
      <c r="M557" s="4">
        <f t="shared" si="5"/>
        <v>138.0722222</v>
      </c>
    </row>
    <row r="558">
      <c r="A558" s="4" t="s">
        <v>97</v>
      </c>
      <c r="B558" s="4" t="s">
        <v>2767</v>
      </c>
      <c r="C558" s="4" t="s">
        <v>2768</v>
      </c>
      <c r="D558" s="4" t="s">
        <v>2769</v>
      </c>
      <c r="E558" s="10">
        <f>IFERROR(__xludf.DUMMYFUNCTION("SPLIT(B558,""T"")"),43469.0)</f>
        <v>43469</v>
      </c>
      <c r="F558" s="4" t="str">
        <f>IFERROR(__xludf.DUMMYFUNCTION("""COMPUTED_VALUE"""),"09:16:00Z")</f>
        <v>09:16:00Z</v>
      </c>
      <c r="G558" s="11" t="str">
        <f t="shared" si="1"/>
        <v>09:16:00</v>
      </c>
      <c r="H558" s="10">
        <f>IFERROR(__xludf.DUMMYFUNCTION("SPLIT(D558,""T"")"),43331.0)</f>
        <v>43331</v>
      </c>
      <c r="I558" s="4" t="str">
        <f>IFERROR(__xludf.DUMMYFUNCTION("""COMPUTED_VALUE"""),"13:37:00Z")</f>
        <v>13:37:00Z</v>
      </c>
      <c r="J558" s="4" t="str">
        <f t="shared" si="2"/>
        <v>13:37:00</v>
      </c>
      <c r="K558" s="4">
        <f t="shared" si="3"/>
        <v>138</v>
      </c>
      <c r="L558" s="4">
        <f t="shared" si="4"/>
        <v>-0.18125</v>
      </c>
      <c r="M558" s="4">
        <f t="shared" si="5"/>
        <v>137.81875</v>
      </c>
    </row>
    <row r="559">
      <c r="A559" s="4" t="s">
        <v>1768</v>
      </c>
      <c r="B559" s="4" t="s">
        <v>1882</v>
      </c>
      <c r="C559" s="4" t="s">
        <v>1883</v>
      </c>
      <c r="D559" s="4" t="s">
        <v>1884</v>
      </c>
      <c r="E559" s="10">
        <f>IFERROR(__xludf.DUMMYFUNCTION("SPLIT(B559,""T"")"),43109.0)</f>
        <v>43109</v>
      </c>
      <c r="F559" s="4" t="str">
        <f>IFERROR(__xludf.DUMMYFUNCTION("""COMPUTED_VALUE"""),"12:44:00Z")</f>
        <v>12:44:00Z</v>
      </c>
      <c r="G559" s="11" t="str">
        <f t="shared" si="1"/>
        <v>12:44:00</v>
      </c>
      <c r="H559" s="10">
        <f>IFERROR(__xludf.DUMMYFUNCTION("SPLIT(D559,""T"")"),42971.0)</f>
        <v>42971</v>
      </c>
      <c r="I559" s="4" t="str">
        <f>IFERROR(__xludf.DUMMYFUNCTION("""COMPUTED_VALUE"""),"18:13:00Z")</f>
        <v>18:13:00Z</v>
      </c>
      <c r="J559" s="4" t="str">
        <f t="shared" si="2"/>
        <v>18:13:00</v>
      </c>
      <c r="K559" s="4">
        <f t="shared" si="3"/>
        <v>138</v>
      </c>
      <c r="L559" s="4">
        <f t="shared" si="4"/>
        <v>-0.2284722222</v>
      </c>
      <c r="M559" s="4">
        <f t="shared" si="5"/>
        <v>137.7715278</v>
      </c>
    </row>
    <row r="560">
      <c r="A560" s="4" t="s">
        <v>27</v>
      </c>
      <c r="B560" s="4" t="s">
        <v>2767</v>
      </c>
      <c r="C560" s="4" t="s">
        <v>3224</v>
      </c>
      <c r="D560" s="4" t="s">
        <v>3225</v>
      </c>
      <c r="E560" s="10">
        <f>IFERROR(__xludf.DUMMYFUNCTION("SPLIT(B560,""T"")"),43469.0)</f>
        <v>43469</v>
      </c>
      <c r="F560" s="4" t="str">
        <f>IFERROR(__xludf.DUMMYFUNCTION("""COMPUTED_VALUE"""),"09:16:00Z")</f>
        <v>09:16:00Z</v>
      </c>
      <c r="G560" s="11" t="str">
        <f t="shared" si="1"/>
        <v>09:16:00</v>
      </c>
      <c r="H560" s="10">
        <f>IFERROR(__xludf.DUMMYFUNCTION("SPLIT(D560,""T"")"),43331.0)</f>
        <v>43331</v>
      </c>
      <c r="I560" s="4" t="str">
        <f>IFERROR(__xludf.DUMMYFUNCTION("""COMPUTED_VALUE"""),"15:55:00Z")</f>
        <v>15:55:00Z</v>
      </c>
      <c r="J560" s="4" t="str">
        <f t="shared" si="2"/>
        <v>15:55:00</v>
      </c>
      <c r="K560" s="4">
        <f t="shared" si="3"/>
        <v>138</v>
      </c>
      <c r="L560" s="4">
        <f t="shared" si="4"/>
        <v>-0.2770833333</v>
      </c>
      <c r="M560" s="4">
        <f t="shared" si="5"/>
        <v>137.7229167</v>
      </c>
    </row>
    <row r="561">
      <c r="A561" s="4" t="s">
        <v>62</v>
      </c>
      <c r="B561" s="4" t="s">
        <v>1882</v>
      </c>
      <c r="C561" s="4" t="s">
        <v>2283</v>
      </c>
      <c r="D561" s="4" t="s">
        <v>2284</v>
      </c>
      <c r="E561" s="10">
        <f>IFERROR(__xludf.DUMMYFUNCTION("SPLIT(B561,""T"")"),43109.0)</f>
        <v>43109</v>
      </c>
      <c r="F561" s="4" t="str">
        <f>IFERROR(__xludf.DUMMYFUNCTION("""COMPUTED_VALUE"""),"12:44:00Z")</f>
        <v>12:44:00Z</v>
      </c>
      <c r="G561" s="11" t="str">
        <f t="shared" si="1"/>
        <v>12:44:00</v>
      </c>
      <c r="H561" s="10">
        <f>IFERROR(__xludf.DUMMYFUNCTION("SPLIT(D561,""T"")"),42973.0)</f>
        <v>42973</v>
      </c>
      <c r="I561" s="4" t="str">
        <f>IFERROR(__xludf.DUMMYFUNCTION("""COMPUTED_VALUE"""),"11:30:00Z")</f>
        <v>11:30:00Z</v>
      </c>
      <c r="J561" s="4" t="str">
        <f t="shared" si="2"/>
        <v>11:30:00</v>
      </c>
      <c r="K561" s="4">
        <f t="shared" si="3"/>
        <v>136</v>
      </c>
      <c r="L561" s="4">
        <f t="shared" si="4"/>
        <v>0.05138888889</v>
      </c>
      <c r="M561" s="4">
        <f t="shared" si="5"/>
        <v>136.0513889</v>
      </c>
    </row>
    <row r="562">
      <c r="A562" s="4" t="s">
        <v>320</v>
      </c>
      <c r="B562" s="4" t="s">
        <v>1882</v>
      </c>
      <c r="C562" s="4" t="s">
        <v>2119</v>
      </c>
      <c r="D562" s="4" t="s">
        <v>2120</v>
      </c>
      <c r="E562" s="10">
        <f>IFERROR(__xludf.DUMMYFUNCTION("SPLIT(B562,""T"")"),43109.0)</f>
        <v>43109</v>
      </c>
      <c r="F562" s="4" t="str">
        <f>IFERROR(__xludf.DUMMYFUNCTION("""COMPUTED_VALUE"""),"12:44:00Z")</f>
        <v>12:44:00Z</v>
      </c>
      <c r="G562" s="11" t="str">
        <f t="shared" si="1"/>
        <v>12:44:00</v>
      </c>
      <c r="H562" s="10">
        <f>IFERROR(__xludf.DUMMYFUNCTION("SPLIT(D562,""T"")"),42973.0)</f>
        <v>42973</v>
      </c>
      <c r="I562" s="4" t="str">
        <f>IFERROR(__xludf.DUMMYFUNCTION("""COMPUTED_VALUE"""),"12:35:00Z")</f>
        <v>12:35:00Z</v>
      </c>
      <c r="J562" s="4" t="str">
        <f t="shared" si="2"/>
        <v>12:35:00</v>
      </c>
      <c r="K562" s="4">
        <f t="shared" si="3"/>
        <v>136</v>
      </c>
      <c r="L562" s="4">
        <f t="shared" si="4"/>
        <v>0.00625</v>
      </c>
      <c r="M562" s="4">
        <f t="shared" si="5"/>
        <v>136.00625</v>
      </c>
    </row>
    <row r="563">
      <c r="A563" s="4" t="s">
        <v>39</v>
      </c>
      <c r="B563" s="4" t="s">
        <v>2177</v>
      </c>
      <c r="C563" s="4" t="s">
        <v>1015</v>
      </c>
      <c r="D563" s="4" t="s">
        <v>2178</v>
      </c>
      <c r="E563" s="10">
        <f>IFERROR(__xludf.DUMMYFUNCTION("SPLIT(B563,""T"")"),43109.0)</f>
        <v>43109</v>
      </c>
      <c r="F563" s="4" t="str">
        <f>IFERROR(__xludf.DUMMYFUNCTION("""COMPUTED_VALUE"""),"12:45:00Z")</f>
        <v>12:45:00Z</v>
      </c>
      <c r="G563" s="11" t="str">
        <f t="shared" si="1"/>
        <v>12:45:00</v>
      </c>
      <c r="H563" s="10">
        <f>IFERROR(__xludf.DUMMYFUNCTION("SPLIT(D563,""T"")"),42973.0)</f>
        <v>42973</v>
      </c>
      <c r="I563" s="4" t="str">
        <f>IFERROR(__xludf.DUMMYFUNCTION("""COMPUTED_VALUE"""),"14:31:00Z")</f>
        <v>14:31:00Z</v>
      </c>
      <c r="J563" s="4" t="str">
        <f t="shared" si="2"/>
        <v>14:31:00</v>
      </c>
      <c r="K563" s="4">
        <f t="shared" si="3"/>
        <v>136</v>
      </c>
      <c r="L563" s="4">
        <f t="shared" si="4"/>
        <v>-0.07361111111</v>
      </c>
      <c r="M563" s="4">
        <f t="shared" si="5"/>
        <v>135.9263889</v>
      </c>
    </row>
    <row r="564">
      <c r="A564" s="4" t="s">
        <v>54</v>
      </c>
      <c r="B564" s="4" t="s">
        <v>2177</v>
      </c>
      <c r="C564" s="4" t="s">
        <v>2387</v>
      </c>
      <c r="D564" s="4" t="s">
        <v>2388</v>
      </c>
      <c r="E564" s="10">
        <f>IFERROR(__xludf.DUMMYFUNCTION("SPLIT(B564,""T"")"),43109.0)</f>
        <v>43109</v>
      </c>
      <c r="F564" s="4" t="str">
        <f>IFERROR(__xludf.DUMMYFUNCTION("""COMPUTED_VALUE"""),"12:45:00Z")</f>
        <v>12:45:00Z</v>
      </c>
      <c r="G564" s="11" t="str">
        <f t="shared" si="1"/>
        <v>12:45:00</v>
      </c>
      <c r="H564" s="10">
        <f>IFERROR(__xludf.DUMMYFUNCTION("SPLIT(D564,""T"")"),42973.0)</f>
        <v>42973</v>
      </c>
      <c r="I564" s="4" t="str">
        <f>IFERROR(__xludf.DUMMYFUNCTION("""COMPUTED_VALUE"""),"15:03:00Z")</f>
        <v>15:03:00Z</v>
      </c>
      <c r="J564" s="4" t="str">
        <f t="shared" si="2"/>
        <v>15:03:00</v>
      </c>
      <c r="K564" s="4">
        <f t="shared" si="3"/>
        <v>136</v>
      </c>
      <c r="L564" s="4">
        <f t="shared" si="4"/>
        <v>-0.09583333333</v>
      </c>
      <c r="M564" s="4">
        <f t="shared" si="5"/>
        <v>135.9041667</v>
      </c>
    </row>
    <row r="565">
      <c r="A565" s="4" t="s">
        <v>73</v>
      </c>
      <c r="B565" s="4" t="s">
        <v>2177</v>
      </c>
      <c r="C565" s="4" t="s">
        <v>2527</v>
      </c>
      <c r="D565" s="4" t="s">
        <v>2528</v>
      </c>
      <c r="E565" s="10">
        <f>IFERROR(__xludf.DUMMYFUNCTION("SPLIT(B565,""T"")"),43109.0)</f>
        <v>43109</v>
      </c>
      <c r="F565" s="4" t="str">
        <f>IFERROR(__xludf.DUMMYFUNCTION("""COMPUTED_VALUE"""),"12:45:00Z")</f>
        <v>12:45:00Z</v>
      </c>
      <c r="G565" s="11" t="str">
        <f t="shared" si="1"/>
        <v>12:45:00</v>
      </c>
      <c r="H565" s="10">
        <f>IFERROR(__xludf.DUMMYFUNCTION("SPLIT(D565,""T"")"),42974.0)</f>
        <v>42974</v>
      </c>
      <c r="I565" s="4" t="str">
        <f>IFERROR(__xludf.DUMMYFUNCTION("""COMPUTED_VALUE"""),"13:30:00Z")</f>
        <v>13:30:00Z</v>
      </c>
      <c r="J565" s="4" t="str">
        <f t="shared" si="2"/>
        <v>13:30:00</v>
      </c>
      <c r="K565" s="4">
        <f t="shared" si="3"/>
        <v>135</v>
      </c>
      <c r="L565" s="4">
        <f t="shared" si="4"/>
        <v>-0.03125</v>
      </c>
      <c r="M565" s="4">
        <f t="shared" si="5"/>
        <v>134.96875</v>
      </c>
    </row>
    <row r="566">
      <c r="A566" s="4" t="s">
        <v>27</v>
      </c>
      <c r="B566" s="4" t="s">
        <v>2177</v>
      </c>
      <c r="C566" s="4" t="s">
        <v>1278</v>
      </c>
      <c r="D566" s="4" t="s">
        <v>2346</v>
      </c>
      <c r="E566" s="10">
        <f>IFERROR(__xludf.DUMMYFUNCTION("SPLIT(B566,""T"")"),43109.0)</f>
        <v>43109</v>
      </c>
      <c r="F566" s="4" t="str">
        <f>IFERROR(__xludf.DUMMYFUNCTION("""COMPUTED_VALUE"""),"12:45:00Z")</f>
        <v>12:45:00Z</v>
      </c>
      <c r="G566" s="11" t="str">
        <f t="shared" si="1"/>
        <v>12:45:00</v>
      </c>
      <c r="H566" s="10">
        <f>IFERROR(__xludf.DUMMYFUNCTION("SPLIT(D566,""T"")"),42974.0)</f>
        <v>42974</v>
      </c>
      <c r="I566" s="4" t="str">
        <f>IFERROR(__xludf.DUMMYFUNCTION("""COMPUTED_VALUE"""),"14:51:00Z")</f>
        <v>14:51:00Z</v>
      </c>
      <c r="J566" s="4" t="str">
        <f t="shared" si="2"/>
        <v>14:51:00</v>
      </c>
      <c r="K566" s="4">
        <f t="shared" si="3"/>
        <v>135</v>
      </c>
      <c r="L566" s="4">
        <f t="shared" si="4"/>
        <v>-0.0875</v>
      </c>
      <c r="M566" s="4">
        <f t="shared" si="5"/>
        <v>134.9125</v>
      </c>
    </row>
    <row r="567">
      <c r="A567" s="4" t="s">
        <v>27</v>
      </c>
      <c r="B567" s="4" t="s">
        <v>2833</v>
      </c>
      <c r="C567" s="4" t="s">
        <v>3139</v>
      </c>
      <c r="D567" s="4" t="s">
        <v>3140</v>
      </c>
      <c r="E567" s="10">
        <f>IFERROR(__xludf.DUMMYFUNCTION("SPLIT(B567,""T"")"),43469.0)</f>
        <v>43469</v>
      </c>
      <c r="F567" s="4" t="str">
        <f>IFERROR(__xludf.DUMMYFUNCTION("""COMPUTED_VALUE"""),"09:15:00Z")</f>
        <v>09:15:00Z</v>
      </c>
      <c r="G567" s="11" t="str">
        <f t="shared" si="1"/>
        <v>09:15:00</v>
      </c>
      <c r="H567" s="10">
        <f>IFERROR(__xludf.DUMMYFUNCTION("SPLIT(D567,""T"")"),43334.0)</f>
        <v>43334</v>
      </c>
      <c r="I567" s="4" t="str">
        <f>IFERROR(__xludf.DUMMYFUNCTION("""COMPUTED_VALUE"""),"13:45:00Z")</f>
        <v>13:45:00Z</v>
      </c>
      <c r="J567" s="4" t="str">
        <f t="shared" si="2"/>
        <v>13:45:00</v>
      </c>
      <c r="K567" s="4">
        <f t="shared" si="3"/>
        <v>135</v>
      </c>
      <c r="L567" s="4">
        <f t="shared" si="4"/>
        <v>-0.1875</v>
      </c>
      <c r="M567" s="4">
        <f t="shared" si="5"/>
        <v>134.8125</v>
      </c>
    </row>
    <row r="568">
      <c r="A568" s="4" t="s">
        <v>205</v>
      </c>
      <c r="B568" s="4" t="s">
        <v>2177</v>
      </c>
      <c r="C568" s="4" t="s">
        <v>2356</v>
      </c>
      <c r="D568" s="4" t="s">
        <v>2357</v>
      </c>
      <c r="E568" s="10">
        <f>IFERROR(__xludf.DUMMYFUNCTION("SPLIT(B568,""T"")"),43109.0)</f>
        <v>43109</v>
      </c>
      <c r="F568" s="4" t="str">
        <f>IFERROR(__xludf.DUMMYFUNCTION("""COMPUTED_VALUE"""),"12:45:00Z")</f>
        <v>12:45:00Z</v>
      </c>
      <c r="G568" s="11" t="str">
        <f t="shared" si="1"/>
        <v>12:45:00</v>
      </c>
      <c r="H568" s="10">
        <f>IFERROR(__xludf.DUMMYFUNCTION("SPLIT(D568,""T"")"),42974.0)</f>
        <v>42974</v>
      </c>
      <c r="I568" s="4" t="str">
        <f>IFERROR(__xludf.DUMMYFUNCTION("""COMPUTED_VALUE"""),"17:45:00Z")</f>
        <v>17:45:00Z</v>
      </c>
      <c r="J568" s="4" t="str">
        <f t="shared" si="2"/>
        <v>17:45:00</v>
      </c>
      <c r="K568" s="4">
        <f t="shared" si="3"/>
        <v>135</v>
      </c>
      <c r="L568" s="4">
        <f t="shared" si="4"/>
        <v>-0.2083333333</v>
      </c>
      <c r="M568" s="4">
        <f t="shared" si="5"/>
        <v>134.7916667</v>
      </c>
    </row>
    <row r="569">
      <c r="A569" s="4" t="s">
        <v>39</v>
      </c>
      <c r="B569" s="4" t="s">
        <v>1811</v>
      </c>
      <c r="C569" s="4" t="s">
        <v>1914</v>
      </c>
      <c r="D569" s="4" t="s">
        <v>2271</v>
      </c>
      <c r="E569" s="10">
        <f>IFERROR(__xludf.DUMMYFUNCTION("SPLIT(B569,""T"")"),43109.0)</f>
        <v>43109</v>
      </c>
      <c r="F569" s="4" t="str">
        <f>IFERROR(__xludf.DUMMYFUNCTION("""COMPUTED_VALUE"""),"12:46:00Z")</f>
        <v>12:46:00Z</v>
      </c>
      <c r="G569" s="11" t="str">
        <f t="shared" si="1"/>
        <v>12:46:00</v>
      </c>
      <c r="H569" s="10">
        <f>IFERROR(__xludf.DUMMYFUNCTION("SPLIT(D569,""T"")"),42974.0)</f>
        <v>42974</v>
      </c>
      <c r="I569" s="4" t="str">
        <f>IFERROR(__xludf.DUMMYFUNCTION("""COMPUTED_VALUE"""),"18:47:00Z")</f>
        <v>18:47:00Z</v>
      </c>
      <c r="J569" s="4" t="str">
        <f t="shared" si="2"/>
        <v>18:47:00</v>
      </c>
      <c r="K569" s="4">
        <f t="shared" si="3"/>
        <v>135</v>
      </c>
      <c r="L569" s="4">
        <f t="shared" si="4"/>
        <v>-0.2506944444</v>
      </c>
      <c r="M569" s="4">
        <f t="shared" si="5"/>
        <v>134.7493056</v>
      </c>
    </row>
    <row r="570">
      <c r="A570" s="4" t="s">
        <v>50</v>
      </c>
      <c r="B570" s="4" t="s">
        <v>1811</v>
      </c>
      <c r="C570" s="4" t="s">
        <v>2385</v>
      </c>
      <c r="D570" s="4" t="s">
        <v>2386</v>
      </c>
      <c r="E570" s="10">
        <f>IFERROR(__xludf.DUMMYFUNCTION("SPLIT(B570,""T"")"),43109.0)</f>
        <v>43109</v>
      </c>
      <c r="F570" s="4" t="str">
        <f>IFERROR(__xludf.DUMMYFUNCTION("""COMPUTED_VALUE"""),"12:46:00Z")</f>
        <v>12:46:00Z</v>
      </c>
      <c r="G570" s="11" t="str">
        <f t="shared" si="1"/>
        <v>12:46:00</v>
      </c>
      <c r="H570" s="10">
        <f>IFERROR(__xludf.DUMMYFUNCTION("SPLIT(D570,""T"")"),42975.0)</f>
        <v>42975</v>
      </c>
      <c r="I570" s="4" t="str">
        <f>IFERROR(__xludf.DUMMYFUNCTION("""COMPUTED_VALUE"""),"08:01:00Z")</f>
        <v>08:01:00Z</v>
      </c>
      <c r="J570" s="4" t="str">
        <f t="shared" si="2"/>
        <v>08:01:00</v>
      </c>
      <c r="K570" s="4">
        <f t="shared" si="3"/>
        <v>134</v>
      </c>
      <c r="L570" s="4">
        <f t="shared" si="4"/>
        <v>0.1979166667</v>
      </c>
      <c r="M570" s="4">
        <f t="shared" si="5"/>
        <v>134.1979167</v>
      </c>
    </row>
    <row r="571">
      <c r="A571" s="4" t="s">
        <v>324</v>
      </c>
      <c r="B571" s="4" t="s">
        <v>1811</v>
      </c>
      <c r="C571" s="4" t="s">
        <v>2593</v>
      </c>
      <c r="D571" s="4" t="s">
        <v>2594</v>
      </c>
      <c r="E571" s="10">
        <f>IFERROR(__xludf.DUMMYFUNCTION("SPLIT(B571,""T"")"),43109.0)</f>
        <v>43109</v>
      </c>
      <c r="F571" s="4" t="str">
        <f>IFERROR(__xludf.DUMMYFUNCTION("""COMPUTED_VALUE"""),"12:46:00Z")</f>
        <v>12:46:00Z</v>
      </c>
      <c r="G571" s="11" t="str">
        <f t="shared" si="1"/>
        <v>12:46:00</v>
      </c>
      <c r="H571" s="10">
        <f>IFERROR(__xludf.DUMMYFUNCTION("SPLIT(D571,""T"")"),42975.0)</f>
        <v>42975</v>
      </c>
      <c r="I571" s="4" t="str">
        <f>IFERROR(__xludf.DUMMYFUNCTION("""COMPUTED_VALUE"""),"17:06:00Z")</f>
        <v>17:06:00Z</v>
      </c>
      <c r="J571" s="4" t="str">
        <f t="shared" si="2"/>
        <v>17:06:00</v>
      </c>
      <c r="K571" s="4">
        <f t="shared" si="3"/>
        <v>134</v>
      </c>
      <c r="L571" s="4">
        <f t="shared" si="4"/>
        <v>-0.1805555556</v>
      </c>
      <c r="M571" s="4">
        <f t="shared" si="5"/>
        <v>133.8194444</v>
      </c>
    </row>
    <row r="572">
      <c r="A572" s="4" t="s">
        <v>156</v>
      </c>
      <c r="B572" s="4" t="s">
        <v>2833</v>
      </c>
      <c r="C572" s="4" t="s">
        <v>2018</v>
      </c>
      <c r="D572" s="4" t="s">
        <v>2834</v>
      </c>
      <c r="E572" s="10">
        <f>IFERROR(__xludf.DUMMYFUNCTION("SPLIT(B572,""T"")"),43469.0)</f>
        <v>43469</v>
      </c>
      <c r="F572" s="4" t="str">
        <f>IFERROR(__xludf.DUMMYFUNCTION("""COMPUTED_VALUE"""),"09:15:00Z")</f>
        <v>09:15:00Z</v>
      </c>
      <c r="G572" s="11" t="str">
        <f t="shared" si="1"/>
        <v>09:15:00</v>
      </c>
      <c r="H572" s="10">
        <f>IFERROR(__xludf.DUMMYFUNCTION("SPLIT(D572,""T"")"),43335.0)</f>
        <v>43335</v>
      </c>
      <c r="I572" s="4" t="str">
        <f>IFERROR(__xludf.DUMMYFUNCTION("""COMPUTED_VALUE"""),"15:40:00Z")</f>
        <v>15:40:00Z</v>
      </c>
      <c r="J572" s="4" t="str">
        <f t="shared" si="2"/>
        <v>15:40:00</v>
      </c>
      <c r="K572" s="4">
        <f t="shared" si="3"/>
        <v>134</v>
      </c>
      <c r="L572" s="4">
        <f t="shared" si="4"/>
        <v>-0.2673611111</v>
      </c>
      <c r="M572" s="4">
        <f t="shared" si="5"/>
        <v>133.7326389</v>
      </c>
    </row>
    <row r="573" hidden="1">
      <c r="A573" s="4" t="s">
        <v>388</v>
      </c>
      <c r="B573" s="4" t="s">
        <v>1148</v>
      </c>
      <c r="C573" s="4" t="s">
        <v>1638</v>
      </c>
      <c r="D573" s="4" t="s">
        <v>1639</v>
      </c>
      <c r="E573" s="10">
        <f>IFERROR(__xludf.DUMMYFUNCTION("SPLIT(B573,""T"")"),25568.0)</f>
        <v>25568</v>
      </c>
      <c r="F573" s="4" t="str">
        <f>IFERROR(__xludf.DUMMYFUNCTION("""COMPUTED_VALUE"""),"16:00:00Z")</f>
        <v>16:00:00Z</v>
      </c>
      <c r="G573" s="11" t="str">
        <f t="shared" si="1"/>
        <v>16:00:00</v>
      </c>
      <c r="H573" s="10">
        <f>IFERROR(__xludf.DUMMYFUNCTION("SPLIT(D573,""T"")"),42620.0)</f>
        <v>42620</v>
      </c>
      <c r="I573" s="4" t="str">
        <f>IFERROR(__xludf.DUMMYFUNCTION("""COMPUTED_VALUE"""),"15:09:00Z")</f>
        <v>15:09:00Z</v>
      </c>
      <c r="J573" s="4" t="str">
        <f t="shared" si="2"/>
        <v>15:09:00</v>
      </c>
      <c r="K573" s="4">
        <f t="shared" si="3"/>
        <v>-17052</v>
      </c>
      <c r="L573" s="4">
        <f t="shared" si="4"/>
        <v>0.03541666667</v>
      </c>
      <c r="M573" s="4">
        <f t="shared" si="5"/>
        <v>-17051.96458</v>
      </c>
    </row>
    <row r="574">
      <c r="A574" s="4" t="s">
        <v>46</v>
      </c>
      <c r="B574" s="4" t="s">
        <v>1811</v>
      </c>
      <c r="C574" s="4" t="s">
        <v>1517</v>
      </c>
      <c r="D574" s="4" t="s">
        <v>2314</v>
      </c>
      <c r="E574" s="10">
        <f>IFERROR(__xludf.DUMMYFUNCTION("SPLIT(B574,""T"")"),43109.0)</f>
        <v>43109</v>
      </c>
      <c r="F574" s="4" t="str">
        <f>IFERROR(__xludf.DUMMYFUNCTION("""COMPUTED_VALUE"""),"12:46:00Z")</f>
        <v>12:46:00Z</v>
      </c>
      <c r="G574" s="11" t="str">
        <f t="shared" si="1"/>
        <v>12:46:00</v>
      </c>
      <c r="H574" s="10">
        <f>IFERROR(__xludf.DUMMYFUNCTION("SPLIT(D574,""T"")"),42975.0)</f>
        <v>42975</v>
      </c>
      <c r="I574" s="4" t="str">
        <f>IFERROR(__xludf.DUMMYFUNCTION("""COMPUTED_VALUE"""),"21:38:00Z")</f>
        <v>21:38:00Z</v>
      </c>
      <c r="J574" s="4" t="str">
        <f t="shared" si="2"/>
        <v>21:38:00</v>
      </c>
      <c r="K574" s="4">
        <f t="shared" si="3"/>
        <v>134</v>
      </c>
      <c r="L574" s="4">
        <f t="shared" si="4"/>
        <v>-0.3694444444</v>
      </c>
      <c r="M574" s="4">
        <f t="shared" si="5"/>
        <v>133.6305556</v>
      </c>
    </row>
    <row r="575">
      <c r="A575" s="4" t="s">
        <v>46</v>
      </c>
      <c r="B575" s="4" t="s">
        <v>1811</v>
      </c>
      <c r="C575" s="4" t="s">
        <v>1517</v>
      </c>
      <c r="D575" s="4" t="s">
        <v>2313</v>
      </c>
      <c r="E575" s="10">
        <f>IFERROR(__xludf.DUMMYFUNCTION("SPLIT(B575,""T"")"),43109.0)</f>
        <v>43109</v>
      </c>
      <c r="F575" s="4" t="str">
        <f>IFERROR(__xludf.DUMMYFUNCTION("""COMPUTED_VALUE"""),"12:46:00Z")</f>
        <v>12:46:00Z</v>
      </c>
      <c r="G575" s="11" t="str">
        <f t="shared" si="1"/>
        <v>12:46:00</v>
      </c>
      <c r="H575" s="10">
        <f>IFERROR(__xludf.DUMMYFUNCTION("SPLIT(D575,""T"")"),42975.0)</f>
        <v>42975</v>
      </c>
      <c r="I575" s="4" t="str">
        <f>IFERROR(__xludf.DUMMYFUNCTION("""COMPUTED_VALUE"""),"22:00:00Z")</f>
        <v>22:00:00Z</v>
      </c>
      <c r="J575" s="4" t="str">
        <f t="shared" si="2"/>
        <v>22:00:00</v>
      </c>
      <c r="K575" s="4">
        <f t="shared" si="3"/>
        <v>134</v>
      </c>
      <c r="L575" s="4">
        <f t="shared" si="4"/>
        <v>-0.3847222222</v>
      </c>
      <c r="M575" s="4">
        <f t="shared" si="5"/>
        <v>133.6152778</v>
      </c>
    </row>
    <row r="576">
      <c r="A576" s="4" t="s">
        <v>94</v>
      </c>
      <c r="B576" s="4" t="s">
        <v>1778</v>
      </c>
      <c r="C576" s="4" t="s">
        <v>1779</v>
      </c>
      <c r="D576" s="4" t="s">
        <v>1780</v>
      </c>
      <c r="E576" s="10">
        <f>IFERROR(__xludf.DUMMYFUNCTION("SPLIT(B576,""T"")"),43109.0)</f>
        <v>43109</v>
      </c>
      <c r="F576" s="4" t="str">
        <f>IFERROR(__xludf.DUMMYFUNCTION("""COMPUTED_VALUE"""),"12:47:00Z")</f>
        <v>12:47:00Z</v>
      </c>
      <c r="G576" s="11" t="str">
        <f t="shared" si="1"/>
        <v>12:47:00</v>
      </c>
      <c r="H576" s="10">
        <f>IFERROR(__xludf.DUMMYFUNCTION("SPLIT(D576,""T"")"),42976.0)</f>
        <v>42976</v>
      </c>
      <c r="I576" s="4" t="str">
        <f>IFERROR(__xludf.DUMMYFUNCTION("""COMPUTED_VALUE"""),"08:29:00Z")</f>
        <v>08:29:00Z</v>
      </c>
      <c r="J576" s="4" t="str">
        <f t="shared" si="2"/>
        <v>08:29:00</v>
      </c>
      <c r="K576" s="4">
        <f t="shared" si="3"/>
        <v>133</v>
      </c>
      <c r="L576" s="4">
        <f t="shared" si="4"/>
        <v>0.1791666667</v>
      </c>
      <c r="M576" s="4">
        <f t="shared" si="5"/>
        <v>133.1791667</v>
      </c>
    </row>
    <row r="577">
      <c r="A577" s="4" t="s">
        <v>156</v>
      </c>
      <c r="B577" s="4" t="s">
        <v>1811</v>
      </c>
      <c r="C577" s="4" t="s">
        <v>1812</v>
      </c>
      <c r="D577" s="4" t="s">
        <v>1813</v>
      </c>
      <c r="E577" s="10">
        <f>IFERROR(__xludf.DUMMYFUNCTION("SPLIT(B577,""T"")"),43109.0)</f>
        <v>43109</v>
      </c>
      <c r="F577" s="4" t="str">
        <f>IFERROR(__xludf.DUMMYFUNCTION("""COMPUTED_VALUE"""),"12:46:00Z")</f>
        <v>12:46:00Z</v>
      </c>
      <c r="G577" s="11" t="str">
        <f t="shared" si="1"/>
        <v>12:46:00</v>
      </c>
      <c r="H577" s="10">
        <f>IFERROR(__xludf.DUMMYFUNCTION("SPLIT(D577,""T"")"),42976.0)</f>
        <v>42976</v>
      </c>
      <c r="I577" s="4" t="str">
        <f>IFERROR(__xludf.DUMMYFUNCTION("""COMPUTED_VALUE"""),"12:19:00Z")</f>
        <v>12:19:00Z</v>
      </c>
      <c r="J577" s="4" t="str">
        <f t="shared" si="2"/>
        <v>12:19:00</v>
      </c>
      <c r="K577" s="4">
        <f t="shared" si="3"/>
        <v>133</v>
      </c>
      <c r="L577" s="4">
        <f t="shared" si="4"/>
        <v>0.01875</v>
      </c>
      <c r="M577" s="4">
        <f t="shared" si="5"/>
        <v>133.01875</v>
      </c>
    </row>
    <row r="578">
      <c r="A578" s="4" t="s">
        <v>320</v>
      </c>
      <c r="B578" s="4" t="s">
        <v>1778</v>
      </c>
      <c r="C578" s="4" t="s">
        <v>1846</v>
      </c>
      <c r="D578" s="4" t="s">
        <v>1847</v>
      </c>
      <c r="E578" s="10">
        <f>IFERROR(__xludf.DUMMYFUNCTION("SPLIT(B578,""T"")"),43109.0)</f>
        <v>43109</v>
      </c>
      <c r="F578" s="4" t="str">
        <f>IFERROR(__xludf.DUMMYFUNCTION("""COMPUTED_VALUE"""),"12:47:00Z")</f>
        <v>12:47:00Z</v>
      </c>
      <c r="G578" s="11" t="str">
        <f t="shared" si="1"/>
        <v>12:47:00</v>
      </c>
      <c r="H578" s="10">
        <f>IFERROR(__xludf.DUMMYFUNCTION("SPLIT(D578,""T"")"),42976.0)</f>
        <v>42976</v>
      </c>
      <c r="I578" s="4" t="str">
        <f>IFERROR(__xludf.DUMMYFUNCTION("""COMPUTED_VALUE"""),"14:36:00Z")</f>
        <v>14:36:00Z</v>
      </c>
      <c r="J578" s="4" t="str">
        <f t="shared" si="2"/>
        <v>14:36:00</v>
      </c>
      <c r="K578" s="4">
        <f t="shared" si="3"/>
        <v>133</v>
      </c>
      <c r="L578" s="4">
        <f t="shared" si="4"/>
        <v>-0.07569444444</v>
      </c>
      <c r="M578" s="4">
        <f t="shared" si="5"/>
        <v>132.9243056</v>
      </c>
    </row>
    <row r="579">
      <c r="A579" s="4" t="s">
        <v>874</v>
      </c>
      <c r="B579" s="4" t="s">
        <v>1778</v>
      </c>
      <c r="C579" s="4" t="s">
        <v>1823</v>
      </c>
      <c r="D579" s="4" t="s">
        <v>1824</v>
      </c>
      <c r="E579" s="10">
        <f>IFERROR(__xludf.DUMMYFUNCTION("SPLIT(B579,""T"")"),43109.0)</f>
        <v>43109</v>
      </c>
      <c r="F579" s="4" t="str">
        <f>IFERROR(__xludf.DUMMYFUNCTION("""COMPUTED_VALUE"""),"12:47:00Z")</f>
        <v>12:47:00Z</v>
      </c>
      <c r="G579" s="11" t="str">
        <f t="shared" si="1"/>
        <v>12:47:00</v>
      </c>
      <c r="H579" s="10">
        <f>IFERROR(__xludf.DUMMYFUNCTION("SPLIT(D579,""T"")"),42976.0)</f>
        <v>42976</v>
      </c>
      <c r="I579" s="4" t="str">
        <f>IFERROR(__xludf.DUMMYFUNCTION("""COMPUTED_VALUE"""),"15:15:00Z")</f>
        <v>15:15:00Z</v>
      </c>
      <c r="J579" s="4" t="str">
        <f t="shared" si="2"/>
        <v>15:15:00</v>
      </c>
      <c r="K579" s="4">
        <f t="shared" si="3"/>
        <v>133</v>
      </c>
      <c r="L579" s="4">
        <f t="shared" si="4"/>
        <v>-0.1027777778</v>
      </c>
      <c r="M579" s="4">
        <f t="shared" si="5"/>
        <v>132.8972222</v>
      </c>
    </row>
    <row r="580">
      <c r="A580" s="4" t="s">
        <v>46</v>
      </c>
      <c r="B580" s="4" t="s">
        <v>1778</v>
      </c>
      <c r="C580" s="4" t="s">
        <v>2309</v>
      </c>
      <c r="D580" s="4" t="s">
        <v>2310</v>
      </c>
      <c r="E580" s="10">
        <f>IFERROR(__xludf.DUMMYFUNCTION("SPLIT(B580,""T"")"),43109.0)</f>
        <v>43109</v>
      </c>
      <c r="F580" s="4" t="str">
        <f>IFERROR(__xludf.DUMMYFUNCTION("""COMPUTED_VALUE"""),"12:47:00Z")</f>
        <v>12:47:00Z</v>
      </c>
      <c r="G580" s="11" t="str">
        <f t="shared" si="1"/>
        <v>12:47:00</v>
      </c>
      <c r="H580" s="10">
        <f>IFERROR(__xludf.DUMMYFUNCTION("SPLIT(D580,""T"")"),42976.0)</f>
        <v>42976</v>
      </c>
      <c r="I580" s="4" t="str">
        <f>IFERROR(__xludf.DUMMYFUNCTION("""COMPUTED_VALUE"""),"15:39:00Z")</f>
        <v>15:39:00Z</v>
      </c>
      <c r="J580" s="4" t="str">
        <f t="shared" si="2"/>
        <v>15:39:00</v>
      </c>
      <c r="K580" s="4">
        <f t="shared" si="3"/>
        <v>133</v>
      </c>
      <c r="L580" s="4">
        <f t="shared" si="4"/>
        <v>-0.1194444444</v>
      </c>
      <c r="M580" s="4">
        <f t="shared" si="5"/>
        <v>132.8805556</v>
      </c>
    </row>
    <row r="581">
      <c r="A581" s="4" t="s">
        <v>320</v>
      </c>
      <c r="B581" s="4" t="s">
        <v>1795</v>
      </c>
      <c r="C581" s="4" t="s">
        <v>1796</v>
      </c>
      <c r="D581" s="4" t="s">
        <v>1797</v>
      </c>
      <c r="E581" s="10">
        <f>IFERROR(__xludf.DUMMYFUNCTION("SPLIT(B581,""T"")"),43109.0)</f>
        <v>43109</v>
      </c>
      <c r="F581" s="4" t="str">
        <f>IFERROR(__xludf.DUMMYFUNCTION("""COMPUTED_VALUE"""),"12:48:00Z")</f>
        <v>12:48:00Z</v>
      </c>
      <c r="G581" s="11" t="str">
        <f t="shared" si="1"/>
        <v>12:48:00</v>
      </c>
      <c r="H581" s="10">
        <f>IFERROR(__xludf.DUMMYFUNCTION("SPLIT(D581,""T"")"),42977.0)</f>
        <v>42977</v>
      </c>
      <c r="I581" s="4" t="str">
        <f>IFERROR(__xludf.DUMMYFUNCTION("""COMPUTED_VALUE"""),"08:30:00Z")</f>
        <v>08:30:00Z</v>
      </c>
      <c r="J581" s="4" t="str">
        <f t="shared" si="2"/>
        <v>08:30:00</v>
      </c>
      <c r="K581" s="4">
        <f t="shared" si="3"/>
        <v>132</v>
      </c>
      <c r="L581" s="4">
        <f t="shared" si="4"/>
        <v>0.1791666667</v>
      </c>
      <c r="M581" s="4">
        <f t="shared" si="5"/>
        <v>132.1791667</v>
      </c>
    </row>
    <row r="582">
      <c r="A582" s="4" t="s">
        <v>145</v>
      </c>
      <c r="B582" s="4" t="s">
        <v>1795</v>
      </c>
      <c r="C582" s="4" t="s">
        <v>2453</v>
      </c>
      <c r="D582" s="4" t="s">
        <v>2454</v>
      </c>
      <c r="E582" s="10">
        <f>IFERROR(__xludf.DUMMYFUNCTION("SPLIT(B582,""T"")"),43109.0)</f>
        <v>43109</v>
      </c>
      <c r="F582" s="4" t="str">
        <f>IFERROR(__xludf.DUMMYFUNCTION("""COMPUTED_VALUE"""),"12:48:00Z")</f>
        <v>12:48:00Z</v>
      </c>
      <c r="G582" s="11" t="str">
        <f t="shared" si="1"/>
        <v>12:48:00</v>
      </c>
      <c r="H582" s="10">
        <f>IFERROR(__xludf.DUMMYFUNCTION("SPLIT(D582,""T"")"),42977.0)</f>
        <v>42977</v>
      </c>
      <c r="I582" s="4" t="str">
        <f>IFERROR(__xludf.DUMMYFUNCTION("""COMPUTED_VALUE"""),"11:38:00Z")</f>
        <v>11:38:00Z</v>
      </c>
      <c r="J582" s="4" t="str">
        <f t="shared" si="2"/>
        <v>11:38:00</v>
      </c>
      <c r="K582" s="4">
        <f t="shared" si="3"/>
        <v>132</v>
      </c>
      <c r="L582" s="4">
        <f t="shared" si="4"/>
        <v>0.04861111111</v>
      </c>
      <c r="M582" s="4">
        <f t="shared" si="5"/>
        <v>132.0486111</v>
      </c>
    </row>
    <row r="583">
      <c r="A583" s="4" t="s">
        <v>145</v>
      </c>
      <c r="B583" s="4" t="s">
        <v>1795</v>
      </c>
      <c r="C583" s="4" t="s">
        <v>2458</v>
      </c>
      <c r="D583" s="4" t="s">
        <v>2459</v>
      </c>
      <c r="E583" s="10">
        <f>IFERROR(__xludf.DUMMYFUNCTION("SPLIT(B583,""T"")"),43109.0)</f>
        <v>43109</v>
      </c>
      <c r="F583" s="4" t="str">
        <f>IFERROR(__xludf.DUMMYFUNCTION("""COMPUTED_VALUE"""),"12:48:00Z")</f>
        <v>12:48:00Z</v>
      </c>
      <c r="G583" s="11" t="str">
        <f t="shared" si="1"/>
        <v>12:48:00</v>
      </c>
      <c r="H583" s="10">
        <f>IFERROR(__xludf.DUMMYFUNCTION("SPLIT(D583,""T"")"),42977.0)</f>
        <v>42977</v>
      </c>
      <c r="I583" s="4" t="str">
        <f>IFERROR(__xludf.DUMMYFUNCTION("""COMPUTED_VALUE"""),"14:50:00Z")</f>
        <v>14:50:00Z</v>
      </c>
      <c r="J583" s="4" t="str">
        <f t="shared" si="2"/>
        <v>14:50:00</v>
      </c>
      <c r="K583" s="4">
        <f t="shared" si="3"/>
        <v>132</v>
      </c>
      <c r="L583" s="4">
        <f t="shared" si="4"/>
        <v>-0.08472222222</v>
      </c>
      <c r="M583" s="4">
        <f t="shared" si="5"/>
        <v>131.9152778</v>
      </c>
    </row>
    <row r="584">
      <c r="A584" s="4" t="s">
        <v>27</v>
      </c>
      <c r="B584" s="4" t="s">
        <v>2833</v>
      </c>
      <c r="C584" s="4" t="s">
        <v>2232</v>
      </c>
      <c r="D584" s="4" t="s">
        <v>3109</v>
      </c>
      <c r="E584" s="10">
        <f>IFERROR(__xludf.DUMMYFUNCTION("SPLIT(B584,""T"")"),43469.0)</f>
        <v>43469</v>
      </c>
      <c r="F584" s="4" t="str">
        <f>IFERROR(__xludf.DUMMYFUNCTION("""COMPUTED_VALUE"""),"09:15:00Z")</f>
        <v>09:15:00Z</v>
      </c>
      <c r="G584" s="11" t="str">
        <f t="shared" si="1"/>
        <v>09:15:00</v>
      </c>
      <c r="H584" s="10">
        <f>IFERROR(__xludf.DUMMYFUNCTION("SPLIT(D584,""T"")"),43337.0)</f>
        <v>43337</v>
      </c>
      <c r="I584" s="4" t="str">
        <f>IFERROR(__xludf.DUMMYFUNCTION("""COMPUTED_VALUE"""),"11:58:00Z")</f>
        <v>11:58:00Z</v>
      </c>
      <c r="J584" s="4" t="str">
        <f t="shared" si="2"/>
        <v>11:58:00</v>
      </c>
      <c r="K584" s="4">
        <f t="shared" si="3"/>
        <v>132</v>
      </c>
      <c r="L584" s="4">
        <f t="shared" si="4"/>
        <v>-0.1131944444</v>
      </c>
      <c r="M584" s="4">
        <f t="shared" si="5"/>
        <v>131.8868056</v>
      </c>
    </row>
    <row r="585">
      <c r="A585" s="4" t="s">
        <v>388</v>
      </c>
      <c r="B585" s="4" t="s">
        <v>1795</v>
      </c>
      <c r="C585" s="4" t="s">
        <v>2036</v>
      </c>
      <c r="D585" s="4" t="s">
        <v>2037</v>
      </c>
      <c r="E585" s="10">
        <f>IFERROR(__xludf.DUMMYFUNCTION("SPLIT(B585,""T"")"),43109.0)</f>
        <v>43109</v>
      </c>
      <c r="F585" s="4" t="str">
        <f>IFERROR(__xludf.DUMMYFUNCTION("""COMPUTED_VALUE"""),"12:48:00Z")</f>
        <v>12:48:00Z</v>
      </c>
      <c r="G585" s="11" t="str">
        <f t="shared" si="1"/>
        <v>12:48:00</v>
      </c>
      <c r="H585" s="10">
        <f>IFERROR(__xludf.DUMMYFUNCTION("SPLIT(D585,""T"")"),42977.0)</f>
        <v>42977</v>
      </c>
      <c r="I585" s="4" t="str">
        <f>IFERROR(__xludf.DUMMYFUNCTION("""COMPUTED_VALUE"""),"15:38:00Z")</f>
        <v>15:38:00Z</v>
      </c>
      <c r="J585" s="4" t="str">
        <f t="shared" si="2"/>
        <v>15:38:00</v>
      </c>
      <c r="K585" s="4">
        <f t="shared" si="3"/>
        <v>132</v>
      </c>
      <c r="L585" s="4">
        <f t="shared" si="4"/>
        <v>-0.1180555556</v>
      </c>
      <c r="M585" s="4">
        <f t="shared" si="5"/>
        <v>131.8819444</v>
      </c>
    </row>
    <row r="586">
      <c r="A586" s="4" t="s">
        <v>39</v>
      </c>
      <c r="B586" s="4" t="s">
        <v>1795</v>
      </c>
      <c r="C586" s="4" t="s">
        <v>2186</v>
      </c>
      <c r="D586" s="4" t="s">
        <v>2187</v>
      </c>
      <c r="E586" s="10">
        <f>IFERROR(__xludf.DUMMYFUNCTION("SPLIT(B586,""T"")"),43109.0)</f>
        <v>43109</v>
      </c>
      <c r="F586" s="4" t="str">
        <f>IFERROR(__xludf.DUMMYFUNCTION("""COMPUTED_VALUE"""),"12:48:00Z")</f>
        <v>12:48:00Z</v>
      </c>
      <c r="G586" s="11" t="str">
        <f t="shared" si="1"/>
        <v>12:48:00</v>
      </c>
      <c r="H586" s="10">
        <f>IFERROR(__xludf.DUMMYFUNCTION("SPLIT(D586,""T"")"),42977.0)</f>
        <v>42977</v>
      </c>
      <c r="I586" s="4" t="str">
        <f>IFERROR(__xludf.DUMMYFUNCTION("""COMPUTED_VALUE"""),"16:51:00Z")</f>
        <v>16:51:00Z</v>
      </c>
      <c r="J586" s="4" t="str">
        <f t="shared" si="2"/>
        <v>16:51:00</v>
      </c>
      <c r="K586" s="4">
        <f t="shared" si="3"/>
        <v>132</v>
      </c>
      <c r="L586" s="4">
        <f t="shared" si="4"/>
        <v>-0.16875</v>
      </c>
      <c r="M586" s="4">
        <f t="shared" si="5"/>
        <v>131.83125</v>
      </c>
    </row>
    <row r="587" hidden="1">
      <c r="A587" s="4" t="s">
        <v>170</v>
      </c>
      <c r="B587" s="4" t="s">
        <v>1672</v>
      </c>
      <c r="C587" s="4" t="s">
        <v>1673</v>
      </c>
      <c r="D587" s="4" t="s">
        <v>1674</v>
      </c>
      <c r="E587" s="10">
        <f>IFERROR(__xludf.DUMMYFUNCTION("SPLIT(B587,""T"")"),42524.0)</f>
        <v>42524</v>
      </c>
      <c r="F587" s="4" t="str">
        <f>IFERROR(__xludf.DUMMYFUNCTION("""COMPUTED_VALUE"""),"17:30:00Z")</f>
        <v>17:30:00Z</v>
      </c>
      <c r="G587" s="11" t="str">
        <f t="shared" si="1"/>
        <v>17:30:00</v>
      </c>
      <c r="H587" s="10">
        <f>IFERROR(__xludf.DUMMYFUNCTION("SPLIT(D587,""T"")"),42524.0)</f>
        <v>42524</v>
      </c>
      <c r="I587" s="4" t="str">
        <f>IFERROR(__xludf.DUMMYFUNCTION("""COMPUTED_VALUE"""),"17:39:00Z")</f>
        <v>17:39:00Z</v>
      </c>
      <c r="J587" s="4" t="str">
        <f t="shared" si="2"/>
        <v>17:39:00</v>
      </c>
      <c r="K587" s="4">
        <f t="shared" si="3"/>
        <v>0</v>
      </c>
      <c r="L587" s="4">
        <f t="shared" si="4"/>
        <v>-0.00625</v>
      </c>
      <c r="M587" s="4">
        <f t="shared" si="5"/>
        <v>-0.00625</v>
      </c>
    </row>
    <row r="588">
      <c r="A588" s="4" t="s">
        <v>630</v>
      </c>
      <c r="B588" s="4" t="s">
        <v>1789</v>
      </c>
      <c r="C588" s="4" t="s">
        <v>1790</v>
      </c>
      <c r="D588" s="4" t="s">
        <v>1791</v>
      </c>
      <c r="E588" s="10">
        <f>IFERROR(__xludf.DUMMYFUNCTION("SPLIT(B588,""T"")"),43109.0)</f>
        <v>43109</v>
      </c>
      <c r="F588" s="4" t="str">
        <f>IFERROR(__xludf.DUMMYFUNCTION("""COMPUTED_VALUE"""),"12:49:00Z")</f>
        <v>12:49:00Z</v>
      </c>
      <c r="G588" s="11" t="str">
        <f t="shared" si="1"/>
        <v>12:49:00</v>
      </c>
      <c r="H588" s="10">
        <f>IFERROR(__xludf.DUMMYFUNCTION("SPLIT(D588,""T"")"),42977.0)</f>
        <v>42977</v>
      </c>
      <c r="I588" s="4" t="str">
        <f>IFERROR(__xludf.DUMMYFUNCTION("""COMPUTED_VALUE"""),"18:00:00Z")</f>
        <v>18:00:00Z</v>
      </c>
      <c r="J588" s="4" t="str">
        <f t="shared" si="2"/>
        <v>18:00:00</v>
      </c>
      <c r="K588" s="4">
        <f t="shared" si="3"/>
        <v>132</v>
      </c>
      <c r="L588" s="4">
        <f t="shared" si="4"/>
        <v>-0.2159722222</v>
      </c>
      <c r="M588" s="4">
        <f t="shared" si="5"/>
        <v>131.7840278</v>
      </c>
    </row>
    <row r="589">
      <c r="A589" s="4" t="s">
        <v>27</v>
      </c>
      <c r="B589" s="4" t="s">
        <v>1789</v>
      </c>
      <c r="C589" s="4" t="s">
        <v>2223</v>
      </c>
      <c r="D589" s="4" t="s">
        <v>2224</v>
      </c>
      <c r="E589" s="10">
        <f>IFERROR(__xludf.DUMMYFUNCTION("SPLIT(B589,""T"")"),43109.0)</f>
        <v>43109</v>
      </c>
      <c r="F589" s="4" t="str">
        <f>IFERROR(__xludf.DUMMYFUNCTION("""COMPUTED_VALUE"""),"12:49:00Z")</f>
        <v>12:49:00Z</v>
      </c>
      <c r="G589" s="11" t="str">
        <f t="shared" si="1"/>
        <v>12:49:00</v>
      </c>
      <c r="H589" s="10">
        <f>IFERROR(__xludf.DUMMYFUNCTION("SPLIT(D589,""T"")"),42978.0)</f>
        <v>42978</v>
      </c>
      <c r="I589" s="4" t="str">
        <f>IFERROR(__xludf.DUMMYFUNCTION("""COMPUTED_VALUE"""),"10:13:00Z")</f>
        <v>10:13:00Z</v>
      </c>
      <c r="J589" s="4" t="str">
        <f t="shared" si="2"/>
        <v>10:13:00</v>
      </c>
      <c r="K589" s="4">
        <f t="shared" si="3"/>
        <v>131</v>
      </c>
      <c r="L589" s="4">
        <f t="shared" si="4"/>
        <v>0.1083333333</v>
      </c>
      <c r="M589" s="4">
        <f t="shared" si="5"/>
        <v>131.1083333</v>
      </c>
    </row>
    <row r="590">
      <c r="A590" s="4" t="s">
        <v>50</v>
      </c>
      <c r="B590" s="4" t="s">
        <v>1789</v>
      </c>
      <c r="C590" s="4" t="s">
        <v>2417</v>
      </c>
      <c r="D590" s="4" t="s">
        <v>2418</v>
      </c>
      <c r="E590" s="10">
        <f>IFERROR(__xludf.DUMMYFUNCTION("SPLIT(B590,""T"")"),43109.0)</f>
        <v>43109</v>
      </c>
      <c r="F590" s="4" t="str">
        <f>IFERROR(__xludf.DUMMYFUNCTION("""COMPUTED_VALUE"""),"12:49:00Z")</f>
        <v>12:49:00Z</v>
      </c>
      <c r="G590" s="11" t="str">
        <f t="shared" si="1"/>
        <v>12:49:00</v>
      </c>
      <c r="H590" s="10">
        <f>IFERROR(__xludf.DUMMYFUNCTION("SPLIT(D590,""T"")"),42978.0)</f>
        <v>42978</v>
      </c>
      <c r="I590" s="4" t="str">
        <f>IFERROR(__xludf.DUMMYFUNCTION("""COMPUTED_VALUE"""),"13:57:00Z")</f>
        <v>13:57:00Z</v>
      </c>
      <c r="J590" s="4" t="str">
        <f t="shared" si="2"/>
        <v>13:57:00</v>
      </c>
      <c r="K590" s="4">
        <f t="shared" si="3"/>
        <v>131</v>
      </c>
      <c r="L590" s="4">
        <f t="shared" si="4"/>
        <v>-0.04722222222</v>
      </c>
      <c r="M590" s="4">
        <f t="shared" si="5"/>
        <v>130.9527778</v>
      </c>
    </row>
    <row r="591">
      <c r="A591" s="4" t="s">
        <v>205</v>
      </c>
      <c r="B591" s="4" t="s">
        <v>2945</v>
      </c>
      <c r="C591" s="4" t="s">
        <v>2243</v>
      </c>
      <c r="D591" s="4" t="s">
        <v>3061</v>
      </c>
      <c r="E591" s="10">
        <f>IFERROR(__xludf.DUMMYFUNCTION("SPLIT(B591,""T"")"),43469.0)</f>
        <v>43469</v>
      </c>
      <c r="F591" s="4" t="str">
        <f>IFERROR(__xludf.DUMMYFUNCTION("""COMPUTED_VALUE"""),"09:14:00Z")</f>
        <v>09:14:00Z</v>
      </c>
      <c r="G591" s="11" t="str">
        <f t="shared" si="1"/>
        <v>09:14:00</v>
      </c>
      <c r="H591" s="10">
        <f>IFERROR(__xludf.DUMMYFUNCTION("SPLIT(D591,""T"")"),43338.0)</f>
        <v>43338</v>
      </c>
      <c r="I591" s="4" t="str">
        <f>IFERROR(__xludf.DUMMYFUNCTION("""COMPUTED_VALUE"""),"14:23:00Z")</f>
        <v>14:23:00Z</v>
      </c>
      <c r="J591" s="4" t="str">
        <f t="shared" si="2"/>
        <v>14:23:00</v>
      </c>
      <c r="K591" s="4">
        <f t="shared" si="3"/>
        <v>131</v>
      </c>
      <c r="L591" s="4">
        <f t="shared" si="4"/>
        <v>-0.2145833333</v>
      </c>
      <c r="M591" s="4">
        <f t="shared" si="5"/>
        <v>130.7854167</v>
      </c>
    </row>
    <row r="592">
      <c r="A592" s="4" t="s">
        <v>186</v>
      </c>
      <c r="B592" s="4" t="s">
        <v>2945</v>
      </c>
      <c r="C592" s="4" t="s">
        <v>2946</v>
      </c>
      <c r="D592" s="4" t="s">
        <v>2947</v>
      </c>
      <c r="E592" s="10">
        <f>IFERROR(__xludf.DUMMYFUNCTION("SPLIT(B592,""T"")"),43469.0)</f>
        <v>43469</v>
      </c>
      <c r="F592" s="4" t="str">
        <f>IFERROR(__xludf.DUMMYFUNCTION("""COMPUTED_VALUE"""),"09:14:00Z")</f>
        <v>09:14:00Z</v>
      </c>
      <c r="G592" s="11" t="str">
        <f t="shared" si="1"/>
        <v>09:14:00</v>
      </c>
      <c r="H592" s="10">
        <f>IFERROR(__xludf.DUMMYFUNCTION("SPLIT(D592,""T"")"),43338.0)</f>
        <v>43338</v>
      </c>
      <c r="I592" s="4" t="str">
        <f>IFERROR(__xludf.DUMMYFUNCTION("""COMPUTED_VALUE"""),"18:04:00Z")</f>
        <v>18:04:00Z</v>
      </c>
      <c r="J592" s="4" t="str">
        <f t="shared" si="2"/>
        <v>18:04:00</v>
      </c>
      <c r="K592" s="4">
        <f t="shared" si="3"/>
        <v>131</v>
      </c>
      <c r="L592" s="4">
        <f t="shared" si="4"/>
        <v>-0.3680555556</v>
      </c>
      <c r="M592" s="4">
        <f t="shared" si="5"/>
        <v>130.6319444</v>
      </c>
    </row>
    <row r="593">
      <c r="A593" s="4" t="s">
        <v>62</v>
      </c>
      <c r="B593" s="4" t="s">
        <v>1869</v>
      </c>
      <c r="C593" s="4" t="s">
        <v>311</v>
      </c>
      <c r="D593" s="4" t="s">
        <v>2153</v>
      </c>
      <c r="E593" s="10">
        <f>IFERROR(__xludf.DUMMYFUNCTION("SPLIT(B593,""T"")"),43109.0)</f>
        <v>43109</v>
      </c>
      <c r="F593" s="4" t="str">
        <f>IFERROR(__xludf.DUMMYFUNCTION("""COMPUTED_VALUE"""),"12:50:00Z")</f>
        <v>12:50:00Z</v>
      </c>
      <c r="G593" s="11" t="str">
        <f t="shared" si="1"/>
        <v>12:50:00</v>
      </c>
      <c r="H593" s="10">
        <f>IFERROR(__xludf.DUMMYFUNCTION("SPLIT(D593,""T"")"),42979.0)</f>
        <v>42979</v>
      </c>
      <c r="I593" s="4" t="str">
        <f>IFERROR(__xludf.DUMMYFUNCTION("""COMPUTED_VALUE"""),"04:20:00Z")</f>
        <v>04:20:00Z</v>
      </c>
      <c r="J593" s="4" t="str">
        <f t="shared" si="2"/>
        <v>04:20:00</v>
      </c>
      <c r="K593" s="4">
        <f t="shared" si="3"/>
        <v>130</v>
      </c>
      <c r="L593" s="4">
        <f t="shared" si="4"/>
        <v>0.3541666667</v>
      </c>
      <c r="M593" s="4">
        <f t="shared" si="5"/>
        <v>130.3541667</v>
      </c>
    </row>
    <row r="594">
      <c r="A594" s="4" t="s">
        <v>58</v>
      </c>
      <c r="B594" s="4" t="s">
        <v>1789</v>
      </c>
      <c r="C594" s="4" t="s">
        <v>2474</v>
      </c>
      <c r="D594" s="4" t="s">
        <v>2475</v>
      </c>
      <c r="E594" s="10">
        <f>IFERROR(__xludf.DUMMYFUNCTION("SPLIT(B594,""T"")"),43109.0)</f>
        <v>43109</v>
      </c>
      <c r="F594" s="4" t="str">
        <f>IFERROR(__xludf.DUMMYFUNCTION("""COMPUTED_VALUE"""),"12:49:00Z")</f>
        <v>12:49:00Z</v>
      </c>
      <c r="G594" s="11" t="str">
        <f t="shared" si="1"/>
        <v>12:49:00</v>
      </c>
      <c r="H594" s="10">
        <f>IFERROR(__xludf.DUMMYFUNCTION("SPLIT(D594,""T"")"),42979.0)</f>
        <v>42979</v>
      </c>
      <c r="I594" s="4" t="str">
        <f>IFERROR(__xludf.DUMMYFUNCTION("""COMPUTED_VALUE"""),"11:21:00Z")</f>
        <v>11:21:00Z</v>
      </c>
      <c r="J594" s="4" t="str">
        <f t="shared" si="2"/>
        <v>11:21:00</v>
      </c>
      <c r="K594" s="4">
        <f t="shared" si="3"/>
        <v>130</v>
      </c>
      <c r="L594" s="4">
        <f t="shared" si="4"/>
        <v>0.06111111111</v>
      </c>
      <c r="M594" s="4">
        <f t="shared" si="5"/>
        <v>130.0611111</v>
      </c>
    </row>
    <row r="595">
      <c r="A595" s="4" t="s">
        <v>23</v>
      </c>
      <c r="B595" s="4" t="s">
        <v>1789</v>
      </c>
      <c r="C595" s="4" t="s">
        <v>1832</v>
      </c>
      <c r="D595" s="4" t="s">
        <v>1833</v>
      </c>
      <c r="E595" s="10">
        <f>IFERROR(__xludf.DUMMYFUNCTION("SPLIT(B595,""T"")"),43109.0)</f>
        <v>43109</v>
      </c>
      <c r="F595" s="4" t="str">
        <f>IFERROR(__xludf.DUMMYFUNCTION("""COMPUTED_VALUE"""),"12:49:00Z")</f>
        <v>12:49:00Z</v>
      </c>
      <c r="G595" s="11" t="str">
        <f t="shared" si="1"/>
        <v>12:49:00</v>
      </c>
      <c r="H595" s="10">
        <f>IFERROR(__xludf.DUMMYFUNCTION("SPLIT(D595,""T"")"),42979.0)</f>
        <v>42979</v>
      </c>
      <c r="I595" s="4" t="str">
        <f>IFERROR(__xludf.DUMMYFUNCTION("""COMPUTED_VALUE"""),"13:26:00Z")</f>
        <v>13:26:00Z</v>
      </c>
      <c r="J595" s="4" t="str">
        <f t="shared" si="2"/>
        <v>13:26:00</v>
      </c>
      <c r="K595" s="4">
        <f t="shared" si="3"/>
        <v>130</v>
      </c>
      <c r="L595" s="4">
        <f t="shared" si="4"/>
        <v>-0.02569444444</v>
      </c>
      <c r="M595" s="4">
        <f t="shared" si="5"/>
        <v>129.9743056</v>
      </c>
    </row>
    <row r="596">
      <c r="A596" s="4" t="s">
        <v>27</v>
      </c>
      <c r="B596" s="4" t="s">
        <v>2967</v>
      </c>
      <c r="C596" s="4" t="s">
        <v>3086</v>
      </c>
      <c r="D596" s="4" t="s">
        <v>3087</v>
      </c>
      <c r="E596" s="10">
        <f>IFERROR(__xludf.DUMMYFUNCTION("SPLIT(B596,""T"")"),43469.0)</f>
        <v>43469</v>
      </c>
      <c r="F596" s="4" t="str">
        <f>IFERROR(__xludf.DUMMYFUNCTION("""COMPUTED_VALUE"""),"09:13:00Z")</f>
        <v>09:13:00Z</v>
      </c>
      <c r="G596" s="11" t="str">
        <f t="shared" si="1"/>
        <v>09:13:00</v>
      </c>
      <c r="H596" s="10">
        <f>IFERROR(__xludf.DUMMYFUNCTION("SPLIT(D596,""T"")"),43339.0)</f>
        <v>43339</v>
      </c>
      <c r="I596" s="4" t="str">
        <f>IFERROR(__xludf.DUMMYFUNCTION("""COMPUTED_VALUE"""),"10:49:00Z")</f>
        <v>10:49:00Z</v>
      </c>
      <c r="J596" s="4" t="str">
        <f t="shared" si="2"/>
        <v>10:49:00</v>
      </c>
      <c r="K596" s="4">
        <f t="shared" si="3"/>
        <v>130</v>
      </c>
      <c r="L596" s="4">
        <f t="shared" si="4"/>
        <v>-0.06666666667</v>
      </c>
      <c r="M596" s="4">
        <f t="shared" si="5"/>
        <v>129.9333333</v>
      </c>
    </row>
    <row r="597">
      <c r="A597" s="4" t="s">
        <v>69</v>
      </c>
      <c r="B597" s="4" t="s">
        <v>1869</v>
      </c>
      <c r="C597" s="4" t="s">
        <v>1933</v>
      </c>
      <c r="D597" s="4" t="s">
        <v>1934</v>
      </c>
      <c r="E597" s="10">
        <f>IFERROR(__xludf.DUMMYFUNCTION("SPLIT(B597,""T"")"),43109.0)</f>
        <v>43109</v>
      </c>
      <c r="F597" s="4" t="str">
        <f>IFERROR(__xludf.DUMMYFUNCTION("""COMPUTED_VALUE"""),"12:50:00Z")</f>
        <v>12:50:00Z</v>
      </c>
      <c r="G597" s="11" t="str">
        <f t="shared" si="1"/>
        <v>12:50:00</v>
      </c>
      <c r="H597" s="10">
        <f>IFERROR(__xludf.DUMMYFUNCTION("SPLIT(D597,""T"")"),42979.0)</f>
        <v>42979</v>
      </c>
      <c r="I597" s="4" t="str">
        <f>IFERROR(__xludf.DUMMYFUNCTION("""COMPUTED_VALUE"""),"14:37:00Z")</f>
        <v>14:37:00Z</v>
      </c>
      <c r="J597" s="4" t="str">
        <f t="shared" si="2"/>
        <v>14:37:00</v>
      </c>
      <c r="K597" s="4">
        <f t="shared" si="3"/>
        <v>130</v>
      </c>
      <c r="L597" s="4">
        <f t="shared" si="4"/>
        <v>-0.07430555556</v>
      </c>
      <c r="M597" s="4">
        <f t="shared" si="5"/>
        <v>129.9256944</v>
      </c>
    </row>
    <row r="598">
      <c r="A598" s="4" t="s">
        <v>156</v>
      </c>
      <c r="B598" s="4" t="s">
        <v>2967</v>
      </c>
      <c r="C598" s="4" t="s">
        <v>2968</v>
      </c>
      <c r="D598" s="4" t="s">
        <v>2969</v>
      </c>
      <c r="E598" s="10">
        <f>IFERROR(__xludf.DUMMYFUNCTION("SPLIT(B598,""T"")"),43469.0)</f>
        <v>43469</v>
      </c>
      <c r="F598" s="4" t="str">
        <f>IFERROR(__xludf.DUMMYFUNCTION("""COMPUTED_VALUE"""),"09:13:00Z")</f>
        <v>09:13:00Z</v>
      </c>
      <c r="G598" s="11" t="str">
        <f t="shared" si="1"/>
        <v>09:13:00</v>
      </c>
      <c r="H598" s="10">
        <f>IFERROR(__xludf.DUMMYFUNCTION("SPLIT(D598,""T"")"),43339.0)</f>
        <v>43339</v>
      </c>
      <c r="I598" s="4" t="str">
        <f>IFERROR(__xludf.DUMMYFUNCTION("""COMPUTED_VALUE"""),"23:19:00Z")</f>
        <v>23:19:00Z</v>
      </c>
      <c r="J598" s="4" t="str">
        <f t="shared" si="2"/>
        <v>23:19:00</v>
      </c>
      <c r="K598" s="4">
        <f t="shared" si="3"/>
        <v>130</v>
      </c>
      <c r="L598" s="4">
        <f t="shared" si="4"/>
        <v>-0.5875</v>
      </c>
      <c r="M598" s="4">
        <f t="shared" si="5"/>
        <v>129.4125</v>
      </c>
    </row>
    <row r="599">
      <c r="A599" s="4" t="s">
        <v>27</v>
      </c>
      <c r="B599" s="4" t="s">
        <v>1869</v>
      </c>
      <c r="C599" s="4" t="s">
        <v>1870</v>
      </c>
      <c r="D599" s="4" t="s">
        <v>1871</v>
      </c>
      <c r="E599" s="10">
        <f>IFERROR(__xludf.DUMMYFUNCTION("SPLIT(B599,""T"")"),43109.0)</f>
        <v>43109</v>
      </c>
      <c r="F599" s="4" t="str">
        <f>IFERROR(__xludf.DUMMYFUNCTION("""COMPUTED_VALUE"""),"12:50:00Z")</f>
        <v>12:50:00Z</v>
      </c>
      <c r="G599" s="11" t="str">
        <f t="shared" si="1"/>
        <v>12:50:00</v>
      </c>
      <c r="H599" s="10">
        <f>IFERROR(__xludf.DUMMYFUNCTION("SPLIT(D599,""T"")"),42980.0)</f>
        <v>42980</v>
      </c>
      <c r="I599" s="4" t="str">
        <f>IFERROR(__xludf.DUMMYFUNCTION("""COMPUTED_VALUE"""),"13:33:00Z")</f>
        <v>13:33:00Z</v>
      </c>
      <c r="J599" s="4" t="str">
        <f t="shared" si="2"/>
        <v>13:33:00</v>
      </c>
      <c r="K599" s="4">
        <f t="shared" si="3"/>
        <v>129</v>
      </c>
      <c r="L599" s="4">
        <f t="shared" si="4"/>
        <v>-0.02986111111</v>
      </c>
      <c r="M599" s="4">
        <f t="shared" si="5"/>
        <v>128.9701389</v>
      </c>
    </row>
    <row r="600">
      <c r="A600" s="4" t="s">
        <v>39</v>
      </c>
      <c r="B600" s="4" t="s">
        <v>1987</v>
      </c>
      <c r="C600" s="4" t="s">
        <v>1901</v>
      </c>
      <c r="D600" s="4" t="s">
        <v>2204</v>
      </c>
      <c r="E600" s="10">
        <f>IFERROR(__xludf.DUMMYFUNCTION("SPLIT(B600,""T"")"),43109.0)</f>
        <v>43109</v>
      </c>
      <c r="F600" s="4" t="str">
        <f>IFERROR(__xludf.DUMMYFUNCTION("""COMPUTED_VALUE"""),"12:51:00Z")</f>
        <v>12:51:00Z</v>
      </c>
      <c r="G600" s="11" t="str">
        <f t="shared" si="1"/>
        <v>12:51:00</v>
      </c>
      <c r="H600" s="10">
        <f>IFERROR(__xludf.DUMMYFUNCTION("SPLIT(D600,""T"")"),42981.0)</f>
        <v>42981</v>
      </c>
      <c r="I600" s="4" t="str">
        <f>IFERROR(__xludf.DUMMYFUNCTION("""COMPUTED_VALUE"""),"09:23:00Z")</f>
        <v>09:23:00Z</v>
      </c>
      <c r="J600" s="4" t="str">
        <f t="shared" si="2"/>
        <v>09:23:00</v>
      </c>
      <c r="K600" s="4">
        <f t="shared" si="3"/>
        <v>128</v>
      </c>
      <c r="L600" s="4">
        <f t="shared" si="4"/>
        <v>0.1444444444</v>
      </c>
      <c r="M600" s="4">
        <f t="shared" si="5"/>
        <v>128.1444444</v>
      </c>
    </row>
    <row r="601">
      <c r="A601" s="4" t="s">
        <v>156</v>
      </c>
      <c r="B601" s="4" t="s">
        <v>1879</v>
      </c>
      <c r="C601" s="4" t="s">
        <v>1950</v>
      </c>
      <c r="D601" s="4" t="s">
        <v>1951</v>
      </c>
      <c r="E601" s="10">
        <f>IFERROR(__xludf.DUMMYFUNCTION("SPLIT(B601,""T"")"),43109.0)</f>
        <v>43109</v>
      </c>
      <c r="F601" s="4" t="str">
        <f>IFERROR(__xludf.DUMMYFUNCTION("""COMPUTED_VALUE"""),"13:18:00Z")</f>
        <v>13:18:00Z</v>
      </c>
      <c r="G601" s="11" t="str">
        <f t="shared" si="1"/>
        <v>13:18:00</v>
      </c>
      <c r="H601" s="10">
        <f>IFERROR(__xludf.DUMMYFUNCTION("SPLIT(D601,""T"")"),42981.0)</f>
        <v>42981</v>
      </c>
      <c r="I601" s="4" t="str">
        <f>IFERROR(__xludf.DUMMYFUNCTION("""COMPUTED_VALUE"""),"13:06:00Z")</f>
        <v>13:06:00Z</v>
      </c>
      <c r="J601" s="4" t="str">
        <f t="shared" si="2"/>
        <v>13:06:00</v>
      </c>
      <c r="K601" s="4">
        <f t="shared" si="3"/>
        <v>128</v>
      </c>
      <c r="L601" s="4">
        <f t="shared" si="4"/>
        <v>0.008333333333</v>
      </c>
      <c r="M601" s="4">
        <f t="shared" si="5"/>
        <v>128.0083333</v>
      </c>
    </row>
    <row r="602">
      <c r="A602" s="4" t="s">
        <v>101</v>
      </c>
      <c r="B602" s="4" t="s">
        <v>1987</v>
      </c>
      <c r="C602" s="4" t="s">
        <v>1988</v>
      </c>
      <c r="D602" s="4" t="s">
        <v>1989</v>
      </c>
      <c r="E602" s="10">
        <f>IFERROR(__xludf.DUMMYFUNCTION("SPLIT(B602,""T"")"),43109.0)</f>
        <v>43109</v>
      </c>
      <c r="F602" s="4" t="str">
        <f>IFERROR(__xludf.DUMMYFUNCTION("""COMPUTED_VALUE"""),"12:51:00Z")</f>
        <v>12:51:00Z</v>
      </c>
      <c r="G602" s="11" t="str">
        <f t="shared" si="1"/>
        <v>12:51:00</v>
      </c>
      <c r="H602" s="10">
        <f>IFERROR(__xludf.DUMMYFUNCTION("SPLIT(D602,""T"")"),42981.0)</f>
        <v>42981</v>
      </c>
      <c r="I602" s="4" t="str">
        <f>IFERROR(__xludf.DUMMYFUNCTION("""COMPUTED_VALUE"""),"13:10:00Z")</f>
        <v>13:10:00Z</v>
      </c>
      <c r="J602" s="4" t="str">
        <f t="shared" si="2"/>
        <v>13:10:00</v>
      </c>
      <c r="K602" s="4">
        <f t="shared" si="3"/>
        <v>128</v>
      </c>
      <c r="L602" s="4">
        <f t="shared" si="4"/>
        <v>-0.01319444444</v>
      </c>
      <c r="M602" s="4">
        <f t="shared" si="5"/>
        <v>127.9868056</v>
      </c>
    </row>
    <row r="603">
      <c r="A603" s="4" t="s">
        <v>260</v>
      </c>
      <c r="B603" s="4" t="s">
        <v>1869</v>
      </c>
      <c r="C603" s="4" t="s">
        <v>329</v>
      </c>
      <c r="D603" s="4" t="s">
        <v>1906</v>
      </c>
      <c r="E603" s="10">
        <f>IFERROR(__xludf.DUMMYFUNCTION("SPLIT(B603,""T"")"),43109.0)</f>
        <v>43109</v>
      </c>
      <c r="F603" s="4" t="str">
        <f>IFERROR(__xludf.DUMMYFUNCTION("""COMPUTED_VALUE"""),"12:50:00Z")</f>
        <v>12:50:00Z</v>
      </c>
      <c r="G603" s="11" t="str">
        <f t="shared" si="1"/>
        <v>12:50:00</v>
      </c>
      <c r="H603" s="10">
        <f>IFERROR(__xludf.DUMMYFUNCTION("SPLIT(D603,""T"")"),42981.0)</f>
        <v>42981</v>
      </c>
      <c r="I603" s="4" t="str">
        <f>IFERROR(__xludf.DUMMYFUNCTION("""COMPUTED_VALUE"""),"16:23:00Z")</f>
        <v>16:23:00Z</v>
      </c>
      <c r="J603" s="4" t="str">
        <f t="shared" si="2"/>
        <v>16:23:00</v>
      </c>
      <c r="K603" s="4">
        <f t="shared" si="3"/>
        <v>128</v>
      </c>
      <c r="L603" s="4">
        <f t="shared" si="4"/>
        <v>-0.1479166667</v>
      </c>
      <c r="M603" s="4">
        <f t="shared" si="5"/>
        <v>127.8520833</v>
      </c>
    </row>
    <row r="604">
      <c r="A604" s="4" t="s">
        <v>149</v>
      </c>
      <c r="B604" s="4" t="s">
        <v>1869</v>
      </c>
      <c r="C604" s="4" t="s">
        <v>2167</v>
      </c>
      <c r="D604" s="4" t="s">
        <v>2168</v>
      </c>
      <c r="E604" s="10">
        <f>IFERROR(__xludf.DUMMYFUNCTION("SPLIT(B604,""T"")"),43109.0)</f>
        <v>43109</v>
      </c>
      <c r="F604" s="4" t="str">
        <f>IFERROR(__xludf.DUMMYFUNCTION("""COMPUTED_VALUE"""),"12:50:00Z")</f>
        <v>12:50:00Z</v>
      </c>
      <c r="G604" s="11" t="str">
        <f t="shared" si="1"/>
        <v>12:50:00</v>
      </c>
      <c r="H604" s="10">
        <f>IFERROR(__xludf.DUMMYFUNCTION("SPLIT(D604,""T"")"),42981.0)</f>
        <v>42981</v>
      </c>
      <c r="I604" s="4" t="str">
        <f>IFERROR(__xludf.DUMMYFUNCTION("""COMPUTED_VALUE"""),"16:59:00Z")</f>
        <v>16:59:00Z</v>
      </c>
      <c r="J604" s="4" t="str">
        <f t="shared" si="2"/>
        <v>16:59:00</v>
      </c>
      <c r="K604" s="4">
        <f t="shared" si="3"/>
        <v>128</v>
      </c>
      <c r="L604" s="4">
        <f t="shared" si="4"/>
        <v>-0.1729166667</v>
      </c>
      <c r="M604" s="4">
        <f t="shared" si="5"/>
        <v>127.8270833</v>
      </c>
    </row>
    <row r="605">
      <c r="A605" s="4" t="s">
        <v>401</v>
      </c>
      <c r="B605" s="4" t="s">
        <v>1869</v>
      </c>
      <c r="C605" s="4" t="s">
        <v>2202</v>
      </c>
      <c r="D605" s="4" t="s">
        <v>2203</v>
      </c>
      <c r="E605" s="10">
        <f>IFERROR(__xludf.DUMMYFUNCTION("SPLIT(B605,""T"")"),43109.0)</f>
        <v>43109</v>
      </c>
      <c r="F605" s="4" t="str">
        <f>IFERROR(__xludf.DUMMYFUNCTION("""COMPUTED_VALUE"""),"12:50:00Z")</f>
        <v>12:50:00Z</v>
      </c>
      <c r="G605" s="11" t="str">
        <f t="shared" si="1"/>
        <v>12:50:00</v>
      </c>
      <c r="H605" s="10">
        <f>IFERROR(__xludf.DUMMYFUNCTION("SPLIT(D605,""T"")"),42981.0)</f>
        <v>42981</v>
      </c>
      <c r="I605" s="4" t="str">
        <f>IFERROR(__xludf.DUMMYFUNCTION("""COMPUTED_VALUE"""),"19:17:00Z")</f>
        <v>19:17:00Z</v>
      </c>
      <c r="J605" s="4" t="str">
        <f t="shared" si="2"/>
        <v>19:17:00</v>
      </c>
      <c r="K605" s="4">
        <f t="shared" si="3"/>
        <v>128</v>
      </c>
      <c r="L605" s="4">
        <f t="shared" si="4"/>
        <v>-0.26875</v>
      </c>
      <c r="M605" s="4">
        <f t="shared" si="5"/>
        <v>127.73125</v>
      </c>
    </row>
    <row r="606">
      <c r="A606" s="4" t="s">
        <v>138</v>
      </c>
      <c r="B606" s="4" t="s">
        <v>1879</v>
      </c>
      <c r="C606" s="4" t="s">
        <v>2238</v>
      </c>
      <c r="D606" s="4" t="s">
        <v>2239</v>
      </c>
      <c r="E606" s="10">
        <f>IFERROR(__xludf.DUMMYFUNCTION("SPLIT(B606,""T"")"),43109.0)</f>
        <v>43109</v>
      </c>
      <c r="F606" s="4" t="str">
        <f>IFERROR(__xludf.DUMMYFUNCTION("""COMPUTED_VALUE"""),"13:18:00Z")</f>
        <v>13:18:00Z</v>
      </c>
      <c r="G606" s="11" t="str">
        <f t="shared" si="1"/>
        <v>13:18:00</v>
      </c>
      <c r="H606" s="10">
        <f>IFERROR(__xludf.DUMMYFUNCTION("SPLIT(D606,""T"")"),42981.0)</f>
        <v>42981</v>
      </c>
      <c r="I606" s="4" t="str">
        <f>IFERROR(__xludf.DUMMYFUNCTION("""COMPUTED_VALUE"""),"20:32:00Z")</f>
        <v>20:32:00Z</v>
      </c>
      <c r="J606" s="4" t="str">
        <f t="shared" si="2"/>
        <v>20:32:00</v>
      </c>
      <c r="K606" s="4">
        <f t="shared" si="3"/>
        <v>128</v>
      </c>
      <c r="L606" s="4">
        <f t="shared" si="4"/>
        <v>-0.3013888889</v>
      </c>
      <c r="M606" s="4">
        <f t="shared" si="5"/>
        <v>127.6986111</v>
      </c>
    </row>
    <row r="607">
      <c r="A607" s="4" t="s">
        <v>186</v>
      </c>
      <c r="B607" s="4" t="s">
        <v>2881</v>
      </c>
      <c r="C607" s="4" t="s">
        <v>1234</v>
      </c>
      <c r="D607" s="4" t="s">
        <v>3019</v>
      </c>
      <c r="E607" s="10">
        <f>IFERROR(__xludf.DUMMYFUNCTION("SPLIT(B607,""T"")"),43469.0)</f>
        <v>43469</v>
      </c>
      <c r="F607" s="4" t="str">
        <f>IFERROR(__xludf.DUMMYFUNCTION("""COMPUTED_VALUE"""),"09:12:00Z")</f>
        <v>09:12:00Z</v>
      </c>
      <c r="G607" s="11" t="str">
        <f t="shared" si="1"/>
        <v>09:12:00</v>
      </c>
      <c r="H607" s="10">
        <f>IFERROR(__xludf.DUMMYFUNCTION("SPLIT(D607,""T"")"),43342.0)</f>
        <v>43342</v>
      </c>
      <c r="I607" s="4" t="str">
        <f>IFERROR(__xludf.DUMMYFUNCTION("""COMPUTED_VALUE"""),"15:44:00Z")</f>
        <v>15:44:00Z</v>
      </c>
      <c r="J607" s="4" t="str">
        <f t="shared" si="2"/>
        <v>15:44:00</v>
      </c>
      <c r="K607" s="4">
        <f t="shared" si="3"/>
        <v>127</v>
      </c>
      <c r="L607" s="4">
        <f t="shared" si="4"/>
        <v>-0.2722222222</v>
      </c>
      <c r="M607" s="4">
        <f t="shared" si="5"/>
        <v>126.7277778</v>
      </c>
    </row>
    <row r="608">
      <c r="A608" s="4" t="s">
        <v>186</v>
      </c>
      <c r="B608" s="4" t="s">
        <v>2360</v>
      </c>
      <c r="C608" s="4" t="s">
        <v>2494</v>
      </c>
      <c r="D608" s="4" t="s">
        <v>2495</v>
      </c>
      <c r="E608" s="10">
        <f>IFERROR(__xludf.DUMMYFUNCTION("SPLIT(B608,""T"")"),43109.0)</f>
        <v>43109</v>
      </c>
      <c r="F608" s="4" t="str">
        <f>IFERROR(__xludf.DUMMYFUNCTION("""COMPUTED_VALUE"""),"13:19:00Z")</f>
        <v>13:19:00Z</v>
      </c>
      <c r="G608" s="11" t="str">
        <f t="shared" si="1"/>
        <v>13:19:00</v>
      </c>
      <c r="H608" s="10">
        <f>IFERROR(__xludf.DUMMYFUNCTION("SPLIT(D608,""T"")"),42983.0)</f>
        <v>42983</v>
      </c>
      <c r="I608" s="4" t="str">
        <f>IFERROR(__xludf.DUMMYFUNCTION("""COMPUTED_VALUE"""),"14:55:00Z")</f>
        <v>14:55:00Z</v>
      </c>
      <c r="J608" s="4" t="str">
        <f t="shared" si="2"/>
        <v>14:55:00</v>
      </c>
      <c r="K608" s="4">
        <f t="shared" si="3"/>
        <v>126</v>
      </c>
      <c r="L608" s="4">
        <f t="shared" si="4"/>
        <v>-0.06666666667</v>
      </c>
      <c r="M608" s="4">
        <f t="shared" si="5"/>
        <v>125.9333333</v>
      </c>
    </row>
    <row r="609">
      <c r="A609" s="4" t="s">
        <v>138</v>
      </c>
      <c r="B609" s="4" t="s">
        <v>1879</v>
      </c>
      <c r="C609" s="4" t="s">
        <v>1880</v>
      </c>
      <c r="D609" s="4" t="s">
        <v>1881</v>
      </c>
      <c r="E609" s="10">
        <f>IFERROR(__xludf.DUMMYFUNCTION("SPLIT(B609,""T"")"),43109.0)</f>
        <v>43109</v>
      </c>
      <c r="F609" s="4" t="str">
        <f>IFERROR(__xludf.DUMMYFUNCTION("""COMPUTED_VALUE"""),"13:18:00Z")</f>
        <v>13:18:00Z</v>
      </c>
      <c r="G609" s="11" t="str">
        <f t="shared" si="1"/>
        <v>13:18:00</v>
      </c>
      <c r="H609" s="10">
        <f>IFERROR(__xludf.DUMMYFUNCTION("SPLIT(D609,""T"")"),42983.0)</f>
        <v>42983</v>
      </c>
      <c r="I609" s="4" t="str">
        <f>IFERROR(__xludf.DUMMYFUNCTION("""COMPUTED_VALUE"""),"18:38:00Z")</f>
        <v>18:38:00Z</v>
      </c>
      <c r="J609" s="4" t="str">
        <f t="shared" si="2"/>
        <v>18:38:00</v>
      </c>
      <c r="K609" s="4">
        <f t="shared" si="3"/>
        <v>126</v>
      </c>
      <c r="L609" s="4">
        <f t="shared" si="4"/>
        <v>-0.2222222222</v>
      </c>
      <c r="M609" s="4">
        <f t="shared" si="5"/>
        <v>125.7777778</v>
      </c>
    </row>
    <row r="610">
      <c r="A610" s="4" t="s">
        <v>134</v>
      </c>
      <c r="B610" s="4" t="s">
        <v>2881</v>
      </c>
      <c r="C610" s="4" t="s">
        <v>2923</v>
      </c>
      <c r="D610" s="4" t="s">
        <v>2924</v>
      </c>
      <c r="E610" s="10">
        <f>IFERROR(__xludf.DUMMYFUNCTION("SPLIT(B610,""T"")"),43469.0)</f>
        <v>43469</v>
      </c>
      <c r="F610" s="4" t="str">
        <f>IFERROR(__xludf.DUMMYFUNCTION("""COMPUTED_VALUE"""),"09:12:00Z")</f>
        <v>09:12:00Z</v>
      </c>
      <c r="G610" s="11" t="str">
        <f t="shared" si="1"/>
        <v>09:12:00</v>
      </c>
      <c r="H610" s="10">
        <f>IFERROR(__xludf.DUMMYFUNCTION("SPLIT(D610,""T"")"),43343.0)</f>
        <v>43343</v>
      </c>
      <c r="I610" s="4" t="str">
        <f>IFERROR(__xludf.DUMMYFUNCTION("""COMPUTED_VALUE"""),"17:58:00Z")</f>
        <v>17:58:00Z</v>
      </c>
      <c r="J610" s="4" t="str">
        <f t="shared" si="2"/>
        <v>17:58:00</v>
      </c>
      <c r="K610" s="4">
        <f t="shared" si="3"/>
        <v>126</v>
      </c>
      <c r="L610" s="4">
        <f t="shared" si="4"/>
        <v>-0.3652777778</v>
      </c>
      <c r="M610" s="4">
        <f t="shared" si="5"/>
        <v>125.6347222</v>
      </c>
    </row>
    <row r="611">
      <c r="A611" s="4" t="s">
        <v>97</v>
      </c>
      <c r="B611" s="4" t="s">
        <v>2881</v>
      </c>
      <c r="C611" s="4" t="s">
        <v>2882</v>
      </c>
      <c r="D611" s="4" t="s">
        <v>2883</v>
      </c>
      <c r="E611" s="10">
        <f>IFERROR(__xludf.DUMMYFUNCTION("SPLIT(B611,""T"")"),43469.0)</f>
        <v>43469</v>
      </c>
      <c r="F611" s="4" t="str">
        <f>IFERROR(__xludf.DUMMYFUNCTION("""COMPUTED_VALUE"""),"09:12:00Z")</f>
        <v>09:12:00Z</v>
      </c>
      <c r="G611" s="11" t="str">
        <f t="shared" si="1"/>
        <v>09:12:00</v>
      </c>
      <c r="H611" s="10">
        <f>IFERROR(__xludf.DUMMYFUNCTION("SPLIT(D611,""T"")"),43344.0)</f>
        <v>43344</v>
      </c>
      <c r="I611" s="4" t="str">
        <f>IFERROR(__xludf.DUMMYFUNCTION("""COMPUTED_VALUE"""),"14:22:00Z")</f>
        <v>14:22:00Z</v>
      </c>
      <c r="J611" s="4" t="str">
        <f t="shared" si="2"/>
        <v>14:22:00</v>
      </c>
      <c r="K611" s="4">
        <f t="shared" si="3"/>
        <v>125</v>
      </c>
      <c r="L611" s="4">
        <f t="shared" si="4"/>
        <v>-0.2152777778</v>
      </c>
      <c r="M611" s="4">
        <f t="shared" si="5"/>
        <v>124.7847222</v>
      </c>
    </row>
    <row r="612">
      <c r="A612" s="4" t="s">
        <v>101</v>
      </c>
      <c r="B612" s="4" t="s">
        <v>2360</v>
      </c>
      <c r="C612" s="4" t="s">
        <v>2625</v>
      </c>
      <c r="D612" s="4" t="s">
        <v>2626</v>
      </c>
      <c r="E612" s="10">
        <f>IFERROR(__xludf.DUMMYFUNCTION("SPLIT(B612,""T"")"),43109.0)</f>
        <v>43109</v>
      </c>
      <c r="F612" s="4" t="str">
        <f>IFERROR(__xludf.DUMMYFUNCTION("""COMPUTED_VALUE"""),"13:19:00Z")</f>
        <v>13:19:00Z</v>
      </c>
      <c r="G612" s="11" t="str">
        <f t="shared" si="1"/>
        <v>13:19:00</v>
      </c>
      <c r="H612" s="10">
        <f>IFERROR(__xludf.DUMMYFUNCTION("SPLIT(D612,""T"")"),42985.0)</f>
        <v>42985</v>
      </c>
      <c r="I612" s="4" t="str">
        <f>IFERROR(__xludf.DUMMYFUNCTION("""COMPUTED_VALUE"""),"15:00:00Z")</f>
        <v>15:00:00Z</v>
      </c>
      <c r="J612" s="4" t="str">
        <f t="shared" si="2"/>
        <v>15:00:00</v>
      </c>
      <c r="K612" s="4">
        <f t="shared" si="3"/>
        <v>124</v>
      </c>
      <c r="L612" s="4">
        <f t="shared" si="4"/>
        <v>-0.07013888889</v>
      </c>
      <c r="M612" s="4">
        <f t="shared" si="5"/>
        <v>123.9298611</v>
      </c>
    </row>
    <row r="613">
      <c r="A613" s="4" t="s">
        <v>62</v>
      </c>
      <c r="B613" s="4" t="s">
        <v>2360</v>
      </c>
      <c r="C613" s="4" t="s">
        <v>2472</v>
      </c>
      <c r="D613" s="4" t="s">
        <v>2473</v>
      </c>
      <c r="E613" s="10">
        <f>IFERROR(__xludf.DUMMYFUNCTION("SPLIT(B613,""T"")"),43109.0)</f>
        <v>43109</v>
      </c>
      <c r="F613" s="4" t="str">
        <f>IFERROR(__xludf.DUMMYFUNCTION("""COMPUTED_VALUE"""),"13:19:00Z")</f>
        <v>13:19:00Z</v>
      </c>
      <c r="G613" s="11" t="str">
        <f t="shared" si="1"/>
        <v>13:19:00</v>
      </c>
      <c r="H613" s="10">
        <f>IFERROR(__xludf.DUMMYFUNCTION("SPLIT(D613,""T"")"),42985.0)</f>
        <v>42985</v>
      </c>
      <c r="I613" s="4" t="str">
        <f>IFERROR(__xludf.DUMMYFUNCTION("""COMPUTED_VALUE"""),"15:41:00Z")</f>
        <v>15:41:00Z</v>
      </c>
      <c r="J613" s="4" t="str">
        <f t="shared" si="2"/>
        <v>15:41:00</v>
      </c>
      <c r="K613" s="4">
        <f t="shared" si="3"/>
        <v>124</v>
      </c>
      <c r="L613" s="4">
        <f t="shared" si="4"/>
        <v>-0.09861111111</v>
      </c>
      <c r="M613" s="4">
        <f t="shared" si="5"/>
        <v>123.9013889</v>
      </c>
    </row>
    <row r="614">
      <c r="A614" s="4" t="s">
        <v>186</v>
      </c>
      <c r="B614" s="4" t="s">
        <v>3084</v>
      </c>
      <c r="C614" s="4" t="s">
        <v>2219</v>
      </c>
      <c r="D614" s="4" t="s">
        <v>3085</v>
      </c>
      <c r="E614" s="10">
        <f>IFERROR(__xludf.DUMMYFUNCTION("SPLIT(B614,""T"")"),43469.0)</f>
        <v>43469</v>
      </c>
      <c r="F614" s="4" t="str">
        <f>IFERROR(__xludf.DUMMYFUNCTION("""COMPUTED_VALUE"""),"09:11:00Z")</f>
        <v>09:11:00Z</v>
      </c>
      <c r="G614" s="11" t="str">
        <f t="shared" si="1"/>
        <v>09:11:00</v>
      </c>
      <c r="H614" s="10">
        <f>IFERROR(__xludf.DUMMYFUNCTION("SPLIT(D614,""T"")"),43345.0)</f>
        <v>43345</v>
      </c>
      <c r="I614" s="4" t="str">
        <f>IFERROR(__xludf.DUMMYFUNCTION("""COMPUTED_VALUE"""),"14:02:00Z")</f>
        <v>14:02:00Z</v>
      </c>
      <c r="J614" s="4" t="str">
        <f t="shared" si="2"/>
        <v>14:02:00</v>
      </c>
      <c r="K614" s="4">
        <f t="shared" si="3"/>
        <v>124</v>
      </c>
      <c r="L614" s="4">
        <f t="shared" si="4"/>
        <v>-0.2020833333</v>
      </c>
      <c r="M614" s="4">
        <f t="shared" si="5"/>
        <v>123.7979167</v>
      </c>
    </row>
    <row r="615">
      <c r="A615" s="4" t="s">
        <v>145</v>
      </c>
      <c r="B615" s="4" t="s">
        <v>3084</v>
      </c>
      <c r="C615" s="4" t="s">
        <v>3174</v>
      </c>
      <c r="D615" s="4" t="s">
        <v>3175</v>
      </c>
      <c r="E615" s="10">
        <f>IFERROR(__xludf.DUMMYFUNCTION("SPLIT(B615,""T"")"),43469.0)</f>
        <v>43469</v>
      </c>
      <c r="F615" s="4" t="str">
        <f>IFERROR(__xludf.DUMMYFUNCTION("""COMPUTED_VALUE"""),"09:11:00Z")</f>
        <v>09:11:00Z</v>
      </c>
      <c r="G615" s="11" t="str">
        <f t="shared" si="1"/>
        <v>09:11:00</v>
      </c>
      <c r="H615" s="10">
        <f>IFERROR(__xludf.DUMMYFUNCTION("SPLIT(D615,""T"")"),43345.0)</f>
        <v>43345</v>
      </c>
      <c r="I615" s="4" t="str">
        <f>IFERROR(__xludf.DUMMYFUNCTION("""COMPUTED_VALUE"""),"14:53:00Z")</f>
        <v>14:53:00Z</v>
      </c>
      <c r="J615" s="4" t="str">
        <f t="shared" si="2"/>
        <v>14:53:00</v>
      </c>
      <c r="K615" s="4">
        <f t="shared" si="3"/>
        <v>124</v>
      </c>
      <c r="L615" s="4">
        <f t="shared" si="4"/>
        <v>-0.2375</v>
      </c>
      <c r="M615" s="4">
        <f t="shared" si="5"/>
        <v>123.7625</v>
      </c>
    </row>
    <row r="616">
      <c r="A616" s="4" t="s">
        <v>87</v>
      </c>
      <c r="B616" s="4" t="s">
        <v>1825</v>
      </c>
      <c r="C616" s="4" t="s">
        <v>1826</v>
      </c>
      <c r="D616" s="4" t="s">
        <v>1777</v>
      </c>
      <c r="E616" s="10">
        <f>IFERROR(__xludf.DUMMYFUNCTION("SPLIT(B616,""T"")"),43140.0)</f>
        <v>43140</v>
      </c>
      <c r="F616" s="4" t="str">
        <f>IFERROR(__xludf.DUMMYFUNCTION("""COMPUTED_VALUE"""),"09:48:00Z")</f>
        <v>09:48:00Z</v>
      </c>
      <c r="G616" s="11" t="str">
        <f t="shared" si="1"/>
        <v>09:48:00</v>
      </c>
      <c r="H616" s="10">
        <f>IFERROR(__xludf.DUMMYFUNCTION("SPLIT(D616,""T"")"),43016.0)</f>
        <v>43016</v>
      </c>
      <c r="I616" s="4" t="str">
        <f>IFERROR(__xludf.DUMMYFUNCTION("""COMPUTED_VALUE"""),"21:45:00Z")</f>
        <v>21:45:00Z</v>
      </c>
      <c r="J616" s="4" t="str">
        <f t="shared" si="2"/>
        <v>21:45:00</v>
      </c>
      <c r="K616" s="4">
        <f t="shared" si="3"/>
        <v>124</v>
      </c>
      <c r="L616" s="4">
        <f t="shared" si="4"/>
        <v>-0.4979166667</v>
      </c>
      <c r="M616" s="4">
        <f t="shared" si="5"/>
        <v>123.5020833</v>
      </c>
    </row>
    <row r="617">
      <c r="A617" s="4" t="s">
        <v>166</v>
      </c>
      <c r="B617" s="4" t="s">
        <v>1765</v>
      </c>
      <c r="C617" s="4" t="s">
        <v>1766</v>
      </c>
      <c r="D617" s="4" t="s">
        <v>1767</v>
      </c>
      <c r="E617" s="10">
        <f>IFERROR(__xludf.DUMMYFUNCTION("SPLIT(B617,""T"")"),43140.0)</f>
        <v>43140</v>
      </c>
      <c r="F617" s="4" t="str">
        <f>IFERROR(__xludf.DUMMYFUNCTION("""COMPUTED_VALUE"""),"09:37:00Z")</f>
        <v>09:37:00Z</v>
      </c>
      <c r="G617" s="11" t="str">
        <f t="shared" si="1"/>
        <v>09:37:00</v>
      </c>
      <c r="H617" s="10">
        <f>IFERROR(__xludf.DUMMYFUNCTION("SPLIT(D617,""T"")"),43016.0)</f>
        <v>43016</v>
      </c>
      <c r="I617" s="4" t="str">
        <f>IFERROR(__xludf.DUMMYFUNCTION("""COMPUTED_VALUE"""),"21:52:00Z")</f>
        <v>21:52:00Z</v>
      </c>
      <c r="J617" s="4" t="str">
        <f t="shared" si="2"/>
        <v>21:52:00</v>
      </c>
      <c r="K617" s="4">
        <f t="shared" si="3"/>
        <v>124</v>
      </c>
      <c r="L617" s="4">
        <f t="shared" si="4"/>
        <v>-0.5104166667</v>
      </c>
      <c r="M617" s="4">
        <f t="shared" si="5"/>
        <v>123.4895833</v>
      </c>
    </row>
    <row r="618">
      <c r="A618" s="4" t="s">
        <v>278</v>
      </c>
      <c r="B618" s="4" t="s">
        <v>1765</v>
      </c>
      <c r="C618" s="4" t="s">
        <v>1766</v>
      </c>
      <c r="D618" s="4" t="s">
        <v>1767</v>
      </c>
      <c r="E618" s="10">
        <f>IFERROR(__xludf.DUMMYFUNCTION("SPLIT(B618,""T"")"),43140.0)</f>
        <v>43140</v>
      </c>
      <c r="F618" s="4" t="str">
        <f>IFERROR(__xludf.DUMMYFUNCTION("""COMPUTED_VALUE"""),"09:37:00Z")</f>
        <v>09:37:00Z</v>
      </c>
      <c r="G618" s="11" t="str">
        <f t="shared" si="1"/>
        <v>09:37:00</v>
      </c>
      <c r="H618" s="10">
        <f>IFERROR(__xludf.DUMMYFUNCTION("SPLIT(D618,""T"")"),43016.0)</f>
        <v>43016</v>
      </c>
      <c r="I618" s="4" t="str">
        <f>IFERROR(__xludf.DUMMYFUNCTION("""COMPUTED_VALUE"""),"21:52:00Z")</f>
        <v>21:52:00Z</v>
      </c>
      <c r="J618" s="4" t="str">
        <f t="shared" si="2"/>
        <v>21:52:00</v>
      </c>
      <c r="K618" s="4">
        <f t="shared" si="3"/>
        <v>124</v>
      </c>
      <c r="L618" s="4">
        <f t="shared" si="4"/>
        <v>-0.5104166667</v>
      </c>
      <c r="M618" s="4">
        <f t="shared" si="5"/>
        <v>123.4895833</v>
      </c>
    </row>
    <row r="619">
      <c r="A619" s="4" t="s">
        <v>166</v>
      </c>
      <c r="B619" s="4" t="s">
        <v>1775</v>
      </c>
      <c r="C619" s="4" t="s">
        <v>1776</v>
      </c>
      <c r="D619" s="4" t="s">
        <v>1777</v>
      </c>
      <c r="E619" s="10">
        <f>IFERROR(__xludf.DUMMYFUNCTION("SPLIT(B619,""T"")"),43140.0)</f>
        <v>43140</v>
      </c>
      <c r="F619" s="4" t="str">
        <f>IFERROR(__xludf.DUMMYFUNCTION("""COMPUTED_VALUE"""),"09:27:00Z")</f>
        <v>09:27:00Z</v>
      </c>
      <c r="G619" s="11" t="str">
        <f t="shared" si="1"/>
        <v>09:27:00</v>
      </c>
      <c r="H619" s="10">
        <f>IFERROR(__xludf.DUMMYFUNCTION("SPLIT(D619,""T"")"),43016.0)</f>
        <v>43016</v>
      </c>
      <c r="I619" s="4" t="str">
        <f>IFERROR(__xludf.DUMMYFUNCTION("""COMPUTED_VALUE"""),"21:45:00Z")</f>
        <v>21:45:00Z</v>
      </c>
      <c r="J619" s="4" t="str">
        <f t="shared" si="2"/>
        <v>21:45:00</v>
      </c>
      <c r="K619" s="4">
        <f t="shared" si="3"/>
        <v>124</v>
      </c>
      <c r="L619" s="4">
        <f t="shared" si="4"/>
        <v>-0.5125</v>
      </c>
      <c r="M619" s="4">
        <f t="shared" si="5"/>
        <v>123.4875</v>
      </c>
    </row>
    <row r="620">
      <c r="A620" s="4" t="s">
        <v>73</v>
      </c>
      <c r="B620" s="4" t="s">
        <v>1775</v>
      </c>
      <c r="C620" s="4" t="s">
        <v>1776</v>
      </c>
      <c r="D620" s="4" t="s">
        <v>1777</v>
      </c>
      <c r="E620" s="10">
        <f>IFERROR(__xludf.DUMMYFUNCTION("SPLIT(B620,""T"")"),43140.0)</f>
        <v>43140</v>
      </c>
      <c r="F620" s="4" t="str">
        <f>IFERROR(__xludf.DUMMYFUNCTION("""COMPUTED_VALUE"""),"09:27:00Z")</f>
        <v>09:27:00Z</v>
      </c>
      <c r="G620" s="11" t="str">
        <f t="shared" si="1"/>
        <v>09:27:00</v>
      </c>
      <c r="H620" s="10">
        <f>IFERROR(__xludf.DUMMYFUNCTION("SPLIT(D620,""T"")"),43016.0)</f>
        <v>43016</v>
      </c>
      <c r="I620" s="4" t="str">
        <f>IFERROR(__xludf.DUMMYFUNCTION("""COMPUTED_VALUE"""),"21:45:00Z")</f>
        <v>21:45:00Z</v>
      </c>
      <c r="J620" s="4" t="str">
        <f t="shared" si="2"/>
        <v>21:45:00</v>
      </c>
      <c r="K620" s="4">
        <f t="shared" si="3"/>
        <v>124</v>
      </c>
      <c r="L620" s="4">
        <f t="shared" si="4"/>
        <v>-0.5125</v>
      </c>
      <c r="M620" s="4">
        <f t="shared" si="5"/>
        <v>123.4875</v>
      </c>
    </row>
    <row r="621">
      <c r="A621" s="4" t="s">
        <v>166</v>
      </c>
      <c r="B621" s="4" t="s">
        <v>1762</v>
      </c>
      <c r="C621" s="4" t="s">
        <v>1763</v>
      </c>
      <c r="D621" s="4" t="s">
        <v>1764</v>
      </c>
      <c r="E621" s="10">
        <f>IFERROR(__xludf.DUMMYFUNCTION("SPLIT(B621,""T"")"),43140.0)</f>
        <v>43140</v>
      </c>
      <c r="F621" s="4" t="str">
        <f>IFERROR(__xludf.DUMMYFUNCTION("""COMPUTED_VALUE"""),"09:30:00Z")</f>
        <v>09:30:00Z</v>
      </c>
      <c r="G621" s="11" t="str">
        <f t="shared" si="1"/>
        <v>09:30:00</v>
      </c>
      <c r="H621" s="10">
        <f>IFERROR(__xludf.DUMMYFUNCTION("SPLIT(D621,""T"")"),43016.0)</f>
        <v>43016</v>
      </c>
      <c r="I621" s="4" t="str">
        <f>IFERROR(__xludf.DUMMYFUNCTION("""COMPUTED_VALUE"""),"22:00:00Z")</f>
        <v>22:00:00Z</v>
      </c>
      <c r="J621" s="4" t="str">
        <f t="shared" si="2"/>
        <v>22:00:00</v>
      </c>
      <c r="K621" s="4">
        <f t="shared" si="3"/>
        <v>124</v>
      </c>
      <c r="L621" s="4">
        <f t="shared" si="4"/>
        <v>-0.5208333333</v>
      </c>
      <c r="M621" s="4">
        <f t="shared" si="5"/>
        <v>123.4791667</v>
      </c>
    </row>
    <row r="622">
      <c r="A622" s="4" t="s">
        <v>73</v>
      </c>
      <c r="B622" s="4" t="s">
        <v>1762</v>
      </c>
      <c r="C622" s="4" t="s">
        <v>1763</v>
      </c>
      <c r="D622" s="4" t="s">
        <v>1764</v>
      </c>
      <c r="E622" s="10">
        <f>IFERROR(__xludf.DUMMYFUNCTION("SPLIT(B622,""T"")"),43140.0)</f>
        <v>43140</v>
      </c>
      <c r="F622" s="4" t="str">
        <f>IFERROR(__xludf.DUMMYFUNCTION("""COMPUTED_VALUE"""),"09:30:00Z")</f>
        <v>09:30:00Z</v>
      </c>
      <c r="G622" s="11" t="str">
        <f t="shared" si="1"/>
        <v>09:30:00</v>
      </c>
      <c r="H622" s="10">
        <f>IFERROR(__xludf.DUMMYFUNCTION("SPLIT(D622,""T"")"),43016.0)</f>
        <v>43016</v>
      </c>
      <c r="I622" s="4" t="str">
        <f>IFERROR(__xludf.DUMMYFUNCTION("""COMPUTED_VALUE"""),"22:00:00Z")</f>
        <v>22:00:00Z</v>
      </c>
      <c r="J622" s="4" t="str">
        <f t="shared" si="2"/>
        <v>22:00:00</v>
      </c>
      <c r="K622" s="4">
        <f t="shared" si="3"/>
        <v>124</v>
      </c>
      <c r="L622" s="4">
        <f t="shared" si="4"/>
        <v>-0.5208333333</v>
      </c>
      <c r="M622" s="4">
        <f t="shared" si="5"/>
        <v>123.4791667</v>
      </c>
    </row>
    <row r="623">
      <c r="A623" s="4" t="s">
        <v>367</v>
      </c>
      <c r="B623" s="4" t="s">
        <v>1817</v>
      </c>
      <c r="C623" s="4" t="s">
        <v>1818</v>
      </c>
      <c r="D623" s="4" t="s">
        <v>1819</v>
      </c>
      <c r="E623" s="10">
        <f>IFERROR(__xludf.DUMMYFUNCTION("SPLIT(B623,""T"")"),43140.0)</f>
        <v>43140</v>
      </c>
      <c r="F623" s="4" t="str">
        <f>IFERROR(__xludf.DUMMYFUNCTION("""COMPUTED_VALUE"""),"09:39:00Z")</f>
        <v>09:39:00Z</v>
      </c>
      <c r="G623" s="11" t="str">
        <f t="shared" si="1"/>
        <v>09:39:00</v>
      </c>
      <c r="H623" s="10">
        <f>IFERROR(__xludf.DUMMYFUNCTION("SPLIT(D623,""T"")"),43016.0)</f>
        <v>43016</v>
      </c>
      <c r="I623" s="4" t="str">
        <f>IFERROR(__xludf.DUMMYFUNCTION("""COMPUTED_VALUE"""),"23:03:00Z")</f>
        <v>23:03:00Z</v>
      </c>
      <c r="J623" s="4" t="str">
        <f t="shared" si="2"/>
        <v>23:03:00</v>
      </c>
      <c r="K623" s="4">
        <f t="shared" si="3"/>
        <v>124</v>
      </c>
      <c r="L623" s="4">
        <f t="shared" si="4"/>
        <v>-0.5583333333</v>
      </c>
      <c r="M623" s="4">
        <f t="shared" si="5"/>
        <v>123.4416667</v>
      </c>
    </row>
    <row r="624">
      <c r="A624" s="4" t="s">
        <v>388</v>
      </c>
      <c r="B624" s="4" t="s">
        <v>2247</v>
      </c>
      <c r="C624" s="4" t="s">
        <v>2248</v>
      </c>
      <c r="D624" s="4" t="s">
        <v>2249</v>
      </c>
      <c r="E624" s="10">
        <f>IFERROR(__xludf.DUMMYFUNCTION("SPLIT(B624,""T"")"),43140.0)</f>
        <v>43140</v>
      </c>
      <c r="F624" s="4" t="str">
        <f>IFERROR(__xludf.DUMMYFUNCTION("""COMPUTED_VALUE"""),"09:52:00Z")</f>
        <v>09:52:00Z</v>
      </c>
      <c r="G624" s="11" t="str">
        <f t="shared" si="1"/>
        <v>09:52:00</v>
      </c>
      <c r="H624" s="10">
        <f>IFERROR(__xludf.DUMMYFUNCTION("SPLIT(D624,""T"")"),43017.0)</f>
        <v>43017</v>
      </c>
      <c r="I624" s="4" t="str">
        <f>IFERROR(__xludf.DUMMYFUNCTION("""COMPUTED_VALUE"""),"00:00:00Z")</f>
        <v>00:00:00Z</v>
      </c>
      <c r="J624" s="4" t="str">
        <f t="shared" si="2"/>
        <v>00:00:00</v>
      </c>
      <c r="K624" s="4">
        <f t="shared" si="3"/>
        <v>123</v>
      </c>
      <c r="L624" s="4">
        <f t="shared" si="4"/>
        <v>0.4111111111</v>
      </c>
      <c r="M624" s="4">
        <f t="shared" si="5"/>
        <v>123.4111111</v>
      </c>
    </row>
    <row r="625">
      <c r="A625" s="4" t="s">
        <v>388</v>
      </c>
      <c r="B625" s="4" t="s">
        <v>1971</v>
      </c>
      <c r="C625" s="4" t="s">
        <v>1972</v>
      </c>
      <c r="D625" s="4" t="s">
        <v>1973</v>
      </c>
      <c r="E625" s="10">
        <f>IFERROR(__xludf.DUMMYFUNCTION("SPLIT(B625,""T"")"),43140.0)</f>
        <v>43140</v>
      </c>
      <c r="F625" s="4" t="str">
        <f>IFERROR(__xludf.DUMMYFUNCTION("""COMPUTED_VALUE"""),"09:51:00Z")</f>
        <v>09:51:00Z</v>
      </c>
      <c r="G625" s="11" t="str">
        <f t="shared" si="1"/>
        <v>09:51:00</v>
      </c>
      <c r="H625" s="10">
        <f>IFERROR(__xludf.DUMMYFUNCTION("SPLIT(D625,""T"")"),43017.0)</f>
        <v>43017</v>
      </c>
      <c r="I625" s="4" t="str">
        <f>IFERROR(__xludf.DUMMYFUNCTION("""COMPUTED_VALUE"""),"00:01:00Z")</f>
        <v>00:01:00Z</v>
      </c>
      <c r="J625" s="4" t="str">
        <f t="shared" si="2"/>
        <v>00:01:00</v>
      </c>
      <c r="K625" s="4">
        <f t="shared" si="3"/>
        <v>123</v>
      </c>
      <c r="L625" s="4">
        <f t="shared" si="4"/>
        <v>0.4097222222</v>
      </c>
      <c r="M625" s="4">
        <f t="shared" si="5"/>
        <v>123.4097222</v>
      </c>
    </row>
    <row r="626">
      <c r="A626" s="4" t="s">
        <v>186</v>
      </c>
      <c r="B626" s="4" t="s">
        <v>1891</v>
      </c>
      <c r="C626" s="4" t="s">
        <v>1892</v>
      </c>
      <c r="D626" s="4" t="s">
        <v>1893</v>
      </c>
      <c r="E626" s="10">
        <f>IFERROR(__xludf.DUMMYFUNCTION("SPLIT(B626,""T"")"),43140.0)</f>
        <v>43140</v>
      </c>
      <c r="F626" s="4" t="str">
        <f>IFERROR(__xludf.DUMMYFUNCTION("""COMPUTED_VALUE"""),"09:29:00Z")</f>
        <v>09:29:00Z</v>
      </c>
      <c r="G626" s="11" t="str">
        <f t="shared" si="1"/>
        <v>09:29:00</v>
      </c>
      <c r="H626" s="10">
        <f>IFERROR(__xludf.DUMMYFUNCTION("SPLIT(D626,""T"")"),43016.0)</f>
        <v>43016</v>
      </c>
      <c r="I626" s="4" t="str">
        <f>IFERROR(__xludf.DUMMYFUNCTION("""COMPUTED_VALUE"""),"23:59:00Z")</f>
        <v>23:59:00Z</v>
      </c>
      <c r="J626" s="4" t="str">
        <f t="shared" si="2"/>
        <v>23:59:00</v>
      </c>
      <c r="K626" s="4">
        <f t="shared" si="3"/>
        <v>124</v>
      </c>
      <c r="L626" s="4">
        <f t="shared" si="4"/>
        <v>-0.6041666667</v>
      </c>
      <c r="M626" s="4">
        <f t="shared" si="5"/>
        <v>123.3958333</v>
      </c>
    </row>
    <row r="627">
      <c r="A627" s="4" t="s">
        <v>313</v>
      </c>
      <c r="B627" s="4" t="s">
        <v>1781</v>
      </c>
      <c r="C627" s="4" t="s">
        <v>1782</v>
      </c>
      <c r="D627" s="4" t="s">
        <v>1783</v>
      </c>
      <c r="E627" s="10">
        <f>IFERROR(__xludf.DUMMYFUNCTION("SPLIT(B627,""T"")"),43140.0)</f>
        <v>43140</v>
      </c>
      <c r="F627" s="4" t="str">
        <f>IFERROR(__xludf.DUMMYFUNCTION("""COMPUTED_VALUE"""),"08:56:00Z")</f>
        <v>08:56:00Z</v>
      </c>
      <c r="G627" s="11" t="str">
        <f t="shared" si="1"/>
        <v>08:56:00</v>
      </c>
      <c r="H627" s="10">
        <f>IFERROR(__xludf.DUMMYFUNCTION("SPLIT(D627,""T"")"),43016.0)</f>
        <v>43016</v>
      </c>
      <c r="I627" s="4" t="str">
        <f>IFERROR(__xludf.DUMMYFUNCTION("""COMPUTED_VALUE"""),"23:36:00Z")</f>
        <v>23:36:00Z</v>
      </c>
      <c r="J627" s="4" t="str">
        <f t="shared" si="2"/>
        <v>23:36:00</v>
      </c>
      <c r="K627" s="4">
        <f t="shared" si="3"/>
        <v>124</v>
      </c>
      <c r="L627" s="4">
        <f t="shared" si="4"/>
        <v>-0.6111111111</v>
      </c>
      <c r="M627" s="4">
        <f t="shared" si="5"/>
        <v>123.3888889</v>
      </c>
    </row>
    <row r="628">
      <c r="A628" s="4" t="s">
        <v>87</v>
      </c>
      <c r="B628" s="4" t="s">
        <v>1840</v>
      </c>
      <c r="C628" s="4" t="s">
        <v>1841</v>
      </c>
      <c r="D628" s="4" t="s">
        <v>1842</v>
      </c>
      <c r="E628" s="10">
        <f>IFERROR(__xludf.DUMMYFUNCTION("SPLIT(B628,""T"")"),43140.0)</f>
        <v>43140</v>
      </c>
      <c r="F628" s="4" t="str">
        <f>IFERROR(__xludf.DUMMYFUNCTION("""COMPUTED_VALUE"""),"09:50:00Z")</f>
        <v>09:50:00Z</v>
      </c>
      <c r="G628" s="11" t="str">
        <f t="shared" si="1"/>
        <v>09:50:00</v>
      </c>
      <c r="H628" s="10">
        <f>IFERROR(__xludf.DUMMYFUNCTION("SPLIT(D628,""T"")"),43017.0)</f>
        <v>43017</v>
      </c>
      <c r="I628" s="4" t="str">
        <f>IFERROR(__xludf.DUMMYFUNCTION("""COMPUTED_VALUE"""),"00:57:00Z")</f>
        <v>00:57:00Z</v>
      </c>
      <c r="J628" s="4" t="str">
        <f t="shared" si="2"/>
        <v>00:57:00</v>
      </c>
      <c r="K628" s="4">
        <f t="shared" si="3"/>
        <v>123</v>
      </c>
      <c r="L628" s="4">
        <f t="shared" si="4"/>
        <v>0.3701388889</v>
      </c>
      <c r="M628" s="4">
        <f t="shared" si="5"/>
        <v>123.3701389</v>
      </c>
    </row>
    <row r="629">
      <c r="A629" s="4" t="s">
        <v>73</v>
      </c>
      <c r="B629" s="4" t="s">
        <v>1801</v>
      </c>
      <c r="C629" s="4" t="s">
        <v>1802</v>
      </c>
      <c r="D629" s="4" t="s">
        <v>1803</v>
      </c>
      <c r="E629" s="10">
        <f>IFERROR(__xludf.DUMMYFUNCTION("SPLIT(B629,""T"")"),43140.0)</f>
        <v>43140</v>
      </c>
      <c r="F629" s="4" t="str">
        <f>IFERROR(__xludf.DUMMYFUNCTION("""COMPUTED_VALUE"""),"09:32:00Z")</f>
        <v>09:32:00Z</v>
      </c>
      <c r="G629" s="11" t="str">
        <f t="shared" si="1"/>
        <v>09:32:00</v>
      </c>
      <c r="H629" s="10">
        <f>IFERROR(__xludf.DUMMYFUNCTION("SPLIT(D629,""T"")"),43017.0)</f>
        <v>43017</v>
      </c>
      <c r="I629" s="4" t="str">
        <f>IFERROR(__xludf.DUMMYFUNCTION("""COMPUTED_VALUE"""),"03:30:00Z")</f>
        <v>03:30:00Z</v>
      </c>
      <c r="J629" s="4" t="str">
        <f t="shared" si="2"/>
        <v>03:30:00</v>
      </c>
      <c r="K629" s="4">
        <f t="shared" si="3"/>
        <v>123</v>
      </c>
      <c r="L629" s="4">
        <f t="shared" si="4"/>
        <v>0.2513888889</v>
      </c>
      <c r="M629" s="4">
        <f t="shared" si="5"/>
        <v>123.2513889</v>
      </c>
    </row>
    <row r="630">
      <c r="A630" s="4" t="s">
        <v>186</v>
      </c>
      <c r="B630" s="4" t="s">
        <v>3084</v>
      </c>
      <c r="C630" s="4" t="s">
        <v>3137</v>
      </c>
      <c r="D630" s="4" t="s">
        <v>3138</v>
      </c>
      <c r="E630" s="10">
        <f>IFERROR(__xludf.DUMMYFUNCTION("SPLIT(B630,""T"")"),43469.0)</f>
        <v>43469</v>
      </c>
      <c r="F630" s="4" t="str">
        <f>IFERROR(__xludf.DUMMYFUNCTION("""COMPUTED_VALUE"""),"09:11:00Z")</f>
        <v>09:11:00Z</v>
      </c>
      <c r="G630" s="11" t="str">
        <f t="shared" si="1"/>
        <v>09:11:00</v>
      </c>
      <c r="H630" s="10">
        <f>IFERROR(__xludf.DUMMYFUNCTION("SPLIT(D630,""T"")"),43346.0)</f>
        <v>43346</v>
      </c>
      <c r="I630" s="4" t="str">
        <f>IFERROR(__xludf.DUMMYFUNCTION("""COMPUTED_VALUE"""),"13:58:00Z")</f>
        <v>13:58:00Z</v>
      </c>
      <c r="J630" s="4" t="str">
        <f t="shared" si="2"/>
        <v>13:58:00</v>
      </c>
      <c r="K630" s="4">
        <f t="shared" si="3"/>
        <v>123</v>
      </c>
      <c r="L630" s="4">
        <f t="shared" si="4"/>
        <v>-0.1993055556</v>
      </c>
      <c r="M630" s="4">
        <f t="shared" si="5"/>
        <v>122.8006944</v>
      </c>
    </row>
    <row r="631">
      <c r="A631" s="4" t="s">
        <v>31</v>
      </c>
      <c r="B631" s="4" t="s">
        <v>2765</v>
      </c>
      <c r="C631" s="4" t="s">
        <v>888</v>
      </c>
      <c r="D631" s="4" t="s">
        <v>2766</v>
      </c>
      <c r="E631" s="10">
        <f>IFERROR(__xludf.DUMMYFUNCTION("SPLIT(B631,""T"")"),43469.0)</f>
        <v>43469</v>
      </c>
      <c r="F631" s="4" t="str">
        <f>IFERROR(__xludf.DUMMYFUNCTION("""COMPUTED_VALUE"""),"09:10:00Z")</f>
        <v>09:10:00Z</v>
      </c>
      <c r="G631" s="11" t="str">
        <f t="shared" si="1"/>
        <v>09:10:00</v>
      </c>
      <c r="H631" s="10">
        <f>IFERROR(__xludf.DUMMYFUNCTION("SPLIT(D631,""T"")"),43346.0)</f>
        <v>43346</v>
      </c>
      <c r="I631" s="4" t="str">
        <f>IFERROR(__xludf.DUMMYFUNCTION("""COMPUTED_VALUE"""),"16:38:00Z")</f>
        <v>16:38:00Z</v>
      </c>
      <c r="J631" s="4" t="str">
        <f t="shared" si="2"/>
        <v>16:38:00</v>
      </c>
      <c r="K631" s="4">
        <f t="shared" si="3"/>
        <v>123</v>
      </c>
      <c r="L631" s="4">
        <f t="shared" si="4"/>
        <v>-0.3111111111</v>
      </c>
      <c r="M631" s="4">
        <f t="shared" si="5"/>
        <v>122.6888889</v>
      </c>
    </row>
    <row r="632">
      <c r="A632" s="4" t="s">
        <v>874</v>
      </c>
      <c r="B632" s="4" t="s">
        <v>2693</v>
      </c>
      <c r="C632" s="4" t="s">
        <v>2694</v>
      </c>
      <c r="D632" s="4" t="s">
        <v>2695</v>
      </c>
      <c r="E632" s="10">
        <f>IFERROR(__xludf.DUMMYFUNCTION("SPLIT(B632,""T"")"),43469.0)</f>
        <v>43469</v>
      </c>
      <c r="F632" s="4" t="str">
        <f>IFERROR(__xludf.DUMMYFUNCTION("""COMPUTED_VALUE"""),"09:09:00Z")</f>
        <v>09:09:00Z</v>
      </c>
      <c r="G632" s="11" t="str">
        <f t="shared" si="1"/>
        <v>09:09:00</v>
      </c>
      <c r="H632" s="10">
        <f>IFERROR(__xludf.DUMMYFUNCTION("SPLIT(D632,""T"")"),43347.0)</f>
        <v>43347</v>
      </c>
      <c r="I632" s="4" t="str">
        <f>IFERROR(__xludf.DUMMYFUNCTION("""COMPUTED_VALUE"""),"14:26:00Z")</f>
        <v>14:26:00Z</v>
      </c>
      <c r="J632" s="4" t="str">
        <f t="shared" si="2"/>
        <v>14:26:00</v>
      </c>
      <c r="K632" s="4">
        <f t="shared" si="3"/>
        <v>122</v>
      </c>
      <c r="L632" s="4">
        <f t="shared" si="4"/>
        <v>-0.2201388889</v>
      </c>
      <c r="M632" s="4">
        <f t="shared" si="5"/>
        <v>121.7798611</v>
      </c>
    </row>
    <row r="633">
      <c r="A633" s="4" t="s">
        <v>58</v>
      </c>
      <c r="B633" s="4" t="s">
        <v>2744</v>
      </c>
      <c r="C633" s="4" t="s">
        <v>3187</v>
      </c>
      <c r="D633" s="4" t="s">
        <v>3188</v>
      </c>
      <c r="E633" s="10">
        <f>IFERROR(__xludf.DUMMYFUNCTION("SPLIT(B633,""T"")"),43469.0)</f>
        <v>43469</v>
      </c>
      <c r="F633" s="4" t="str">
        <f>IFERROR(__xludf.DUMMYFUNCTION("""COMPUTED_VALUE"""),"09:08:00Z")</f>
        <v>09:08:00Z</v>
      </c>
      <c r="G633" s="11" t="str">
        <f t="shared" si="1"/>
        <v>09:08:00</v>
      </c>
      <c r="H633" s="10">
        <f>IFERROR(__xludf.DUMMYFUNCTION("SPLIT(D633,""T"")"),43347.0)</f>
        <v>43347</v>
      </c>
      <c r="I633" s="4" t="str">
        <f>IFERROR(__xludf.DUMMYFUNCTION("""COMPUTED_VALUE"""),"14:43:00Z")</f>
        <v>14:43:00Z</v>
      </c>
      <c r="J633" s="4" t="str">
        <f t="shared" si="2"/>
        <v>14:43:00</v>
      </c>
      <c r="K633" s="4">
        <f t="shared" si="3"/>
        <v>122</v>
      </c>
      <c r="L633" s="4">
        <f t="shared" si="4"/>
        <v>-0.2326388889</v>
      </c>
      <c r="M633" s="4">
        <f t="shared" si="5"/>
        <v>121.7673611</v>
      </c>
    </row>
    <row r="634">
      <c r="A634" s="4" t="s">
        <v>130</v>
      </c>
      <c r="B634" s="4" t="s">
        <v>2693</v>
      </c>
      <c r="C634" s="4" t="s">
        <v>2907</v>
      </c>
      <c r="D634" s="4" t="s">
        <v>2908</v>
      </c>
      <c r="E634" s="10">
        <f>IFERROR(__xludf.DUMMYFUNCTION("SPLIT(B634,""T"")"),43469.0)</f>
        <v>43469</v>
      </c>
      <c r="F634" s="4" t="str">
        <f>IFERROR(__xludf.DUMMYFUNCTION("""COMPUTED_VALUE"""),"09:09:00Z")</f>
        <v>09:09:00Z</v>
      </c>
      <c r="G634" s="11" t="str">
        <f t="shared" si="1"/>
        <v>09:09:00</v>
      </c>
      <c r="H634" s="10">
        <f>IFERROR(__xludf.DUMMYFUNCTION("SPLIT(D634,""T"")"),43347.0)</f>
        <v>43347</v>
      </c>
      <c r="I634" s="4" t="str">
        <f>IFERROR(__xludf.DUMMYFUNCTION("""COMPUTED_VALUE"""),"15:03:00Z")</f>
        <v>15:03:00Z</v>
      </c>
      <c r="J634" s="4" t="str">
        <f t="shared" si="2"/>
        <v>15:03:00</v>
      </c>
      <c r="K634" s="4">
        <f t="shared" si="3"/>
        <v>122</v>
      </c>
      <c r="L634" s="4">
        <f t="shared" si="4"/>
        <v>-0.2458333333</v>
      </c>
      <c r="M634" s="4">
        <f t="shared" si="5"/>
        <v>121.7541667</v>
      </c>
    </row>
    <row r="635">
      <c r="A635" s="4" t="s">
        <v>630</v>
      </c>
      <c r="B635" s="4" t="s">
        <v>2744</v>
      </c>
      <c r="C635" s="4" t="s">
        <v>2745</v>
      </c>
      <c r="D635" s="4" t="s">
        <v>2746</v>
      </c>
      <c r="E635" s="10">
        <f>IFERROR(__xludf.DUMMYFUNCTION("SPLIT(B635,""T"")"),43469.0)</f>
        <v>43469</v>
      </c>
      <c r="F635" s="4" t="str">
        <f>IFERROR(__xludf.DUMMYFUNCTION("""COMPUTED_VALUE"""),"09:08:00Z")</f>
        <v>09:08:00Z</v>
      </c>
      <c r="G635" s="11" t="str">
        <f t="shared" si="1"/>
        <v>09:08:00</v>
      </c>
      <c r="H635" s="10">
        <f>IFERROR(__xludf.DUMMYFUNCTION("SPLIT(D635,""T"")"),43347.0)</f>
        <v>43347</v>
      </c>
      <c r="I635" s="4" t="str">
        <f>IFERROR(__xludf.DUMMYFUNCTION("""COMPUTED_VALUE"""),"15:20:00Z")</f>
        <v>15:20:00Z</v>
      </c>
      <c r="J635" s="4" t="str">
        <f t="shared" si="2"/>
        <v>15:20:00</v>
      </c>
      <c r="K635" s="4">
        <f t="shared" si="3"/>
        <v>122</v>
      </c>
      <c r="L635" s="4">
        <f t="shared" si="4"/>
        <v>-0.2583333333</v>
      </c>
      <c r="M635" s="4">
        <f t="shared" si="5"/>
        <v>121.7416667</v>
      </c>
    </row>
    <row r="636">
      <c r="A636" s="4" t="s">
        <v>27</v>
      </c>
      <c r="B636" s="4" t="s">
        <v>2360</v>
      </c>
      <c r="C636" s="4" t="s">
        <v>2415</v>
      </c>
      <c r="D636" s="4" t="s">
        <v>2416</v>
      </c>
      <c r="E636" s="10">
        <f>IFERROR(__xludf.DUMMYFUNCTION("SPLIT(B636,""T"")"),43109.0)</f>
        <v>43109</v>
      </c>
      <c r="F636" s="4" t="str">
        <f>IFERROR(__xludf.DUMMYFUNCTION("""COMPUTED_VALUE"""),"13:19:00Z")</f>
        <v>13:19:00Z</v>
      </c>
      <c r="G636" s="11" t="str">
        <f t="shared" si="1"/>
        <v>13:19:00</v>
      </c>
      <c r="H636" s="10">
        <f>IFERROR(__xludf.DUMMYFUNCTION("SPLIT(D636,""T"")"),42988.0)</f>
        <v>42988</v>
      </c>
      <c r="I636" s="4" t="str">
        <f>IFERROR(__xludf.DUMMYFUNCTION("""COMPUTED_VALUE"""),"13:49:00Z")</f>
        <v>13:49:00Z</v>
      </c>
      <c r="J636" s="4" t="str">
        <f t="shared" si="2"/>
        <v>13:49:00</v>
      </c>
      <c r="K636" s="4">
        <f t="shared" si="3"/>
        <v>121</v>
      </c>
      <c r="L636" s="4">
        <f t="shared" si="4"/>
        <v>-0.02083333333</v>
      </c>
      <c r="M636" s="4">
        <f t="shared" si="5"/>
        <v>120.9791667</v>
      </c>
    </row>
    <row r="637">
      <c r="A637" s="4" t="s">
        <v>58</v>
      </c>
      <c r="B637" s="4" t="s">
        <v>2662</v>
      </c>
      <c r="C637" s="4" t="s">
        <v>2663</v>
      </c>
      <c r="D637" s="4" t="s">
        <v>2664</v>
      </c>
      <c r="E637" s="10">
        <f>IFERROR(__xludf.DUMMYFUNCTION("SPLIT(B637,""T"")"),43469.0)</f>
        <v>43469</v>
      </c>
      <c r="F637" s="4" t="str">
        <f>IFERROR(__xludf.DUMMYFUNCTION("""COMPUTED_VALUE"""),"09:07:00Z")</f>
        <v>09:07:00Z</v>
      </c>
      <c r="G637" s="11" t="str">
        <f t="shared" si="1"/>
        <v>09:07:00</v>
      </c>
      <c r="H637" s="10">
        <f>IFERROR(__xludf.DUMMYFUNCTION("SPLIT(D637,""T"")"),43348.0)</f>
        <v>43348</v>
      </c>
      <c r="I637" s="4" t="str">
        <f>IFERROR(__xludf.DUMMYFUNCTION("""COMPUTED_VALUE"""),"12:51:00Z")</f>
        <v>12:51:00Z</v>
      </c>
      <c r="J637" s="4" t="str">
        <f t="shared" si="2"/>
        <v>12:51:00</v>
      </c>
      <c r="K637" s="4">
        <f t="shared" si="3"/>
        <v>121</v>
      </c>
      <c r="L637" s="4">
        <f t="shared" si="4"/>
        <v>-0.1555555556</v>
      </c>
      <c r="M637" s="4">
        <f t="shared" si="5"/>
        <v>120.8444444</v>
      </c>
    </row>
    <row r="638">
      <c r="A638" s="4" t="s">
        <v>630</v>
      </c>
      <c r="B638" s="4" t="s">
        <v>2662</v>
      </c>
      <c r="C638" s="4" t="s">
        <v>2663</v>
      </c>
      <c r="D638" s="4" t="s">
        <v>2664</v>
      </c>
      <c r="E638" s="10">
        <f>IFERROR(__xludf.DUMMYFUNCTION("SPLIT(B638,""T"")"),43469.0)</f>
        <v>43469</v>
      </c>
      <c r="F638" s="4" t="str">
        <f>IFERROR(__xludf.DUMMYFUNCTION("""COMPUTED_VALUE"""),"09:07:00Z")</f>
        <v>09:07:00Z</v>
      </c>
      <c r="G638" s="11" t="str">
        <f t="shared" si="1"/>
        <v>09:07:00</v>
      </c>
      <c r="H638" s="10">
        <f>IFERROR(__xludf.DUMMYFUNCTION("SPLIT(D638,""T"")"),43348.0)</f>
        <v>43348</v>
      </c>
      <c r="I638" s="4" t="str">
        <f>IFERROR(__xludf.DUMMYFUNCTION("""COMPUTED_VALUE"""),"12:51:00Z")</f>
        <v>12:51:00Z</v>
      </c>
      <c r="J638" s="4" t="str">
        <f t="shared" si="2"/>
        <v>12:51:00</v>
      </c>
      <c r="K638" s="4">
        <f t="shared" si="3"/>
        <v>121</v>
      </c>
      <c r="L638" s="4">
        <f t="shared" si="4"/>
        <v>-0.1555555556</v>
      </c>
      <c r="M638" s="4">
        <f t="shared" si="5"/>
        <v>120.8444444</v>
      </c>
    </row>
    <row r="639">
      <c r="A639" s="4" t="s">
        <v>39</v>
      </c>
      <c r="B639" s="4" t="s">
        <v>2360</v>
      </c>
      <c r="C639" s="4" t="s">
        <v>2591</v>
      </c>
      <c r="D639" s="4" t="s">
        <v>2592</v>
      </c>
      <c r="E639" s="10">
        <f>IFERROR(__xludf.DUMMYFUNCTION("SPLIT(B639,""T"")"),43109.0)</f>
        <v>43109</v>
      </c>
      <c r="F639" s="4" t="str">
        <f>IFERROR(__xludf.DUMMYFUNCTION("""COMPUTED_VALUE"""),"13:19:00Z")</f>
        <v>13:19:00Z</v>
      </c>
      <c r="G639" s="11" t="str">
        <f t="shared" si="1"/>
        <v>13:19:00</v>
      </c>
      <c r="H639" s="10">
        <f>IFERROR(__xludf.DUMMYFUNCTION("SPLIT(D639,""T"")"),42989.0)</f>
        <v>42989</v>
      </c>
      <c r="I639" s="4" t="str">
        <f>IFERROR(__xludf.DUMMYFUNCTION("""COMPUTED_VALUE"""),"10:00:00Z")</f>
        <v>10:00:00Z</v>
      </c>
      <c r="J639" s="4" t="str">
        <f t="shared" si="2"/>
        <v>10:00:00</v>
      </c>
      <c r="K639" s="4">
        <f t="shared" si="3"/>
        <v>120</v>
      </c>
      <c r="L639" s="4">
        <f t="shared" si="4"/>
        <v>0.1381944444</v>
      </c>
      <c r="M639" s="4">
        <f t="shared" si="5"/>
        <v>120.1381944</v>
      </c>
    </row>
    <row r="640">
      <c r="A640" s="4" t="s">
        <v>23</v>
      </c>
      <c r="B640" s="4" t="s">
        <v>689</v>
      </c>
      <c r="C640" s="4" t="s">
        <v>690</v>
      </c>
      <c r="D640" s="4" t="s">
        <v>691</v>
      </c>
      <c r="E640" s="10">
        <f>IFERROR(__xludf.DUMMYFUNCTION("SPLIT(B640,""T"")"),41985.0)</f>
        <v>41985</v>
      </c>
      <c r="F640" s="4" t="str">
        <f>IFERROR(__xludf.DUMMYFUNCTION("""COMPUTED_VALUE"""),"14:00:00Z")</f>
        <v>14:00:00Z</v>
      </c>
      <c r="G640" s="11" t="str">
        <f t="shared" si="1"/>
        <v>14:00:00</v>
      </c>
      <c r="H640" s="10">
        <f>IFERROR(__xludf.DUMMYFUNCTION("SPLIT(D640,""T"")"),41865.0)</f>
        <v>41865</v>
      </c>
      <c r="I640" s="4" t="str">
        <f>IFERROR(__xludf.DUMMYFUNCTION("""COMPUTED_VALUE"""),"12:48:00Z")</f>
        <v>12:48:00Z</v>
      </c>
      <c r="J640" s="4" t="str">
        <f t="shared" si="2"/>
        <v>12:48:00</v>
      </c>
      <c r="K640" s="4">
        <f t="shared" si="3"/>
        <v>120</v>
      </c>
      <c r="L640" s="4">
        <f t="shared" si="4"/>
        <v>0.05</v>
      </c>
      <c r="M640" s="4">
        <f t="shared" si="5"/>
        <v>120.05</v>
      </c>
    </row>
    <row r="641">
      <c r="A641" s="4" t="s">
        <v>114</v>
      </c>
      <c r="B641" s="4" t="s">
        <v>2360</v>
      </c>
      <c r="C641" s="4" t="s">
        <v>1338</v>
      </c>
      <c r="D641" s="4" t="s">
        <v>2361</v>
      </c>
      <c r="E641" s="10">
        <f>IFERROR(__xludf.DUMMYFUNCTION("SPLIT(B641,""T"")"),43109.0)</f>
        <v>43109</v>
      </c>
      <c r="F641" s="4" t="str">
        <f>IFERROR(__xludf.DUMMYFUNCTION("""COMPUTED_VALUE"""),"13:19:00Z")</f>
        <v>13:19:00Z</v>
      </c>
      <c r="G641" s="11" t="str">
        <f t="shared" si="1"/>
        <v>13:19:00</v>
      </c>
      <c r="H641" s="10">
        <f>IFERROR(__xludf.DUMMYFUNCTION("SPLIT(D641,""T"")"),42989.0)</f>
        <v>42989</v>
      </c>
      <c r="I641" s="4" t="str">
        <f>IFERROR(__xludf.DUMMYFUNCTION("""COMPUTED_VALUE"""),"15:11:00Z")</f>
        <v>15:11:00Z</v>
      </c>
      <c r="J641" s="4" t="str">
        <f t="shared" si="2"/>
        <v>15:11:00</v>
      </c>
      <c r="K641" s="4">
        <f t="shared" si="3"/>
        <v>120</v>
      </c>
      <c r="L641" s="4">
        <f t="shared" si="4"/>
        <v>-0.07777777778</v>
      </c>
      <c r="M641" s="4">
        <f t="shared" si="5"/>
        <v>119.9222222</v>
      </c>
    </row>
    <row r="642">
      <c r="A642" s="4" t="s">
        <v>429</v>
      </c>
      <c r="B642" s="4" t="s">
        <v>2092</v>
      </c>
      <c r="C642" s="4" t="s">
        <v>2327</v>
      </c>
      <c r="D642" s="4" t="s">
        <v>2328</v>
      </c>
      <c r="E642" s="10">
        <f>IFERROR(__xludf.DUMMYFUNCTION("SPLIT(B642,""T"")"),43109.0)</f>
        <v>43109</v>
      </c>
      <c r="F642" s="4" t="str">
        <f>IFERROR(__xludf.DUMMYFUNCTION("""COMPUTED_VALUE"""),"13:20:00Z")</f>
        <v>13:20:00Z</v>
      </c>
      <c r="G642" s="11" t="str">
        <f t="shared" si="1"/>
        <v>13:20:00</v>
      </c>
      <c r="H642" s="10">
        <f>IFERROR(__xludf.DUMMYFUNCTION("SPLIT(D642,""T"")"),42989.0)</f>
        <v>42989</v>
      </c>
      <c r="I642" s="4" t="str">
        <f>IFERROR(__xludf.DUMMYFUNCTION("""COMPUTED_VALUE"""),"19:41:00Z")</f>
        <v>19:41:00Z</v>
      </c>
      <c r="J642" s="4" t="str">
        <f t="shared" si="2"/>
        <v>19:41:00</v>
      </c>
      <c r="K642" s="4">
        <f t="shared" si="3"/>
        <v>120</v>
      </c>
      <c r="L642" s="4">
        <f t="shared" si="4"/>
        <v>-0.2645833333</v>
      </c>
      <c r="M642" s="4">
        <f t="shared" si="5"/>
        <v>119.7354167</v>
      </c>
    </row>
    <row r="643">
      <c r="A643" s="4" t="s">
        <v>58</v>
      </c>
      <c r="B643" s="4" t="s">
        <v>1809</v>
      </c>
      <c r="C643" s="4" t="s">
        <v>1957</v>
      </c>
      <c r="D643" s="4" t="s">
        <v>1958</v>
      </c>
      <c r="E643" s="10">
        <f>IFERROR(__xludf.DUMMYFUNCTION("SPLIT(B643,""T"")"),43109.0)</f>
        <v>43109</v>
      </c>
      <c r="F643" s="4" t="str">
        <f>IFERROR(__xludf.DUMMYFUNCTION("""COMPUTED_VALUE"""),"13:21:00Z")</f>
        <v>13:21:00Z</v>
      </c>
      <c r="G643" s="11" t="str">
        <f t="shared" si="1"/>
        <v>13:21:00</v>
      </c>
      <c r="H643" s="10">
        <f>IFERROR(__xludf.DUMMYFUNCTION("SPLIT(D643,""T"")"),42990.0)</f>
        <v>42990</v>
      </c>
      <c r="I643" s="4" t="str">
        <f>IFERROR(__xludf.DUMMYFUNCTION("""COMPUTED_VALUE"""),"06:58:00Z")</f>
        <v>06:58:00Z</v>
      </c>
      <c r="J643" s="4" t="str">
        <f t="shared" si="2"/>
        <v>06:58:00</v>
      </c>
      <c r="K643" s="4">
        <f t="shared" si="3"/>
        <v>119</v>
      </c>
      <c r="L643" s="4">
        <f t="shared" si="4"/>
        <v>0.2659722222</v>
      </c>
      <c r="M643" s="4">
        <f t="shared" si="5"/>
        <v>119.2659722</v>
      </c>
    </row>
    <row r="644">
      <c r="A644" s="4" t="s">
        <v>856</v>
      </c>
      <c r="B644" s="4" t="s">
        <v>2092</v>
      </c>
      <c r="C644" s="4" t="s">
        <v>2383</v>
      </c>
      <c r="D644" s="4" t="s">
        <v>2384</v>
      </c>
      <c r="E644" s="10">
        <f>IFERROR(__xludf.DUMMYFUNCTION("SPLIT(B644,""T"")"),43109.0)</f>
        <v>43109</v>
      </c>
      <c r="F644" s="4" t="str">
        <f>IFERROR(__xludf.DUMMYFUNCTION("""COMPUTED_VALUE"""),"13:20:00Z")</f>
        <v>13:20:00Z</v>
      </c>
      <c r="G644" s="11" t="str">
        <f t="shared" si="1"/>
        <v>13:20:00</v>
      </c>
      <c r="H644" s="10">
        <f>IFERROR(__xludf.DUMMYFUNCTION("SPLIT(D644,""T"")"),42990.0)</f>
        <v>42990</v>
      </c>
      <c r="I644" s="4" t="str">
        <f>IFERROR(__xludf.DUMMYFUNCTION("""COMPUTED_VALUE"""),"12:45:00Z")</f>
        <v>12:45:00Z</v>
      </c>
      <c r="J644" s="4" t="str">
        <f t="shared" si="2"/>
        <v>12:45:00</v>
      </c>
      <c r="K644" s="4">
        <f t="shared" si="3"/>
        <v>119</v>
      </c>
      <c r="L644" s="4">
        <f t="shared" si="4"/>
        <v>0.02430555556</v>
      </c>
      <c r="M644" s="4">
        <f t="shared" si="5"/>
        <v>119.0243056</v>
      </c>
    </row>
    <row r="645">
      <c r="A645" s="4" t="s">
        <v>186</v>
      </c>
      <c r="B645" s="4" t="s">
        <v>2092</v>
      </c>
      <c r="C645" s="4" t="s">
        <v>2093</v>
      </c>
      <c r="D645" s="4" t="s">
        <v>2094</v>
      </c>
      <c r="E645" s="10">
        <f>IFERROR(__xludf.DUMMYFUNCTION("SPLIT(B645,""T"")"),43109.0)</f>
        <v>43109</v>
      </c>
      <c r="F645" s="4" t="str">
        <f>IFERROR(__xludf.DUMMYFUNCTION("""COMPUTED_VALUE"""),"13:20:00Z")</f>
        <v>13:20:00Z</v>
      </c>
      <c r="G645" s="11" t="str">
        <f t="shared" si="1"/>
        <v>13:20:00</v>
      </c>
      <c r="H645" s="10">
        <f>IFERROR(__xludf.DUMMYFUNCTION("SPLIT(D645,""T"")"),42990.0)</f>
        <v>42990</v>
      </c>
      <c r="I645" s="4" t="str">
        <f>IFERROR(__xludf.DUMMYFUNCTION("""COMPUTED_VALUE"""),"14:36:00Z")</f>
        <v>14:36:00Z</v>
      </c>
      <c r="J645" s="4" t="str">
        <f t="shared" si="2"/>
        <v>14:36:00</v>
      </c>
      <c r="K645" s="4">
        <f t="shared" si="3"/>
        <v>119</v>
      </c>
      <c r="L645" s="4">
        <f t="shared" si="4"/>
        <v>-0.05277777778</v>
      </c>
      <c r="M645" s="4">
        <f t="shared" si="5"/>
        <v>118.9472222</v>
      </c>
    </row>
    <row r="646">
      <c r="A646" s="4" t="s">
        <v>186</v>
      </c>
      <c r="B646" s="4" t="s">
        <v>2092</v>
      </c>
      <c r="C646" s="4" t="s">
        <v>2295</v>
      </c>
      <c r="D646" s="4" t="s">
        <v>2296</v>
      </c>
      <c r="E646" s="10">
        <f>IFERROR(__xludf.DUMMYFUNCTION("SPLIT(B646,""T"")"),43109.0)</f>
        <v>43109</v>
      </c>
      <c r="F646" s="4" t="str">
        <f>IFERROR(__xludf.DUMMYFUNCTION("""COMPUTED_VALUE"""),"13:20:00Z")</f>
        <v>13:20:00Z</v>
      </c>
      <c r="G646" s="11" t="str">
        <f t="shared" si="1"/>
        <v>13:20:00</v>
      </c>
      <c r="H646" s="10">
        <f>IFERROR(__xludf.DUMMYFUNCTION("SPLIT(D646,""T"")"),42990.0)</f>
        <v>42990</v>
      </c>
      <c r="I646" s="4" t="str">
        <f>IFERROR(__xludf.DUMMYFUNCTION("""COMPUTED_VALUE"""),"16:08:00Z")</f>
        <v>16:08:00Z</v>
      </c>
      <c r="J646" s="4" t="str">
        <f t="shared" si="2"/>
        <v>16:08:00</v>
      </c>
      <c r="K646" s="4">
        <f t="shared" si="3"/>
        <v>119</v>
      </c>
      <c r="L646" s="4">
        <f t="shared" si="4"/>
        <v>-0.1166666667</v>
      </c>
      <c r="M646" s="4">
        <f t="shared" si="5"/>
        <v>118.8833333</v>
      </c>
    </row>
    <row r="647">
      <c r="A647" s="4" t="s">
        <v>87</v>
      </c>
      <c r="B647" s="4" t="s">
        <v>1809</v>
      </c>
      <c r="C647" s="4" t="s">
        <v>2576</v>
      </c>
      <c r="D647" s="4" t="s">
        <v>2577</v>
      </c>
      <c r="E647" s="10">
        <f>IFERROR(__xludf.DUMMYFUNCTION("SPLIT(B647,""T"")"),43109.0)</f>
        <v>43109</v>
      </c>
      <c r="F647" s="4" t="str">
        <f>IFERROR(__xludf.DUMMYFUNCTION("""COMPUTED_VALUE"""),"13:21:00Z")</f>
        <v>13:21:00Z</v>
      </c>
      <c r="G647" s="11" t="str">
        <f t="shared" si="1"/>
        <v>13:21:00</v>
      </c>
      <c r="H647" s="10">
        <f>IFERROR(__xludf.DUMMYFUNCTION("SPLIT(D647,""T"")"),42990.0)</f>
        <v>42990</v>
      </c>
      <c r="I647" s="4" t="str">
        <f>IFERROR(__xludf.DUMMYFUNCTION("""COMPUTED_VALUE"""),"17:24:00Z")</f>
        <v>17:24:00Z</v>
      </c>
      <c r="J647" s="4" t="str">
        <f t="shared" si="2"/>
        <v>17:24:00</v>
      </c>
      <c r="K647" s="4">
        <f t="shared" si="3"/>
        <v>119</v>
      </c>
      <c r="L647" s="4">
        <f t="shared" si="4"/>
        <v>-0.16875</v>
      </c>
      <c r="M647" s="4">
        <f t="shared" si="5"/>
        <v>118.83125</v>
      </c>
    </row>
    <row r="648">
      <c r="A648" s="4" t="s">
        <v>630</v>
      </c>
      <c r="B648" s="4" t="s">
        <v>1809</v>
      </c>
      <c r="C648" s="4" t="s">
        <v>1249</v>
      </c>
      <c r="D648" s="4" t="s">
        <v>1810</v>
      </c>
      <c r="E648" s="10">
        <f>IFERROR(__xludf.DUMMYFUNCTION("SPLIT(B648,""T"")"),43109.0)</f>
        <v>43109</v>
      </c>
      <c r="F648" s="4" t="str">
        <f>IFERROR(__xludf.DUMMYFUNCTION("""COMPUTED_VALUE"""),"13:21:00Z")</f>
        <v>13:21:00Z</v>
      </c>
      <c r="G648" s="11" t="str">
        <f t="shared" si="1"/>
        <v>13:21:00</v>
      </c>
      <c r="H648" s="10">
        <f>IFERROR(__xludf.DUMMYFUNCTION("SPLIT(D648,""T"")"),42990.0)</f>
        <v>42990</v>
      </c>
      <c r="I648" s="4" t="str">
        <f>IFERROR(__xludf.DUMMYFUNCTION("""COMPUTED_VALUE"""),"17:42:00Z")</f>
        <v>17:42:00Z</v>
      </c>
      <c r="J648" s="4" t="str">
        <f t="shared" si="2"/>
        <v>17:42:00</v>
      </c>
      <c r="K648" s="4">
        <f t="shared" si="3"/>
        <v>119</v>
      </c>
      <c r="L648" s="4">
        <f t="shared" si="4"/>
        <v>-0.18125</v>
      </c>
      <c r="M648" s="4">
        <f t="shared" si="5"/>
        <v>118.81875</v>
      </c>
    </row>
    <row r="649">
      <c r="A649" s="4" t="s">
        <v>101</v>
      </c>
      <c r="B649" s="4" t="s">
        <v>568</v>
      </c>
      <c r="C649" s="4" t="s">
        <v>569</v>
      </c>
      <c r="D649" s="4" t="s">
        <v>570</v>
      </c>
      <c r="E649" s="10">
        <f>IFERROR(__xludf.DUMMYFUNCTION("SPLIT(B649,""T"")"),41985.0)</f>
        <v>41985</v>
      </c>
      <c r="F649" s="4" t="str">
        <f>IFERROR(__xludf.DUMMYFUNCTION("""COMPUTED_VALUE"""),"13:45:00Z")</f>
        <v>13:45:00Z</v>
      </c>
      <c r="G649" s="11" t="str">
        <f t="shared" si="1"/>
        <v>13:45:00</v>
      </c>
      <c r="H649" s="10">
        <f>IFERROR(__xludf.DUMMYFUNCTION("SPLIT(D649,""T"")"),41867.0)</f>
        <v>41867</v>
      </c>
      <c r="I649" s="4" t="str">
        <f>IFERROR(__xludf.DUMMYFUNCTION("""COMPUTED_VALUE"""),"00:00:00Z")</f>
        <v>00:00:00Z</v>
      </c>
      <c r="J649" s="4" t="str">
        <f t="shared" si="2"/>
        <v>00:00:00</v>
      </c>
      <c r="K649" s="4">
        <f t="shared" si="3"/>
        <v>118</v>
      </c>
      <c r="L649" s="4">
        <f t="shared" si="4"/>
        <v>0.5729166667</v>
      </c>
      <c r="M649" s="4">
        <f t="shared" si="5"/>
        <v>118.5729167</v>
      </c>
    </row>
    <row r="650">
      <c r="A650" s="4" t="s">
        <v>19</v>
      </c>
      <c r="B650" s="4" t="s">
        <v>2726</v>
      </c>
      <c r="C650" s="4" t="s">
        <v>1054</v>
      </c>
      <c r="D650" s="4" t="s">
        <v>2792</v>
      </c>
      <c r="E650" s="10">
        <f>IFERROR(__xludf.DUMMYFUNCTION("SPLIT(B650,""T"")"),43469.0)</f>
        <v>43469</v>
      </c>
      <c r="F650" s="4" t="str">
        <f>IFERROR(__xludf.DUMMYFUNCTION("""COMPUTED_VALUE"""),"09:06:00Z")</f>
        <v>09:06:00Z</v>
      </c>
      <c r="G650" s="11" t="str">
        <f t="shared" si="1"/>
        <v>09:06:00</v>
      </c>
      <c r="H650" s="10">
        <f>IFERROR(__xludf.DUMMYFUNCTION("SPLIT(D650,""T"")"),43351.0)</f>
        <v>43351</v>
      </c>
      <c r="I650" s="4" t="str">
        <f>IFERROR(__xludf.DUMMYFUNCTION("""COMPUTED_VALUE"""),"13:34:00Z")</f>
        <v>13:34:00Z</v>
      </c>
      <c r="J650" s="4" t="str">
        <f t="shared" si="2"/>
        <v>13:34:00</v>
      </c>
      <c r="K650" s="4">
        <f t="shared" si="3"/>
        <v>118</v>
      </c>
      <c r="L650" s="4">
        <f t="shared" si="4"/>
        <v>-0.1861111111</v>
      </c>
      <c r="M650" s="4">
        <f t="shared" si="5"/>
        <v>117.8138889</v>
      </c>
    </row>
    <row r="651">
      <c r="A651" s="4" t="s">
        <v>166</v>
      </c>
      <c r="B651" s="4" t="s">
        <v>2726</v>
      </c>
      <c r="C651" s="4" t="s">
        <v>2727</v>
      </c>
      <c r="D651" s="4" t="s">
        <v>2728</v>
      </c>
      <c r="E651" s="10">
        <f>IFERROR(__xludf.DUMMYFUNCTION("SPLIT(B651,""T"")"),43469.0)</f>
        <v>43469</v>
      </c>
      <c r="F651" s="4" t="str">
        <f>IFERROR(__xludf.DUMMYFUNCTION("""COMPUTED_VALUE"""),"09:06:00Z")</f>
        <v>09:06:00Z</v>
      </c>
      <c r="G651" s="11" t="str">
        <f t="shared" si="1"/>
        <v>09:06:00</v>
      </c>
      <c r="H651" s="10">
        <f>IFERROR(__xludf.DUMMYFUNCTION("SPLIT(D651,""T"")"),43351.0)</f>
        <v>43351</v>
      </c>
      <c r="I651" s="4" t="str">
        <f>IFERROR(__xludf.DUMMYFUNCTION("""COMPUTED_VALUE"""),"14:29:00Z")</f>
        <v>14:29:00Z</v>
      </c>
      <c r="J651" s="4" t="str">
        <f t="shared" si="2"/>
        <v>14:29:00</v>
      </c>
      <c r="K651" s="4">
        <f t="shared" si="3"/>
        <v>118</v>
      </c>
      <c r="L651" s="4">
        <f t="shared" si="4"/>
        <v>-0.2243055556</v>
      </c>
      <c r="M651" s="4">
        <f t="shared" si="5"/>
        <v>117.7756944</v>
      </c>
    </row>
    <row r="652">
      <c r="A652" s="4" t="s">
        <v>23</v>
      </c>
      <c r="B652" s="4" t="s">
        <v>672</v>
      </c>
      <c r="C652" s="4" t="s">
        <v>673</v>
      </c>
      <c r="D652" s="4" t="s">
        <v>674</v>
      </c>
      <c r="E652" s="10">
        <f>IFERROR(__xludf.DUMMYFUNCTION("SPLIT(B652,""T"")"),41985.0)</f>
        <v>41985</v>
      </c>
      <c r="F652" s="4" t="str">
        <f>IFERROR(__xludf.DUMMYFUNCTION("""COMPUTED_VALUE"""),"13:30:00Z")</f>
        <v>13:30:00Z</v>
      </c>
      <c r="G652" s="11" t="str">
        <f t="shared" si="1"/>
        <v>13:30:00</v>
      </c>
      <c r="H652" s="10">
        <f>IFERROR(__xludf.DUMMYFUNCTION("SPLIT(D652,""T"")"),41868.0)</f>
        <v>41868</v>
      </c>
      <c r="I652" s="4" t="str">
        <f>IFERROR(__xludf.DUMMYFUNCTION("""COMPUTED_VALUE"""),"14:30:00Z")</f>
        <v>14:30:00Z</v>
      </c>
      <c r="J652" s="4" t="str">
        <f t="shared" si="2"/>
        <v>14:30:00</v>
      </c>
      <c r="K652" s="4">
        <f t="shared" si="3"/>
        <v>117</v>
      </c>
      <c r="L652" s="4">
        <f t="shared" si="4"/>
        <v>-0.04166666667</v>
      </c>
      <c r="M652" s="4">
        <f t="shared" si="5"/>
        <v>116.9583333</v>
      </c>
    </row>
    <row r="653">
      <c r="A653" s="4" t="s">
        <v>23</v>
      </c>
      <c r="B653" s="4" t="s">
        <v>2891</v>
      </c>
      <c r="C653" s="4" t="s">
        <v>1142</v>
      </c>
      <c r="D653" s="4" t="s">
        <v>2892</v>
      </c>
      <c r="E653" s="10">
        <f>IFERROR(__xludf.DUMMYFUNCTION("SPLIT(B653,""T"")"),43469.0)</f>
        <v>43469</v>
      </c>
      <c r="F653" s="4" t="str">
        <f>IFERROR(__xludf.DUMMYFUNCTION("""COMPUTED_VALUE"""),"09:05:00Z")</f>
        <v>09:05:00Z</v>
      </c>
      <c r="G653" s="11" t="str">
        <f t="shared" si="1"/>
        <v>09:05:00</v>
      </c>
      <c r="H653" s="10">
        <f>IFERROR(__xludf.DUMMYFUNCTION("SPLIT(D653,""T"")"),43352.0)</f>
        <v>43352</v>
      </c>
      <c r="I653" s="4" t="str">
        <f>IFERROR(__xludf.DUMMYFUNCTION("""COMPUTED_VALUE"""),"12:10:00Z")</f>
        <v>12:10:00Z</v>
      </c>
      <c r="J653" s="4" t="str">
        <f t="shared" si="2"/>
        <v>12:10:00</v>
      </c>
      <c r="K653" s="4">
        <f t="shared" si="3"/>
        <v>117</v>
      </c>
      <c r="L653" s="4">
        <f t="shared" si="4"/>
        <v>-0.1284722222</v>
      </c>
      <c r="M653" s="4">
        <f t="shared" si="5"/>
        <v>116.8715278</v>
      </c>
    </row>
    <row r="654">
      <c r="A654" s="4" t="s">
        <v>2397</v>
      </c>
      <c r="B654" s="4" t="s">
        <v>2891</v>
      </c>
      <c r="C654" s="4" t="s">
        <v>2902</v>
      </c>
      <c r="D654" s="4" t="s">
        <v>2903</v>
      </c>
      <c r="E654" s="10">
        <f>IFERROR(__xludf.DUMMYFUNCTION("SPLIT(B654,""T"")"),43469.0)</f>
        <v>43469</v>
      </c>
      <c r="F654" s="4" t="str">
        <f>IFERROR(__xludf.DUMMYFUNCTION("""COMPUTED_VALUE"""),"09:05:00Z")</f>
        <v>09:05:00Z</v>
      </c>
      <c r="G654" s="11" t="str">
        <f t="shared" si="1"/>
        <v>09:05:00</v>
      </c>
      <c r="H654" s="10">
        <f>IFERROR(__xludf.DUMMYFUNCTION("SPLIT(D654,""T"")"),43353.0)</f>
        <v>43353</v>
      </c>
      <c r="I654" s="4" t="str">
        <f>IFERROR(__xludf.DUMMYFUNCTION("""COMPUTED_VALUE"""),"19:00:00Z")</f>
        <v>19:00:00Z</v>
      </c>
      <c r="J654" s="4" t="str">
        <f t="shared" si="2"/>
        <v>19:00:00</v>
      </c>
      <c r="K654" s="4">
        <f t="shared" si="3"/>
        <v>116</v>
      </c>
      <c r="L654" s="4">
        <f t="shared" si="4"/>
        <v>-0.4131944444</v>
      </c>
      <c r="M654" s="4">
        <f t="shared" si="5"/>
        <v>115.5868056</v>
      </c>
    </row>
    <row r="655">
      <c r="A655" s="4" t="s">
        <v>130</v>
      </c>
      <c r="B655" s="4" t="s">
        <v>1809</v>
      </c>
      <c r="C655" s="4" t="s">
        <v>542</v>
      </c>
      <c r="D655" s="4" t="s">
        <v>2146</v>
      </c>
      <c r="E655" s="10">
        <f>IFERROR(__xludf.DUMMYFUNCTION("SPLIT(B655,""T"")"),43109.0)</f>
        <v>43109</v>
      </c>
      <c r="F655" s="4" t="str">
        <f>IFERROR(__xludf.DUMMYFUNCTION("""COMPUTED_VALUE"""),"13:21:00Z")</f>
        <v>13:21:00Z</v>
      </c>
      <c r="G655" s="11" t="str">
        <f t="shared" si="1"/>
        <v>13:21:00</v>
      </c>
      <c r="H655" s="10">
        <f>IFERROR(__xludf.DUMMYFUNCTION("SPLIT(D655,""T"")"),42995.0)</f>
        <v>42995</v>
      </c>
      <c r="I655" s="4" t="str">
        <f>IFERROR(__xludf.DUMMYFUNCTION("""COMPUTED_VALUE"""),"15:18:00Z")</f>
        <v>15:18:00Z</v>
      </c>
      <c r="J655" s="4" t="str">
        <f t="shared" si="2"/>
        <v>15:18:00</v>
      </c>
      <c r="K655" s="4">
        <f t="shared" si="3"/>
        <v>114</v>
      </c>
      <c r="L655" s="4">
        <f t="shared" si="4"/>
        <v>-0.08125</v>
      </c>
      <c r="M655" s="4">
        <f t="shared" si="5"/>
        <v>113.91875</v>
      </c>
    </row>
    <row r="656">
      <c r="A656" s="4" t="s">
        <v>69</v>
      </c>
      <c r="B656" s="4" t="s">
        <v>2726</v>
      </c>
      <c r="C656" s="4" t="s">
        <v>128</v>
      </c>
      <c r="D656" s="4" t="s">
        <v>2868</v>
      </c>
      <c r="E656" s="10">
        <f>IFERROR(__xludf.DUMMYFUNCTION("SPLIT(B656,""T"")"),43469.0)</f>
        <v>43469</v>
      </c>
      <c r="F656" s="4" t="str">
        <f>IFERROR(__xludf.DUMMYFUNCTION("""COMPUTED_VALUE"""),"09:06:00Z")</f>
        <v>09:06:00Z</v>
      </c>
      <c r="G656" s="11" t="str">
        <f t="shared" si="1"/>
        <v>09:06:00</v>
      </c>
      <c r="H656" s="10">
        <f>IFERROR(__xludf.DUMMYFUNCTION("SPLIT(D656,""T"")"),43355.0)</f>
        <v>43355</v>
      </c>
      <c r="I656" s="4" t="str">
        <f>IFERROR(__xludf.DUMMYFUNCTION("""COMPUTED_VALUE"""),"11:25:00Z")</f>
        <v>11:25:00Z</v>
      </c>
      <c r="J656" s="4" t="str">
        <f t="shared" si="2"/>
        <v>11:25:00</v>
      </c>
      <c r="K656" s="4">
        <f t="shared" si="3"/>
        <v>114</v>
      </c>
      <c r="L656" s="4">
        <f t="shared" si="4"/>
        <v>-0.09652777778</v>
      </c>
      <c r="M656" s="4">
        <f t="shared" si="5"/>
        <v>113.9034722</v>
      </c>
    </row>
    <row r="657">
      <c r="A657" s="4" t="s">
        <v>156</v>
      </c>
      <c r="B657" s="4" t="s">
        <v>1809</v>
      </c>
      <c r="C657" s="4" t="s">
        <v>2018</v>
      </c>
      <c r="D657" s="4" t="s">
        <v>2019</v>
      </c>
      <c r="E657" s="10">
        <f>IFERROR(__xludf.DUMMYFUNCTION("SPLIT(B657,""T"")"),43109.0)</f>
        <v>43109</v>
      </c>
      <c r="F657" s="4" t="str">
        <f>IFERROR(__xludf.DUMMYFUNCTION("""COMPUTED_VALUE"""),"13:21:00Z")</f>
        <v>13:21:00Z</v>
      </c>
      <c r="G657" s="11" t="str">
        <f t="shared" si="1"/>
        <v>13:21:00</v>
      </c>
      <c r="H657" s="10">
        <f>IFERROR(__xludf.DUMMYFUNCTION("SPLIT(D657,""T"")"),42996.0)</f>
        <v>42996</v>
      </c>
      <c r="I657" s="4" t="str">
        <f>IFERROR(__xludf.DUMMYFUNCTION("""COMPUTED_VALUE"""),"16:04:00Z")</f>
        <v>16:04:00Z</v>
      </c>
      <c r="J657" s="4" t="str">
        <f t="shared" si="2"/>
        <v>16:04:00</v>
      </c>
      <c r="K657" s="4">
        <f t="shared" si="3"/>
        <v>113</v>
      </c>
      <c r="L657" s="4">
        <f t="shared" si="4"/>
        <v>-0.1131944444</v>
      </c>
      <c r="M657" s="4">
        <f t="shared" si="5"/>
        <v>112.8868056</v>
      </c>
    </row>
    <row r="658">
      <c r="A658" s="4" t="s">
        <v>114</v>
      </c>
      <c r="B658" s="4" t="s">
        <v>2804</v>
      </c>
      <c r="C658" s="4" t="s">
        <v>1315</v>
      </c>
      <c r="D658" s="4" t="s">
        <v>2805</v>
      </c>
      <c r="E658" s="10">
        <f>IFERROR(__xludf.DUMMYFUNCTION("SPLIT(B658,""T"")"),43469.0)</f>
        <v>43469</v>
      </c>
      <c r="F658" s="4" t="str">
        <f>IFERROR(__xludf.DUMMYFUNCTION("""COMPUTED_VALUE"""),"09:04:00Z")</f>
        <v>09:04:00Z</v>
      </c>
      <c r="G658" s="11" t="str">
        <f t="shared" si="1"/>
        <v>09:04:00</v>
      </c>
      <c r="H658" s="10">
        <f>IFERROR(__xludf.DUMMYFUNCTION("SPLIT(D658,""T"")"),43356.0)</f>
        <v>43356</v>
      </c>
      <c r="I658" s="4" t="str">
        <f>IFERROR(__xludf.DUMMYFUNCTION("""COMPUTED_VALUE"""),"15:37:00Z")</f>
        <v>15:37:00Z</v>
      </c>
      <c r="J658" s="4" t="str">
        <f t="shared" si="2"/>
        <v>15:37:00</v>
      </c>
      <c r="K658" s="4">
        <f t="shared" si="3"/>
        <v>113</v>
      </c>
      <c r="L658" s="4">
        <f t="shared" si="4"/>
        <v>-0.2729166667</v>
      </c>
      <c r="M658" s="4">
        <f t="shared" si="5"/>
        <v>112.7270833</v>
      </c>
    </row>
    <row r="659">
      <c r="A659" s="4" t="s">
        <v>313</v>
      </c>
      <c r="B659" s="4" t="s">
        <v>2141</v>
      </c>
      <c r="C659" s="4" t="s">
        <v>2142</v>
      </c>
      <c r="D659" s="4" t="s">
        <v>2143</v>
      </c>
      <c r="E659" s="10">
        <f>IFERROR(__xludf.DUMMYFUNCTION("SPLIT(B659,""T"")"),43109.0)</f>
        <v>43109</v>
      </c>
      <c r="F659" s="4" t="str">
        <f>IFERROR(__xludf.DUMMYFUNCTION("""COMPUTED_VALUE"""),"13:22:00Z")</f>
        <v>13:22:00Z</v>
      </c>
      <c r="G659" s="11" t="str">
        <f t="shared" si="1"/>
        <v>13:22:00</v>
      </c>
      <c r="H659" s="10">
        <f>IFERROR(__xludf.DUMMYFUNCTION("SPLIT(D659,""T"")"),42997.0)</f>
        <v>42997</v>
      </c>
      <c r="I659" s="4" t="str">
        <f>IFERROR(__xludf.DUMMYFUNCTION("""COMPUTED_VALUE"""),"13:02:00Z")</f>
        <v>13:02:00Z</v>
      </c>
      <c r="J659" s="4" t="str">
        <f t="shared" si="2"/>
        <v>13:02:00</v>
      </c>
      <c r="K659" s="4">
        <f t="shared" si="3"/>
        <v>112</v>
      </c>
      <c r="L659" s="4">
        <f t="shared" si="4"/>
        <v>0.01388888889</v>
      </c>
      <c r="M659" s="4">
        <f t="shared" si="5"/>
        <v>112.0138889</v>
      </c>
    </row>
    <row r="660">
      <c r="A660" s="4" t="s">
        <v>39</v>
      </c>
      <c r="B660" s="4" t="s">
        <v>2071</v>
      </c>
      <c r="C660" s="4" t="s">
        <v>308</v>
      </c>
      <c r="D660" s="4" t="s">
        <v>2074</v>
      </c>
      <c r="E660" s="10">
        <f>IFERROR(__xludf.DUMMYFUNCTION("SPLIT(B660,""T"")"),43109.0)</f>
        <v>43109</v>
      </c>
      <c r="F660" s="4" t="str">
        <f>IFERROR(__xludf.DUMMYFUNCTION("""COMPUTED_VALUE"""),"13:23:00Z")</f>
        <v>13:23:00Z</v>
      </c>
      <c r="G660" s="11" t="str">
        <f t="shared" si="1"/>
        <v>13:23:00</v>
      </c>
      <c r="H660" s="10">
        <f>IFERROR(__xludf.DUMMYFUNCTION("SPLIT(D660,""T"")"),42997.0)</f>
        <v>42997</v>
      </c>
      <c r="I660" s="4" t="str">
        <f>IFERROR(__xludf.DUMMYFUNCTION("""COMPUTED_VALUE"""),"19:47:00Z")</f>
        <v>19:47:00Z</v>
      </c>
      <c r="J660" s="4" t="str">
        <f t="shared" si="2"/>
        <v>19:47:00</v>
      </c>
      <c r="K660" s="4">
        <f t="shared" si="3"/>
        <v>112</v>
      </c>
      <c r="L660" s="4">
        <f t="shared" si="4"/>
        <v>-0.2666666667</v>
      </c>
      <c r="M660" s="4">
        <f t="shared" si="5"/>
        <v>111.7333333</v>
      </c>
    </row>
    <row r="661">
      <c r="A661" s="4" t="s">
        <v>27</v>
      </c>
      <c r="B661" s="4" t="s">
        <v>2804</v>
      </c>
      <c r="C661" s="4" t="s">
        <v>3132</v>
      </c>
      <c r="D661" s="4" t="s">
        <v>3133</v>
      </c>
      <c r="E661" s="10">
        <f>IFERROR(__xludf.DUMMYFUNCTION("SPLIT(B661,""T"")"),43469.0)</f>
        <v>43469</v>
      </c>
      <c r="F661" s="4" t="str">
        <f>IFERROR(__xludf.DUMMYFUNCTION("""COMPUTED_VALUE"""),"09:04:00Z")</f>
        <v>09:04:00Z</v>
      </c>
      <c r="G661" s="11" t="str">
        <f t="shared" si="1"/>
        <v>09:04:00</v>
      </c>
      <c r="H661" s="10">
        <f>IFERROR(__xludf.DUMMYFUNCTION("SPLIT(D661,""T"")"),43357.0)</f>
        <v>43357</v>
      </c>
      <c r="I661" s="4" t="str">
        <f>IFERROR(__xludf.DUMMYFUNCTION("""COMPUTED_VALUE"""),"19:32:00Z")</f>
        <v>19:32:00Z</v>
      </c>
      <c r="J661" s="4" t="str">
        <f t="shared" si="2"/>
        <v>19:32:00</v>
      </c>
      <c r="K661" s="4">
        <f t="shared" si="3"/>
        <v>112</v>
      </c>
      <c r="L661" s="4">
        <f t="shared" si="4"/>
        <v>-0.4361111111</v>
      </c>
      <c r="M661" s="4">
        <f t="shared" si="5"/>
        <v>111.5638889</v>
      </c>
    </row>
    <row r="662">
      <c r="A662" s="4" t="s">
        <v>149</v>
      </c>
      <c r="B662" s="4" t="s">
        <v>2071</v>
      </c>
      <c r="C662" s="4" t="s">
        <v>2072</v>
      </c>
      <c r="D662" s="4" t="s">
        <v>2073</v>
      </c>
      <c r="E662" s="10">
        <f>IFERROR(__xludf.DUMMYFUNCTION("SPLIT(B662,""T"")"),43109.0)</f>
        <v>43109</v>
      </c>
      <c r="F662" s="4" t="str">
        <f>IFERROR(__xludf.DUMMYFUNCTION("""COMPUTED_VALUE"""),"13:23:00Z")</f>
        <v>13:23:00Z</v>
      </c>
      <c r="G662" s="11" t="str">
        <f t="shared" si="1"/>
        <v>13:23:00</v>
      </c>
      <c r="H662" s="10">
        <f>IFERROR(__xludf.DUMMYFUNCTION("SPLIT(D662,""T"")"),42998.0)</f>
        <v>42998</v>
      </c>
      <c r="I662" s="4" t="str">
        <f>IFERROR(__xludf.DUMMYFUNCTION("""COMPUTED_VALUE"""),"13:41:00Z")</f>
        <v>13:41:00Z</v>
      </c>
      <c r="J662" s="4" t="str">
        <f t="shared" si="2"/>
        <v>13:41:00</v>
      </c>
      <c r="K662" s="4">
        <f t="shared" si="3"/>
        <v>111</v>
      </c>
      <c r="L662" s="4">
        <f t="shared" si="4"/>
        <v>-0.0125</v>
      </c>
      <c r="M662" s="4">
        <f t="shared" si="5"/>
        <v>110.9875</v>
      </c>
    </row>
    <row r="663">
      <c r="A663" s="4" t="s">
        <v>101</v>
      </c>
      <c r="B663" s="4" t="s">
        <v>2071</v>
      </c>
      <c r="C663" s="4" t="s">
        <v>2589</v>
      </c>
      <c r="D663" s="4" t="s">
        <v>2590</v>
      </c>
      <c r="E663" s="10">
        <f>IFERROR(__xludf.DUMMYFUNCTION("SPLIT(B663,""T"")"),43109.0)</f>
        <v>43109</v>
      </c>
      <c r="F663" s="4" t="str">
        <f>IFERROR(__xludf.DUMMYFUNCTION("""COMPUTED_VALUE"""),"13:23:00Z")</f>
        <v>13:23:00Z</v>
      </c>
      <c r="G663" s="11" t="str">
        <f t="shared" si="1"/>
        <v>13:23:00</v>
      </c>
      <c r="H663" s="10">
        <f>IFERROR(__xludf.DUMMYFUNCTION("SPLIT(D663,""T"")"),42998.0)</f>
        <v>42998</v>
      </c>
      <c r="I663" s="4" t="str">
        <f>IFERROR(__xludf.DUMMYFUNCTION("""COMPUTED_VALUE"""),"14:53:00Z")</f>
        <v>14:53:00Z</v>
      </c>
      <c r="J663" s="4" t="str">
        <f t="shared" si="2"/>
        <v>14:53:00</v>
      </c>
      <c r="K663" s="4">
        <f t="shared" si="3"/>
        <v>111</v>
      </c>
      <c r="L663" s="4">
        <f t="shared" si="4"/>
        <v>-0.0625</v>
      </c>
      <c r="M663" s="4">
        <f t="shared" si="5"/>
        <v>110.9375</v>
      </c>
    </row>
    <row r="664">
      <c r="A664" s="4" t="s">
        <v>156</v>
      </c>
      <c r="B664" s="4" t="s">
        <v>2071</v>
      </c>
      <c r="C664" s="4" t="s">
        <v>112</v>
      </c>
      <c r="D664" s="4" t="s">
        <v>2338</v>
      </c>
      <c r="E664" s="10">
        <f>IFERROR(__xludf.DUMMYFUNCTION("SPLIT(B664,""T"")"),43109.0)</f>
        <v>43109</v>
      </c>
      <c r="F664" s="4" t="str">
        <f>IFERROR(__xludf.DUMMYFUNCTION("""COMPUTED_VALUE"""),"13:23:00Z")</f>
        <v>13:23:00Z</v>
      </c>
      <c r="G664" s="11" t="str">
        <f t="shared" si="1"/>
        <v>13:23:00</v>
      </c>
      <c r="H664" s="10">
        <f>IFERROR(__xludf.DUMMYFUNCTION("SPLIT(D664,""T"")"),42998.0)</f>
        <v>42998</v>
      </c>
      <c r="I664" s="4" t="str">
        <f>IFERROR(__xludf.DUMMYFUNCTION("""COMPUTED_VALUE"""),"21:07:00Z")</f>
        <v>21:07:00Z</v>
      </c>
      <c r="J664" s="4" t="str">
        <f t="shared" si="2"/>
        <v>21:07:00</v>
      </c>
      <c r="K664" s="4">
        <f t="shared" si="3"/>
        <v>111</v>
      </c>
      <c r="L664" s="4">
        <f t="shared" si="4"/>
        <v>-0.3222222222</v>
      </c>
      <c r="M664" s="4">
        <f t="shared" si="5"/>
        <v>110.6777778</v>
      </c>
    </row>
    <row r="665">
      <c r="A665" s="4" t="s">
        <v>149</v>
      </c>
      <c r="B665" s="4" t="s">
        <v>2804</v>
      </c>
      <c r="C665" s="4" t="s">
        <v>1430</v>
      </c>
      <c r="D665" s="4" t="s">
        <v>3049</v>
      </c>
      <c r="E665" s="10">
        <f>IFERROR(__xludf.DUMMYFUNCTION("SPLIT(B665,""T"")"),43469.0)</f>
        <v>43469</v>
      </c>
      <c r="F665" s="4" t="str">
        <f>IFERROR(__xludf.DUMMYFUNCTION("""COMPUTED_VALUE"""),"09:04:00Z")</f>
        <v>09:04:00Z</v>
      </c>
      <c r="G665" s="11" t="str">
        <f t="shared" si="1"/>
        <v>09:04:00</v>
      </c>
      <c r="H665" s="10">
        <f>IFERROR(__xludf.DUMMYFUNCTION("SPLIT(D665,""T"")"),43359.0)</f>
        <v>43359</v>
      </c>
      <c r="I665" s="4" t="str">
        <f>IFERROR(__xludf.DUMMYFUNCTION("""COMPUTED_VALUE"""),"08:34:00Z")</f>
        <v>08:34:00Z</v>
      </c>
      <c r="J665" s="4" t="str">
        <f t="shared" si="2"/>
        <v>08:34:00</v>
      </c>
      <c r="K665" s="4">
        <f t="shared" si="3"/>
        <v>110</v>
      </c>
      <c r="L665" s="4">
        <f t="shared" si="4"/>
        <v>0.02083333333</v>
      </c>
      <c r="M665" s="4">
        <f t="shared" si="5"/>
        <v>110.0208333</v>
      </c>
    </row>
    <row r="666">
      <c r="A666" s="4" t="s">
        <v>278</v>
      </c>
      <c r="B666" s="4" t="s">
        <v>2071</v>
      </c>
      <c r="C666" s="4" t="s">
        <v>2307</v>
      </c>
      <c r="D666" s="4" t="s">
        <v>2308</v>
      </c>
      <c r="E666" s="10">
        <f>IFERROR(__xludf.DUMMYFUNCTION("SPLIT(B666,""T"")"),43109.0)</f>
        <v>43109</v>
      </c>
      <c r="F666" s="4" t="str">
        <f>IFERROR(__xludf.DUMMYFUNCTION("""COMPUTED_VALUE"""),"13:23:00Z")</f>
        <v>13:23:00Z</v>
      </c>
      <c r="G666" s="11" t="str">
        <f t="shared" si="1"/>
        <v>13:23:00</v>
      </c>
      <c r="H666" s="10">
        <f>IFERROR(__xludf.DUMMYFUNCTION("SPLIT(D666,""T"")"),43001.0)</f>
        <v>43001</v>
      </c>
      <c r="I666" s="4" t="str">
        <f>IFERROR(__xludf.DUMMYFUNCTION("""COMPUTED_VALUE"""),"11:05:00Z")</f>
        <v>11:05:00Z</v>
      </c>
      <c r="J666" s="4" t="str">
        <f t="shared" si="2"/>
        <v>11:05:00</v>
      </c>
      <c r="K666" s="4">
        <f t="shared" si="3"/>
        <v>108</v>
      </c>
      <c r="L666" s="4">
        <f t="shared" si="4"/>
        <v>0.09583333333</v>
      </c>
      <c r="M666" s="4">
        <f t="shared" si="5"/>
        <v>108.0958333</v>
      </c>
    </row>
    <row r="667">
      <c r="A667" s="4" t="s">
        <v>149</v>
      </c>
      <c r="B667" s="4" t="s">
        <v>2071</v>
      </c>
      <c r="C667" s="4" t="s">
        <v>2470</v>
      </c>
      <c r="D667" s="4" t="s">
        <v>2471</v>
      </c>
      <c r="E667" s="10">
        <f>IFERROR(__xludf.DUMMYFUNCTION("SPLIT(B667,""T"")"),43109.0)</f>
        <v>43109</v>
      </c>
      <c r="F667" s="4" t="str">
        <f>IFERROR(__xludf.DUMMYFUNCTION("""COMPUTED_VALUE"""),"13:23:00Z")</f>
        <v>13:23:00Z</v>
      </c>
      <c r="G667" s="11" t="str">
        <f t="shared" si="1"/>
        <v>13:23:00</v>
      </c>
      <c r="H667" s="10">
        <f>IFERROR(__xludf.DUMMYFUNCTION("SPLIT(D667,""T"")"),43001.0)</f>
        <v>43001</v>
      </c>
      <c r="I667" s="4" t="str">
        <f>IFERROR(__xludf.DUMMYFUNCTION("""COMPUTED_VALUE"""),"15:40:00Z")</f>
        <v>15:40:00Z</v>
      </c>
      <c r="J667" s="4" t="str">
        <f t="shared" si="2"/>
        <v>15:40:00</v>
      </c>
      <c r="K667" s="4">
        <f t="shared" si="3"/>
        <v>108</v>
      </c>
      <c r="L667" s="4">
        <f t="shared" si="4"/>
        <v>-0.09513888889</v>
      </c>
      <c r="M667" s="4">
        <f t="shared" si="5"/>
        <v>107.9048611</v>
      </c>
    </row>
    <row r="668">
      <c r="A668" s="4" t="s">
        <v>156</v>
      </c>
      <c r="B668" s="4" t="s">
        <v>568</v>
      </c>
      <c r="C668" s="4" t="s">
        <v>834</v>
      </c>
      <c r="D668" s="4" t="s">
        <v>835</v>
      </c>
      <c r="E668" s="10">
        <f>IFERROR(__xludf.DUMMYFUNCTION("SPLIT(B668,""T"")"),41985.0)</f>
        <v>41985</v>
      </c>
      <c r="F668" s="4" t="str">
        <f>IFERROR(__xludf.DUMMYFUNCTION("""COMPUTED_VALUE"""),"13:45:00Z")</f>
        <v>13:45:00Z</v>
      </c>
      <c r="G668" s="11" t="str">
        <f t="shared" si="1"/>
        <v>13:45:00</v>
      </c>
      <c r="H668" s="10">
        <f>IFERROR(__xludf.DUMMYFUNCTION("SPLIT(D668,""T"")"),41877.0)</f>
        <v>41877</v>
      </c>
      <c r="I668" s="4" t="str">
        <f>IFERROR(__xludf.DUMMYFUNCTION("""COMPUTED_VALUE"""),"16:23:00Z")</f>
        <v>16:23:00Z</v>
      </c>
      <c r="J668" s="4" t="str">
        <f t="shared" si="2"/>
        <v>16:23:00</v>
      </c>
      <c r="K668" s="4">
        <f t="shared" si="3"/>
        <v>108</v>
      </c>
      <c r="L668" s="4">
        <f t="shared" si="4"/>
        <v>-0.1097222222</v>
      </c>
      <c r="M668" s="4">
        <f t="shared" si="5"/>
        <v>107.8902778</v>
      </c>
    </row>
    <row r="669">
      <c r="A669" s="4" t="s">
        <v>58</v>
      </c>
      <c r="B669" s="4" t="s">
        <v>556</v>
      </c>
      <c r="C669" s="4" t="s">
        <v>557</v>
      </c>
      <c r="D669" s="4" t="s">
        <v>558</v>
      </c>
      <c r="E669" s="10">
        <f>IFERROR(__xludf.DUMMYFUNCTION("SPLIT(B669,""T"")"),41957.0)</f>
        <v>41957</v>
      </c>
      <c r="F669" s="4" t="str">
        <f>IFERROR(__xludf.DUMMYFUNCTION("""COMPUTED_VALUE"""),"13:00:00Z")</f>
        <v>13:00:00Z</v>
      </c>
      <c r="G669" s="11" t="str">
        <f t="shared" si="1"/>
        <v>13:00:00</v>
      </c>
      <c r="H669" s="10">
        <f>IFERROR(__xludf.DUMMYFUNCTION("SPLIT(D669,""T"")"),41850.0)</f>
        <v>41850</v>
      </c>
      <c r="I669" s="4" t="str">
        <f>IFERROR(__xludf.DUMMYFUNCTION("""COMPUTED_VALUE"""),"20:30:00Z")</f>
        <v>20:30:00Z</v>
      </c>
      <c r="J669" s="4" t="str">
        <f t="shared" si="2"/>
        <v>20:30:00</v>
      </c>
      <c r="K669" s="4">
        <f t="shared" si="3"/>
        <v>107</v>
      </c>
      <c r="L669" s="4">
        <f t="shared" si="4"/>
        <v>-0.3125</v>
      </c>
      <c r="M669" s="4">
        <f t="shared" si="5"/>
        <v>106.6875</v>
      </c>
    </row>
    <row r="670">
      <c r="A670" s="4" t="s">
        <v>87</v>
      </c>
      <c r="B670" s="4" t="s">
        <v>2450</v>
      </c>
      <c r="C670" s="4" t="s">
        <v>2451</v>
      </c>
      <c r="D670" s="4" t="s">
        <v>2452</v>
      </c>
      <c r="E670" s="10">
        <f>IFERROR(__xludf.DUMMYFUNCTION("SPLIT(B670,""T"")"),43109.0)</f>
        <v>43109</v>
      </c>
      <c r="F670" s="4" t="str">
        <f>IFERROR(__xludf.DUMMYFUNCTION("""COMPUTED_VALUE"""),"13:24:00Z")</f>
        <v>13:24:00Z</v>
      </c>
      <c r="G670" s="11" t="str">
        <f t="shared" si="1"/>
        <v>13:24:00</v>
      </c>
      <c r="H670" s="10">
        <f>IFERROR(__xludf.DUMMYFUNCTION("SPLIT(D670,""T"")"),43003.0)</f>
        <v>43003</v>
      </c>
      <c r="I670" s="4" t="str">
        <f>IFERROR(__xludf.DUMMYFUNCTION("""COMPUTED_VALUE"""),"11:03:00Z")</f>
        <v>11:03:00Z</v>
      </c>
      <c r="J670" s="4" t="str">
        <f t="shared" si="2"/>
        <v>11:03:00</v>
      </c>
      <c r="K670" s="4">
        <f t="shared" si="3"/>
        <v>106</v>
      </c>
      <c r="L670" s="4">
        <f t="shared" si="4"/>
        <v>0.09791666667</v>
      </c>
      <c r="M670" s="4">
        <f t="shared" si="5"/>
        <v>106.0979167</v>
      </c>
    </row>
    <row r="671">
      <c r="A671" s="4" t="s">
        <v>130</v>
      </c>
      <c r="B671" s="4" t="s">
        <v>2715</v>
      </c>
      <c r="C671" s="4" t="s">
        <v>2413</v>
      </c>
      <c r="D671" s="4" t="s">
        <v>3195</v>
      </c>
      <c r="E671" s="10">
        <f>IFERROR(__xludf.DUMMYFUNCTION("SPLIT(B671,""T"")"),43469.0)</f>
        <v>43469</v>
      </c>
      <c r="F671" s="4" t="str">
        <f>IFERROR(__xludf.DUMMYFUNCTION("""COMPUTED_VALUE"""),"09:03:00Z")</f>
        <v>09:03:00Z</v>
      </c>
      <c r="G671" s="11" t="str">
        <f t="shared" si="1"/>
        <v>09:03:00</v>
      </c>
      <c r="H671" s="10">
        <f>IFERROR(__xludf.DUMMYFUNCTION("SPLIT(D671,""T"")"),43363.0)</f>
        <v>43363</v>
      </c>
      <c r="I671" s="4" t="str">
        <f>IFERROR(__xludf.DUMMYFUNCTION("""COMPUTED_VALUE"""),"12:39:00Z")</f>
        <v>12:39:00Z</v>
      </c>
      <c r="J671" s="4" t="str">
        <f t="shared" si="2"/>
        <v>12:39:00</v>
      </c>
      <c r="K671" s="4">
        <f t="shared" si="3"/>
        <v>106</v>
      </c>
      <c r="L671" s="4">
        <f t="shared" si="4"/>
        <v>-0.15</v>
      </c>
      <c r="M671" s="4">
        <f t="shared" si="5"/>
        <v>105.85</v>
      </c>
    </row>
    <row r="672">
      <c r="A672" s="4" t="s">
        <v>205</v>
      </c>
      <c r="B672" s="4" t="s">
        <v>2462</v>
      </c>
      <c r="C672" s="4" t="s">
        <v>2488</v>
      </c>
      <c r="D672" s="4" t="s">
        <v>2489</v>
      </c>
      <c r="E672" s="10">
        <f>IFERROR(__xludf.DUMMYFUNCTION("SPLIT(B672,""T"")"),43109.0)</f>
        <v>43109</v>
      </c>
      <c r="F672" s="4" t="str">
        <f>IFERROR(__xludf.DUMMYFUNCTION("""COMPUTED_VALUE"""),"13:25:00Z")</f>
        <v>13:25:00Z</v>
      </c>
      <c r="G672" s="11" t="str">
        <f t="shared" si="1"/>
        <v>13:25:00</v>
      </c>
      <c r="H672" s="10">
        <f>IFERROR(__xludf.DUMMYFUNCTION("SPLIT(D672,""T"")"),43004.0)</f>
        <v>43004</v>
      </c>
      <c r="I672" s="4" t="str">
        <f>IFERROR(__xludf.DUMMYFUNCTION("""COMPUTED_VALUE"""),"12:22:00Z")</f>
        <v>12:22:00Z</v>
      </c>
      <c r="J672" s="4" t="str">
        <f t="shared" si="2"/>
        <v>12:22:00</v>
      </c>
      <c r="K672" s="4">
        <f t="shared" si="3"/>
        <v>105</v>
      </c>
      <c r="L672" s="4">
        <f t="shared" si="4"/>
        <v>0.04375</v>
      </c>
      <c r="M672" s="4">
        <f t="shared" si="5"/>
        <v>105.04375</v>
      </c>
    </row>
    <row r="673">
      <c r="A673" s="4" t="s">
        <v>367</v>
      </c>
      <c r="B673" s="4" t="s">
        <v>2462</v>
      </c>
      <c r="C673" s="4" t="s">
        <v>2463</v>
      </c>
      <c r="D673" s="4" t="s">
        <v>2464</v>
      </c>
      <c r="E673" s="10">
        <f>IFERROR(__xludf.DUMMYFUNCTION("SPLIT(B673,""T"")"),43109.0)</f>
        <v>43109</v>
      </c>
      <c r="F673" s="4" t="str">
        <f>IFERROR(__xludf.DUMMYFUNCTION("""COMPUTED_VALUE"""),"13:25:00Z")</f>
        <v>13:25:00Z</v>
      </c>
      <c r="G673" s="11" t="str">
        <f t="shared" si="1"/>
        <v>13:25:00</v>
      </c>
      <c r="H673" s="10">
        <f>IFERROR(__xludf.DUMMYFUNCTION("SPLIT(D673,""T"")"),43004.0)</f>
        <v>43004</v>
      </c>
      <c r="I673" s="4" t="str">
        <f>IFERROR(__xludf.DUMMYFUNCTION("""COMPUTED_VALUE"""),"15:20:00Z")</f>
        <v>15:20:00Z</v>
      </c>
      <c r="J673" s="4" t="str">
        <f t="shared" si="2"/>
        <v>15:20:00</v>
      </c>
      <c r="K673" s="4">
        <f t="shared" si="3"/>
        <v>105</v>
      </c>
      <c r="L673" s="4">
        <f t="shared" si="4"/>
        <v>-0.07986111111</v>
      </c>
      <c r="M673" s="4">
        <f t="shared" si="5"/>
        <v>104.9201389</v>
      </c>
    </row>
    <row r="674">
      <c r="A674" s="4" t="s">
        <v>149</v>
      </c>
      <c r="B674" s="4" t="s">
        <v>2180</v>
      </c>
      <c r="C674" s="4" t="s">
        <v>2181</v>
      </c>
      <c r="D674" s="4" t="s">
        <v>2182</v>
      </c>
      <c r="E674" s="10">
        <f>IFERROR(__xludf.DUMMYFUNCTION("SPLIT(B674,""T"")"),43109.0)</f>
        <v>43109</v>
      </c>
      <c r="F674" s="4" t="str">
        <f>IFERROR(__xludf.DUMMYFUNCTION("""COMPUTED_VALUE"""),"13:26:00Z")</f>
        <v>13:26:00Z</v>
      </c>
      <c r="G674" s="11" t="str">
        <f t="shared" si="1"/>
        <v>13:26:00</v>
      </c>
      <c r="H674" s="10">
        <f>IFERROR(__xludf.DUMMYFUNCTION("SPLIT(D674,""T"")"),43004.0)</f>
        <v>43004</v>
      </c>
      <c r="I674" s="4" t="str">
        <f>IFERROR(__xludf.DUMMYFUNCTION("""COMPUTED_VALUE"""),"15:30:00Z")</f>
        <v>15:30:00Z</v>
      </c>
      <c r="J674" s="4" t="str">
        <f t="shared" si="2"/>
        <v>15:30:00</v>
      </c>
      <c r="K674" s="4">
        <f t="shared" si="3"/>
        <v>105</v>
      </c>
      <c r="L674" s="4">
        <f t="shared" si="4"/>
        <v>-0.08611111111</v>
      </c>
      <c r="M674" s="4">
        <f t="shared" si="5"/>
        <v>104.9138889</v>
      </c>
    </row>
    <row r="675">
      <c r="A675" s="4" t="s">
        <v>149</v>
      </c>
      <c r="B675" s="4" t="s">
        <v>2180</v>
      </c>
      <c r="C675" s="4" t="s">
        <v>2253</v>
      </c>
      <c r="D675" s="4" t="s">
        <v>2254</v>
      </c>
      <c r="E675" s="10">
        <f>IFERROR(__xludf.DUMMYFUNCTION("SPLIT(B675,""T"")"),43109.0)</f>
        <v>43109</v>
      </c>
      <c r="F675" s="4" t="str">
        <f>IFERROR(__xludf.DUMMYFUNCTION("""COMPUTED_VALUE"""),"13:26:00Z")</f>
        <v>13:26:00Z</v>
      </c>
      <c r="G675" s="11" t="str">
        <f t="shared" si="1"/>
        <v>13:26:00</v>
      </c>
      <c r="H675" s="10">
        <f>IFERROR(__xludf.DUMMYFUNCTION("SPLIT(D675,""T"")"),43004.0)</f>
        <v>43004</v>
      </c>
      <c r="I675" s="4" t="str">
        <f>IFERROR(__xludf.DUMMYFUNCTION("""COMPUTED_VALUE"""),"16:45:00Z")</f>
        <v>16:45:00Z</v>
      </c>
      <c r="J675" s="4" t="str">
        <f t="shared" si="2"/>
        <v>16:45:00</v>
      </c>
      <c r="K675" s="4">
        <f t="shared" si="3"/>
        <v>105</v>
      </c>
      <c r="L675" s="4">
        <f t="shared" si="4"/>
        <v>-0.1381944444</v>
      </c>
      <c r="M675" s="4">
        <f t="shared" si="5"/>
        <v>104.8618056</v>
      </c>
    </row>
    <row r="676">
      <c r="A676" s="4" t="s">
        <v>94</v>
      </c>
      <c r="B676" s="4" t="s">
        <v>1792</v>
      </c>
      <c r="C676" s="4" t="s">
        <v>1793</v>
      </c>
      <c r="D676" s="4" t="s">
        <v>1794</v>
      </c>
      <c r="E676" s="10">
        <f>IFERROR(__xludf.DUMMYFUNCTION("SPLIT(B676,""T"")"),43109.0)</f>
        <v>43109</v>
      </c>
      <c r="F676" s="4" t="str">
        <f>IFERROR(__xludf.DUMMYFUNCTION("""COMPUTED_VALUE"""),"13:27:00Z")</f>
        <v>13:27:00Z</v>
      </c>
      <c r="G676" s="11" t="str">
        <f t="shared" si="1"/>
        <v>13:27:00</v>
      </c>
      <c r="H676" s="10">
        <f>IFERROR(__xludf.DUMMYFUNCTION("SPLIT(D676,""T"")"),43005.0)</f>
        <v>43005</v>
      </c>
      <c r="I676" s="4" t="str">
        <f>IFERROR(__xludf.DUMMYFUNCTION("""COMPUTED_VALUE"""),"14:00:00Z")</f>
        <v>14:00:00Z</v>
      </c>
      <c r="J676" s="4" t="str">
        <f t="shared" si="2"/>
        <v>14:00:00</v>
      </c>
      <c r="K676" s="4">
        <f t="shared" si="3"/>
        <v>104</v>
      </c>
      <c r="L676" s="4">
        <f t="shared" si="4"/>
        <v>-0.02291666667</v>
      </c>
      <c r="M676" s="4">
        <f t="shared" si="5"/>
        <v>103.9770833</v>
      </c>
    </row>
    <row r="677">
      <c r="A677" s="4" t="s">
        <v>23</v>
      </c>
      <c r="B677" s="4" t="s">
        <v>2715</v>
      </c>
      <c r="C677" s="4" t="s">
        <v>2716</v>
      </c>
      <c r="D677" s="4" t="s">
        <v>2717</v>
      </c>
      <c r="E677" s="10">
        <f>IFERROR(__xludf.DUMMYFUNCTION("SPLIT(B677,""T"")"),43469.0)</f>
        <v>43469</v>
      </c>
      <c r="F677" s="4" t="str">
        <f>IFERROR(__xludf.DUMMYFUNCTION("""COMPUTED_VALUE"""),"09:03:00Z")</f>
        <v>09:03:00Z</v>
      </c>
      <c r="G677" s="11" t="str">
        <f t="shared" si="1"/>
        <v>09:03:00</v>
      </c>
      <c r="H677" s="10">
        <f>IFERROR(__xludf.DUMMYFUNCTION("SPLIT(D677,""T"")"),43365.0)</f>
        <v>43365</v>
      </c>
      <c r="I677" s="4" t="str">
        <f>IFERROR(__xludf.DUMMYFUNCTION("""COMPUTED_VALUE"""),"14:30:00Z")</f>
        <v>14:30:00Z</v>
      </c>
      <c r="J677" s="4" t="str">
        <f t="shared" si="2"/>
        <v>14:30:00</v>
      </c>
      <c r="K677" s="4">
        <f t="shared" si="3"/>
        <v>104</v>
      </c>
      <c r="L677" s="4">
        <f t="shared" si="4"/>
        <v>-0.2270833333</v>
      </c>
      <c r="M677" s="4">
        <f t="shared" si="5"/>
        <v>103.7729167</v>
      </c>
    </row>
    <row r="678">
      <c r="A678" s="4" t="s">
        <v>320</v>
      </c>
      <c r="B678" s="4" t="s">
        <v>2715</v>
      </c>
      <c r="C678" s="4" t="s">
        <v>3042</v>
      </c>
      <c r="D678" s="4" t="s">
        <v>3043</v>
      </c>
      <c r="E678" s="10">
        <f>IFERROR(__xludf.DUMMYFUNCTION("SPLIT(B678,""T"")"),43469.0)</f>
        <v>43469</v>
      </c>
      <c r="F678" s="4" t="str">
        <f>IFERROR(__xludf.DUMMYFUNCTION("""COMPUTED_VALUE"""),"09:03:00Z")</f>
        <v>09:03:00Z</v>
      </c>
      <c r="G678" s="11" t="str">
        <f t="shared" si="1"/>
        <v>09:03:00</v>
      </c>
      <c r="H678" s="10">
        <f>IFERROR(__xludf.DUMMYFUNCTION("SPLIT(D678,""T"")"),43365.0)</f>
        <v>43365</v>
      </c>
      <c r="I678" s="4" t="str">
        <f>IFERROR(__xludf.DUMMYFUNCTION("""COMPUTED_VALUE"""),"14:41:00Z")</f>
        <v>14:41:00Z</v>
      </c>
      <c r="J678" s="4" t="str">
        <f t="shared" si="2"/>
        <v>14:41:00</v>
      </c>
      <c r="K678" s="4">
        <f t="shared" si="3"/>
        <v>104</v>
      </c>
      <c r="L678" s="4">
        <f t="shared" si="4"/>
        <v>-0.2347222222</v>
      </c>
      <c r="M678" s="4">
        <f t="shared" si="5"/>
        <v>103.7652778</v>
      </c>
    </row>
    <row r="679">
      <c r="A679" s="4" t="s">
        <v>156</v>
      </c>
      <c r="B679" s="4" t="s">
        <v>2715</v>
      </c>
      <c r="C679" s="4" t="s">
        <v>730</v>
      </c>
      <c r="D679" s="4" t="s">
        <v>2813</v>
      </c>
      <c r="E679" s="10">
        <f>IFERROR(__xludf.DUMMYFUNCTION("SPLIT(B679,""T"")"),43469.0)</f>
        <v>43469</v>
      </c>
      <c r="F679" s="4" t="str">
        <f>IFERROR(__xludf.DUMMYFUNCTION("""COMPUTED_VALUE"""),"09:03:00Z")</f>
        <v>09:03:00Z</v>
      </c>
      <c r="G679" s="11" t="str">
        <f t="shared" si="1"/>
        <v>09:03:00</v>
      </c>
      <c r="H679" s="10">
        <f>IFERROR(__xludf.DUMMYFUNCTION("SPLIT(D679,""T"")"),43365.0)</f>
        <v>43365</v>
      </c>
      <c r="I679" s="4" t="str">
        <f>IFERROR(__xludf.DUMMYFUNCTION("""COMPUTED_VALUE"""),"15:44:00Z")</f>
        <v>15:44:00Z</v>
      </c>
      <c r="J679" s="4" t="str">
        <f t="shared" si="2"/>
        <v>15:44:00</v>
      </c>
      <c r="K679" s="4">
        <f t="shared" si="3"/>
        <v>104</v>
      </c>
      <c r="L679" s="4">
        <f t="shared" si="4"/>
        <v>-0.2784722222</v>
      </c>
      <c r="M679" s="4">
        <f t="shared" si="5"/>
        <v>103.7215278</v>
      </c>
    </row>
    <row r="680">
      <c r="A680" s="4" t="s">
        <v>87</v>
      </c>
      <c r="B680" s="4" t="s">
        <v>1792</v>
      </c>
      <c r="C680" s="4" t="s">
        <v>1231</v>
      </c>
      <c r="D680" s="4" t="s">
        <v>2144</v>
      </c>
      <c r="E680" s="10">
        <f>IFERROR(__xludf.DUMMYFUNCTION("SPLIT(B680,""T"")"),43109.0)</f>
        <v>43109</v>
      </c>
      <c r="F680" s="4" t="str">
        <f>IFERROR(__xludf.DUMMYFUNCTION("""COMPUTED_VALUE"""),"13:27:00Z")</f>
        <v>13:27:00Z</v>
      </c>
      <c r="G680" s="11" t="str">
        <f t="shared" si="1"/>
        <v>13:27:00</v>
      </c>
      <c r="H680" s="10">
        <f>IFERROR(__xludf.DUMMYFUNCTION("SPLIT(D680,""T"")"),43006.0)</f>
        <v>43006</v>
      </c>
      <c r="I680" s="4" t="str">
        <f>IFERROR(__xludf.DUMMYFUNCTION("""COMPUTED_VALUE"""),"14:46:00Z")</f>
        <v>14:46:00Z</v>
      </c>
      <c r="J680" s="4" t="str">
        <f t="shared" si="2"/>
        <v>14:46:00</v>
      </c>
      <c r="K680" s="4">
        <f t="shared" si="3"/>
        <v>103</v>
      </c>
      <c r="L680" s="4">
        <f t="shared" si="4"/>
        <v>-0.05486111111</v>
      </c>
      <c r="M680" s="4">
        <f t="shared" si="5"/>
        <v>102.9451389</v>
      </c>
    </row>
    <row r="681">
      <c r="A681" s="4" t="s">
        <v>401</v>
      </c>
      <c r="B681" s="4" t="s">
        <v>3114</v>
      </c>
      <c r="C681" s="4" t="s">
        <v>2315</v>
      </c>
      <c r="D681" s="4" t="s">
        <v>3115</v>
      </c>
      <c r="E681" s="10">
        <f>IFERROR(__xludf.DUMMYFUNCTION("SPLIT(B681,""T"")"),43469.0)</f>
        <v>43469</v>
      </c>
      <c r="F681" s="4" t="str">
        <f>IFERROR(__xludf.DUMMYFUNCTION("""COMPUTED_VALUE"""),"09:02:00Z")</f>
        <v>09:02:00Z</v>
      </c>
      <c r="G681" s="11" t="str">
        <f t="shared" si="1"/>
        <v>09:02:00</v>
      </c>
      <c r="H681" s="10">
        <f>IFERROR(__xludf.DUMMYFUNCTION("SPLIT(D681,""T"")"),43366.0)</f>
        <v>43366</v>
      </c>
      <c r="I681" s="4" t="str">
        <f>IFERROR(__xludf.DUMMYFUNCTION("""COMPUTED_VALUE"""),"16:23:00Z")</f>
        <v>16:23:00Z</v>
      </c>
      <c r="J681" s="4" t="str">
        <f t="shared" si="2"/>
        <v>16:23:00</v>
      </c>
      <c r="K681" s="4">
        <f t="shared" si="3"/>
        <v>103</v>
      </c>
      <c r="L681" s="4">
        <f t="shared" si="4"/>
        <v>-0.30625</v>
      </c>
      <c r="M681" s="4">
        <f t="shared" si="5"/>
        <v>102.69375</v>
      </c>
    </row>
    <row r="682">
      <c r="A682" s="4" t="s">
        <v>87</v>
      </c>
      <c r="B682" s="4" t="s">
        <v>3100</v>
      </c>
      <c r="C682" s="4" t="s">
        <v>3101</v>
      </c>
      <c r="D682" s="4" t="s">
        <v>3102</v>
      </c>
      <c r="E682" s="10">
        <f>IFERROR(__xludf.DUMMYFUNCTION("SPLIT(B682,""T"")"),43469.0)</f>
        <v>43469</v>
      </c>
      <c r="F682" s="4" t="str">
        <f>IFERROR(__xludf.DUMMYFUNCTION("""COMPUTED_VALUE"""),"09:01:00Z")</f>
        <v>09:01:00Z</v>
      </c>
      <c r="G682" s="11" t="str">
        <f t="shared" si="1"/>
        <v>09:01:00</v>
      </c>
      <c r="H682" s="10">
        <f>IFERROR(__xludf.DUMMYFUNCTION("SPLIT(D682,""T"")"),43367.0)</f>
        <v>43367</v>
      </c>
      <c r="I682" s="4" t="str">
        <f>IFERROR(__xludf.DUMMYFUNCTION("""COMPUTED_VALUE"""),"00:41:00Z")</f>
        <v>00:41:00Z</v>
      </c>
      <c r="J682" s="4" t="str">
        <f t="shared" si="2"/>
        <v>00:41:00</v>
      </c>
      <c r="K682" s="4">
        <f t="shared" si="3"/>
        <v>102</v>
      </c>
      <c r="L682" s="4">
        <f t="shared" si="4"/>
        <v>0.3472222222</v>
      </c>
      <c r="M682" s="4">
        <f t="shared" si="5"/>
        <v>102.3472222</v>
      </c>
    </row>
    <row r="683">
      <c r="A683" s="4" t="s">
        <v>97</v>
      </c>
      <c r="B683" s="4" t="s">
        <v>2015</v>
      </c>
      <c r="C683" s="4" t="s">
        <v>2016</v>
      </c>
      <c r="D683" s="4" t="s">
        <v>2017</v>
      </c>
      <c r="E683" s="10">
        <f>IFERROR(__xludf.DUMMYFUNCTION("SPLIT(B683,""T"")"),43109.0)</f>
        <v>43109</v>
      </c>
      <c r="F683" s="4" t="str">
        <f>IFERROR(__xludf.DUMMYFUNCTION("""COMPUTED_VALUE"""),"13:28:00Z")</f>
        <v>13:28:00Z</v>
      </c>
      <c r="G683" s="11" t="str">
        <f t="shared" si="1"/>
        <v>13:28:00</v>
      </c>
      <c r="H683" s="10">
        <f>IFERROR(__xludf.DUMMYFUNCTION("SPLIT(D683,""T"")"),43007.0)</f>
        <v>43007</v>
      </c>
      <c r="I683" s="4" t="str">
        <f>IFERROR(__xludf.DUMMYFUNCTION("""COMPUTED_VALUE"""),"14:42:00Z")</f>
        <v>14:42:00Z</v>
      </c>
      <c r="J683" s="4" t="str">
        <f t="shared" si="2"/>
        <v>14:42:00</v>
      </c>
      <c r="K683" s="4">
        <f t="shared" si="3"/>
        <v>102</v>
      </c>
      <c r="L683" s="4">
        <f t="shared" si="4"/>
        <v>-0.05138888889</v>
      </c>
      <c r="M683" s="4">
        <f t="shared" si="5"/>
        <v>101.9486111</v>
      </c>
    </row>
    <row r="684">
      <c r="A684" s="4" t="s">
        <v>69</v>
      </c>
      <c r="B684" s="4" t="s">
        <v>2199</v>
      </c>
      <c r="C684" s="4" t="s">
        <v>2381</v>
      </c>
      <c r="D684" s="4" t="s">
        <v>2382</v>
      </c>
      <c r="E684" s="10">
        <f>IFERROR(__xludf.DUMMYFUNCTION("SPLIT(B684,""T"")"),43109.0)</f>
        <v>43109</v>
      </c>
      <c r="F684" s="4" t="str">
        <f>IFERROR(__xludf.DUMMYFUNCTION("""COMPUTED_VALUE"""),"13:29:00Z")</f>
        <v>13:29:00Z</v>
      </c>
      <c r="G684" s="11" t="str">
        <f t="shared" si="1"/>
        <v>13:29:00</v>
      </c>
      <c r="H684" s="10">
        <f>IFERROR(__xludf.DUMMYFUNCTION("SPLIT(D684,""T"")"),43007.0)</f>
        <v>43007</v>
      </c>
      <c r="I684" s="4" t="str">
        <f>IFERROR(__xludf.DUMMYFUNCTION("""COMPUTED_VALUE"""),"15:58:00Z")</f>
        <v>15:58:00Z</v>
      </c>
      <c r="J684" s="4" t="str">
        <f t="shared" si="2"/>
        <v>15:58:00</v>
      </c>
      <c r="K684" s="4">
        <f t="shared" si="3"/>
        <v>102</v>
      </c>
      <c r="L684" s="4">
        <f t="shared" si="4"/>
        <v>-0.1034722222</v>
      </c>
      <c r="M684" s="4">
        <f t="shared" si="5"/>
        <v>101.8965278</v>
      </c>
    </row>
    <row r="685">
      <c r="A685" s="4" t="s">
        <v>27</v>
      </c>
      <c r="B685" s="4" t="s">
        <v>2015</v>
      </c>
      <c r="C685" s="4" t="s">
        <v>2404</v>
      </c>
      <c r="D685" s="4" t="s">
        <v>2405</v>
      </c>
      <c r="E685" s="10">
        <f>IFERROR(__xludf.DUMMYFUNCTION("SPLIT(B685,""T"")"),43109.0)</f>
        <v>43109</v>
      </c>
      <c r="F685" s="4" t="str">
        <f>IFERROR(__xludf.DUMMYFUNCTION("""COMPUTED_VALUE"""),"13:28:00Z")</f>
        <v>13:28:00Z</v>
      </c>
      <c r="G685" s="11" t="str">
        <f t="shared" si="1"/>
        <v>13:28:00</v>
      </c>
      <c r="H685" s="10">
        <f>IFERROR(__xludf.DUMMYFUNCTION("SPLIT(D685,""T"")"),43007.0)</f>
        <v>43007</v>
      </c>
      <c r="I685" s="4" t="str">
        <f>IFERROR(__xludf.DUMMYFUNCTION("""COMPUTED_VALUE"""),"18:01:00Z")</f>
        <v>18:01:00Z</v>
      </c>
      <c r="J685" s="4" t="str">
        <f t="shared" si="2"/>
        <v>18:01:00</v>
      </c>
      <c r="K685" s="4">
        <f t="shared" si="3"/>
        <v>102</v>
      </c>
      <c r="L685" s="4">
        <f t="shared" si="4"/>
        <v>-0.1895833333</v>
      </c>
      <c r="M685" s="4">
        <f t="shared" si="5"/>
        <v>101.8104167</v>
      </c>
    </row>
    <row r="686">
      <c r="A686" s="4" t="s">
        <v>39</v>
      </c>
      <c r="B686" s="4" t="s">
        <v>842</v>
      </c>
      <c r="C686" s="4" t="s">
        <v>843</v>
      </c>
      <c r="D686" s="4" t="s">
        <v>844</v>
      </c>
      <c r="E686" s="10">
        <f>IFERROR(__xludf.DUMMYFUNCTION("SPLIT(B686,""T"")"),42317.0)</f>
        <v>42317</v>
      </c>
      <c r="F686" s="4" t="str">
        <f>IFERROR(__xludf.DUMMYFUNCTION("""COMPUTED_VALUE"""),"12:00:00Z")</f>
        <v>12:00:00Z</v>
      </c>
      <c r="G686" s="11" t="str">
        <f t="shared" si="1"/>
        <v>12:00:00</v>
      </c>
      <c r="H686" s="10">
        <f>IFERROR(__xludf.DUMMYFUNCTION("SPLIT(D686,""T"")"),42216.0)</f>
        <v>42216</v>
      </c>
      <c r="I686" s="4" t="str">
        <f>IFERROR(__xludf.DUMMYFUNCTION("""COMPUTED_VALUE"""),"19:00:00Z")</f>
        <v>19:00:00Z</v>
      </c>
      <c r="J686" s="4" t="str">
        <f t="shared" si="2"/>
        <v>19:00:00</v>
      </c>
      <c r="K686" s="4">
        <f t="shared" si="3"/>
        <v>101</v>
      </c>
      <c r="L686" s="4">
        <f t="shared" si="4"/>
        <v>-0.2916666667</v>
      </c>
      <c r="M686" s="4">
        <f t="shared" si="5"/>
        <v>100.7083333</v>
      </c>
    </row>
    <row r="687">
      <c r="A687" s="4" t="s">
        <v>134</v>
      </c>
      <c r="B687" s="4" t="s">
        <v>3039</v>
      </c>
      <c r="C687" s="4" t="s">
        <v>3040</v>
      </c>
      <c r="D687" s="4" t="s">
        <v>3041</v>
      </c>
      <c r="E687" s="10">
        <f>IFERROR(__xludf.DUMMYFUNCTION("SPLIT(B687,""T"")"),43469.0)</f>
        <v>43469</v>
      </c>
      <c r="F687" s="4" t="str">
        <f>IFERROR(__xludf.DUMMYFUNCTION("""COMPUTED_VALUE"""),"09:00:00Z")</f>
        <v>09:00:00Z</v>
      </c>
      <c r="G687" s="11" t="str">
        <f t="shared" si="1"/>
        <v>09:00:00</v>
      </c>
      <c r="H687" s="10">
        <f>IFERROR(__xludf.DUMMYFUNCTION("SPLIT(D687,""T"")"),43369.0)</f>
        <v>43369</v>
      </c>
      <c r="I687" s="4" t="str">
        <f>IFERROR(__xludf.DUMMYFUNCTION("""COMPUTED_VALUE"""),"10:56:00Z")</f>
        <v>10:56:00Z</v>
      </c>
      <c r="J687" s="4" t="str">
        <f t="shared" si="2"/>
        <v>10:56:00</v>
      </c>
      <c r="K687" s="4">
        <f t="shared" si="3"/>
        <v>100</v>
      </c>
      <c r="L687" s="4">
        <f t="shared" si="4"/>
        <v>-0.08055555556</v>
      </c>
      <c r="M687" s="4">
        <f t="shared" si="5"/>
        <v>99.91944444</v>
      </c>
    </row>
    <row r="688">
      <c r="A688" s="4" t="s">
        <v>856</v>
      </c>
      <c r="B688" s="4" t="s">
        <v>842</v>
      </c>
      <c r="C688" s="4" t="s">
        <v>869</v>
      </c>
      <c r="D688" s="4" t="s">
        <v>870</v>
      </c>
      <c r="E688" s="10">
        <f>IFERROR(__xludf.DUMMYFUNCTION("SPLIT(B688,""T"")"),42317.0)</f>
        <v>42317</v>
      </c>
      <c r="F688" s="4" t="str">
        <f>IFERROR(__xludf.DUMMYFUNCTION("""COMPUTED_VALUE"""),"12:00:00Z")</f>
        <v>12:00:00Z</v>
      </c>
      <c r="G688" s="11" t="str">
        <f t="shared" si="1"/>
        <v>12:00:00</v>
      </c>
      <c r="H688" s="10">
        <f>IFERROR(__xludf.DUMMYFUNCTION("SPLIT(D688,""T"")"),42217.0)</f>
        <v>42217</v>
      </c>
      <c r="I688" s="4" t="str">
        <f>IFERROR(__xludf.DUMMYFUNCTION("""COMPUTED_VALUE"""),"23:23:00Z")</f>
        <v>23:23:00Z</v>
      </c>
      <c r="J688" s="4" t="str">
        <f t="shared" si="2"/>
        <v>23:23:00</v>
      </c>
      <c r="K688" s="4">
        <f t="shared" si="3"/>
        <v>100</v>
      </c>
      <c r="L688" s="4">
        <f t="shared" si="4"/>
        <v>-0.4743055556</v>
      </c>
      <c r="M688" s="4">
        <f t="shared" si="5"/>
        <v>99.52569444</v>
      </c>
    </row>
    <row r="689">
      <c r="A689" s="4" t="s">
        <v>278</v>
      </c>
      <c r="B689" s="4" t="s">
        <v>2199</v>
      </c>
      <c r="C689" s="4" t="s">
        <v>2200</v>
      </c>
      <c r="D689" s="4" t="s">
        <v>2201</v>
      </c>
      <c r="E689" s="10">
        <f>IFERROR(__xludf.DUMMYFUNCTION("SPLIT(B689,""T"")"),43109.0)</f>
        <v>43109</v>
      </c>
      <c r="F689" s="4" t="str">
        <f>IFERROR(__xludf.DUMMYFUNCTION("""COMPUTED_VALUE"""),"13:29:00Z")</f>
        <v>13:29:00Z</v>
      </c>
      <c r="G689" s="11" t="str">
        <f t="shared" si="1"/>
        <v>13:29:00</v>
      </c>
      <c r="H689" s="10">
        <f>IFERROR(__xludf.DUMMYFUNCTION("SPLIT(D689,""T"")"),43010.0)</f>
        <v>43010</v>
      </c>
      <c r="I689" s="4" t="str">
        <f>IFERROR(__xludf.DUMMYFUNCTION("""COMPUTED_VALUE"""),"09:37:00Z")</f>
        <v>09:37:00Z</v>
      </c>
      <c r="J689" s="4" t="str">
        <f t="shared" si="2"/>
        <v>09:37:00</v>
      </c>
      <c r="K689" s="4">
        <f t="shared" si="3"/>
        <v>99</v>
      </c>
      <c r="L689" s="4">
        <f t="shared" si="4"/>
        <v>0.1611111111</v>
      </c>
      <c r="M689" s="4">
        <f t="shared" si="5"/>
        <v>99.16111111</v>
      </c>
    </row>
    <row r="690">
      <c r="A690" s="4" t="s">
        <v>101</v>
      </c>
      <c r="B690" s="4" t="s">
        <v>2199</v>
      </c>
      <c r="C690" s="4" t="s">
        <v>2534</v>
      </c>
      <c r="D690" s="4" t="s">
        <v>2535</v>
      </c>
      <c r="E690" s="10">
        <f>IFERROR(__xludf.DUMMYFUNCTION("SPLIT(B690,""T"")"),43109.0)</f>
        <v>43109</v>
      </c>
      <c r="F690" s="4" t="str">
        <f>IFERROR(__xludf.DUMMYFUNCTION("""COMPUTED_VALUE"""),"13:29:00Z")</f>
        <v>13:29:00Z</v>
      </c>
      <c r="G690" s="11" t="str">
        <f t="shared" si="1"/>
        <v>13:29:00</v>
      </c>
      <c r="H690" s="10">
        <f>IFERROR(__xludf.DUMMYFUNCTION("SPLIT(D690,""T"")"),43011.0)</f>
        <v>43011</v>
      </c>
      <c r="I690" s="4" t="str">
        <f>IFERROR(__xludf.DUMMYFUNCTION("""COMPUTED_VALUE"""),"11:44:00Z")</f>
        <v>11:44:00Z</v>
      </c>
      <c r="J690" s="4" t="str">
        <f t="shared" si="2"/>
        <v>11:44:00</v>
      </c>
      <c r="K690" s="4">
        <f t="shared" si="3"/>
        <v>98</v>
      </c>
      <c r="L690" s="4">
        <f t="shared" si="4"/>
        <v>0.07291666667</v>
      </c>
      <c r="M690" s="4">
        <f t="shared" si="5"/>
        <v>98.07291667</v>
      </c>
    </row>
    <row r="691">
      <c r="A691" s="4" t="s">
        <v>54</v>
      </c>
      <c r="B691" s="4" t="s">
        <v>2199</v>
      </c>
      <c r="C691" s="4" t="s">
        <v>1063</v>
      </c>
      <c r="D691" s="4" t="s">
        <v>2506</v>
      </c>
      <c r="E691" s="10">
        <f>IFERROR(__xludf.DUMMYFUNCTION("SPLIT(B691,""T"")"),43109.0)</f>
        <v>43109</v>
      </c>
      <c r="F691" s="4" t="str">
        <f>IFERROR(__xludf.DUMMYFUNCTION("""COMPUTED_VALUE"""),"13:29:00Z")</f>
        <v>13:29:00Z</v>
      </c>
      <c r="G691" s="11" t="str">
        <f t="shared" si="1"/>
        <v>13:29:00</v>
      </c>
      <c r="H691" s="10">
        <f>IFERROR(__xludf.DUMMYFUNCTION("SPLIT(D691,""T"")"),43011.0)</f>
        <v>43011</v>
      </c>
      <c r="I691" s="4" t="str">
        <f>IFERROR(__xludf.DUMMYFUNCTION("""COMPUTED_VALUE"""),"16:22:00Z")</f>
        <v>16:22:00Z</v>
      </c>
      <c r="J691" s="4" t="str">
        <f t="shared" si="2"/>
        <v>16:22:00</v>
      </c>
      <c r="K691" s="4">
        <f t="shared" si="3"/>
        <v>98</v>
      </c>
      <c r="L691" s="4">
        <f t="shared" si="4"/>
        <v>-0.1201388889</v>
      </c>
      <c r="M691" s="4">
        <f t="shared" si="5"/>
        <v>97.87986111</v>
      </c>
    </row>
    <row r="692">
      <c r="A692" s="4" t="s">
        <v>54</v>
      </c>
      <c r="B692" s="4" t="s">
        <v>2846</v>
      </c>
      <c r="C692" s="4" t="s">
        <v>2325</v>
      </c>
      <c r="D692" s="4" t="s">
        <v>2847</v>
      </c>
      <c r="E692" s="10">
        <f>IFERROR(__xludf.DUMMYFUNCTION("SPLIT(B692,""T"")"),43469.0)</f>
        <v>43469</v>
      </c>
      <c r="F692" s="4" t="str">
        <f>IFERROR(__xludf.DUMMYFUNCTION("""COMPUTED_VALUE"""),"08:59:00Z")</f>
        <v>08:59:00Z</v>
      </c>
      <c r="G692" s="11" t="str">
        <f t="shared" si="1"/>
        <v>08:59:00</v>
      </c>
      <c r="H692" s="10">
        <f>IFERROR(__xludf.DUMMYFUNCTION("SPLIT(D692,""T"")"),43371.0)</f>
        <v>43371</v>
      </c>
      <c r="I692" s="4" t="str">
        <f>IFERROR(__xludf.DUMMYFUNCTION("""COMPUTED_VALUE"""),"13:08:00Z")</f>
        <v>13:08:00Z</v>
      </c>
      <c r="J692" s="4" t="str">
        <f t="shared" si="2"/>
        <v>13:08:00</v>
      </c>
      <c r="K692" s="4">
        <f t="shared" si="3"/>
        <v>98</v>
      </c>
      <c r="L692" s="4">
        <f t="shared" si="4"/>
        <v>-0.1729166667</v>
      </c>
      <c r="M692" s="4">
        <f t="shared" si="5"/>
        <v>97.82708333</v>
      </c>
    </row>
    <row r="693">
      <c r="A693" s="4" t="s">
        <v>58</v>
      </c>
      <c r="B693" s="4" t="s">
        <v>2972</v>
      </c>
      <c r="C693" s="4" t="s">
        <v>44</v>
      </c>
      <c r="D693" s="4" t="s">
        <v>2980</v>
      </c>
      <c r="E693" s="10">
        <f>IFERROR(__xludf.DUMMYFUNCTION("SPLIT(B693,""T"")"),43469.0)</f>
        <v>43469</v>
      </c>
      <c r="F693" s="4" t="str">
        <f>IFERROR(__xludf.DUMMYFUNCTION("""COMPUTED_VALUE"""),"08:58:00Z")</f>
        <v>08:58:00Z</v>
      </c>
      <c r="G693" s="11" t="str">
        <f t="shared" si="1"/>
        <v>08:58:00</v>
      </c>
      <c r="H693" s="10">
        <f>IFERROR(__xludf.DUMMYFUNCTION("SPLIT(D693,""T"")"),43371.0)</f>
        <v>43371</v>
      </c>
      <c r="I693" s="4" t="str">
        <f>IFERROR(__xludf.DUMMYFUNCTION("""COMPUTED_VALUE"""),"14:44:00Z")</f>
        <v>14:44:00Z</v>
      </c>
      <c r="J693" s="4" t="str">
        <f t="shared" si="2"/>
        <v>14:44:00</v>
      </c>
      <c r="K693" s="4">
        <f t="shared" si="3"/>
        <v>98</v>
      </c>
      <c r="L693" s="4">
        <f t="shared" si="4"/>
        <v>-0.2402777778</v>
      </c>
      <c r="M693" s="4">
        <f t="shared" si="5"/>
        <v>97.75972222</v>
      </c>
    </row>
    <row r="694">
      <c r="A694" s="4" t="s">
        <v>149</v>
      </c>
      <c r="B694" s="4" t="s">
        <v>2972</v>
      </c>
      <c r="C694" s="4" t="s">
        <v>2580</v>
      </c>
      <c r="D694" s="4" t="s">
        <v>2973</v>
      </c>
      <c r="E694" s="10">
        <f>IFERROR(__xludf.DUMMYFUNCTION("SPLIT(B694,""T"")"),43469.0)</f>
        <v>43469</v>
      </c>
      <c r="F694" s="4" t="str">
        <f>IFERROR(__xludf.DUMMYFUNCTION("""COMPUTED_VALUE"""),"08:58:00Z")</f>
        <v>08:58:00Z</v>
      </c>
      <c r="G694" s="11" t="str">
        <f t="shared" si="1"/>
        <v>08:58:00</v>
      </c>
      <c r="H694" s="10">
        <f>IFERROR(__xludf.DUMMYFUNCTION("SPLIT(D694,""T"")"),43372.0)</f>
        <v>43372</v>
      </c>
      <c r="I694" s="4" t="str">
        <f>IFERROR(__xludf.DUMMYFUNCTION("""COMPUTED_VALUE"""),"09:30:00Z")</f>
        <v>09:30:00Z</v>
      </c>
      <c r="J694" s="4" t="str">
        <f t="shared" si="2"/>
        <v>09:30:00</v>
      </c>
      <c r="K694" s="4">
        <f t="shared" si="3"/>
        <v>97</v>
      </c>
      <c r="L694" s="4">
        <f t="shared" si="4"/>
        <v>-0.02222222222</v>
      </c>
      <c r="M694" s="4">
        <f t="shared" si="5"/>
        <v>96.97777778</v>
      </c>
    </row>
    <row r="695">
      <c r="A695" s="4" t="s">
        <v>186</v>
      </c>
      <c r="B695" s="4" t="s">
        <v>2199</v>
      </c>
      <c r="C695" s="4" t="s">
        <v>2219</v>
      </c>
      <c r="D695" s="4" t="s">
        <v>2220</v>
      </c>
      <c r="E695" s="10">
        <f>IFERROR(__xludf.DUMMYFUNCTION("SPLIT(B695,""T"")"),43109.0)</f>
        <v>43109</v>
      </c>
      <c r="F695" s="4" t="str">
        <f>IFERROR(__xludf.DUMMYFUNCTION("""COMPUTED_VALUE"""),"13:29:00Z")</f>
        <v>13:29:00Z</v>
      </c>
      <c r="G695" s="11" t="str">
        <f t="shared" si="1"/>
        <v>13:29:00</v>
      </c>
      <c r="H695" s="10">
        <f>IFERROR(__xludf.DUMMYFUNCTION("SPLIT(D695,""T"")"),43014.0)</f>
        <v>43014</v>
      </c>
      <c r="I695" s="4" t="str">
        <f>IFERROR(__xludf.DUMMYFUNCTION("""COMPUTED_VALUE"""),"14:38:00Z")</f>
        <v>14:38:00Z</v>
      </c>
      <c r="J695" s="4" t="str">
        <f t="shared" si="2"/>
        <v>14:38:00</v>
      </c>
      <c r="K695" s="4">
        <f t="shared" si="3"/>
        <v>95</v>
      </c>
      <c r="L695" s="4">
        <f t="shared" si="4"/>
        <v>-0.04791666667</v>
      </c>
      <c r="M695" s="4">
        <f t="shared" si="5"/>
        <v>94.95208333</v>
      </c>
    </row>
    <row r="696">
      <c r="A696" s="4" t="s">
        <v>114</v>
      </c>
      <c r="B696" s="4" t="s">
        <v>2701</v>
      </c>
      <c r="C696" s="4" t="s">
        <v>2515</v>
      </c>
      <c r="D696" s="4" t="s">
        <v>2906</v>
      </c>
      <c r="E696" s="10">
        <f>IFERROR(__xludf.DUMMYFUNCTION("SPLIT(B696,""T"")"),43469.0)</f>
        <v>43469</v>
      </c>
      <c r="F696" s="4" t="str">
        <f>IFERROR(__xludf.DUMMYFUNCTION("""COMPUTED_VALUE"""),"08:57:00Z")</f>
        <v>08:57:00Z</v>
      </c>
      <c r="G696" s="11" t="str">
        <f t="shared" si="1"/>
        <v>08:57:00</v>
      </c>
      <c r="H696" s="10">
        <f>IFERROR(__xludf.DUMMYFUNCTION("SPLIT(D696,""T"")"),43375.0)</f>
        <v>43375</v>
      </c>
      <c r="I696" s="4" t="str">
        <f>IFERROR(__xludf.DUMMYFUNCTION("""COMPUTED_VALUE"""),"12:32:00Z")</f>
        <v>12:32:00Z</v>
      </c>
      <c r="J696" s="4" t="str">
        <f t="shared" si="2"/>
        <v>12:32:00</v>
      </c>
      <c r="K696" s="4">
        <f t="shared" si="3"/>
        <v>94</v>
      </c>
      <c r="L696" s="4">
        <f t="shared" si="4"/>
        <v>-0.1493055556</v>
      </c>
      <c r="M696" s="4">
        <f t="shared" si="5"/>
        <v>93.85069444</v>
      </c>
    </row>
    <row r="697">
      <c r="A697" s="4" t="s">
        <v>39</v>
      </c>
      <c r="B697" s="4" t="s">
        <v>3107</v>
      </c>
      <c r="C697" s="4" t="s">
        <v>2090</v>
      </c>
      <c r="D697" s="4" t="s">
        <v>3108</v>
      </c>
      <c r="E697" s="10">
        <f>IFERROR(__xludf.DUMMYFUNCTION("SPLIT(B697,""T"")"),43469.0)</f>
        <v>43469</v>
      </c>
      <c r="F697" s="4" t="str">
        <f>IFERROR(__xludf.DUMMYFUNCTION("""COMPUTED_VALUE"""),"09:47:00Z")</f>
        <v>09:47:00Z</v>
      </c>
      <c r="G697" s="11" t="str">
        <f t="shared" si="1"/>
        <v>09:47:00</v>
      </c>
      <c r="H697" s="10">
        <f>IFERROR(__xludf.DUMMYFUNCTION("SPLIT(D697,""T"")"),43375.0)</f>
        <v>43375</v>
      </c>
      <c r="I697" s="4" t="str">
        <f>IFERROR(__xludf.DUMMYFUNCTION("""COMPUTED_VALUE"""),"15:45:00Z")</f>
        <v>15:45:00Z</v>
      </c>
      <c r="J697" s="4" t="str">
        <f t="shared" si="2"/>
        <v>15:45:00</v>
      </c>
      <c r="K697" s="4">
        <f t="shared" si="3"/>
        <v>94</v>
      </c>
      <c r="L697" s="4">
        <f t="shared" si="4"/>
        <v>-0.2486111111</v>
      </c>
      <c r="M697" s="4">
        <f t="shared" si="5"/>
        <v>93.75138889</v>
      </c>
    </row>
    <row r="698">
      <c r="A698" s="4" t="s">
        <v>73</v>
      </c>
      <c r="B698" s="4" t="s">
        <v>2502</v>
      </c>
      <c r="C698" s="4" t="s">
        <v>1375</v>
      </c>
      <c r="D698" s="4" t="s">
        <v>2505</v>
      </c>
      <c r="E698" s="10">
        <f>IFERROR(__xludf.DUMMYFUNCTION("SPLIT(B698,""T"")"),43109.0)</f>
        <v>43109</v>
      </c>
      <c r="F698" s="4" t="str">
        <f>IFERROR(__xludf.DUMMYFUNCTION("""COMPUTED_VALUE"""),"13:30:00Z")</f>
        <v>13:30:00Z</v>
      </c>
      <c r="G698" s="11" t="str">
        <f t="shared" si="1"/>
        <v>13:30:00</v>
      </c>
      <c r="H698" s="10">
        <f>IFERROR(__xludf.DUMMYFUNCTION("SPLIT(D698,""T"")"),43015.0)</f>
        <v>43015</v>
      </c>
      <c r="I698" s="4" t="str">
        <f>IFERROR(__xludf.DUMMYFUNCTION("""COMPUTED_VALUE"""),"20:00:00Z")</f>
        <v>20:00:00Z</v>
      </c>
      <c r="J698" s="4" t="str">
        <f t="shared" si="2"/>
        <v>20:00:00</v>
      </c>
      <c r="K698" s="4">
        <f t="shared" si="3"/>
        <v>94</v>
      </c>
      <c r="L698" s="4">
        <f t="shared" si="4"/>
        <v>-0.2708333333</v>
      </c>
      <c r="M698" s="4">
        <f t="shared" si="5"/>
        <v>93.72916667</v>
      </c>
    </row>
    <row r="699">
      <c r="A699" s="4" t="s">
        <v>58</v>
      </c>
      <c r="B699" s="4" t="s">
        <v>2379</v>
      </c>
      <c r="C699" s="4" t="s">
        <v>2367</v>
      </c>
      <c r="D699" s="4" t="s">
        <v>2380</v>
      </c>
      <c r="E699" s="10">
        <f>IFERROR(__xludf.DUMMYFUNCTION("SPLIT(B699,""T"")"),43109.0)</f>
        <v>43109</v>
      </c>
      <c r="F699" s="4" t="str">
        <f>IFERROR(__xludf.DUMMYFUNCTION("""COMPUTED_VALUE"""),"13:31:00Z")</f>
        <v>13:31:00Z</v>
      </c>
      <c r="G699" s="11" t="str">
        <f t="shared" si="1"/>
        <v>13:31:00</v>
      </c>
      <c r="H699" s="10">
        <f>IFERROR(__xludf.DUMMYFUNCTION("SPLIT(D699,""T"")"),43016.0)</f>
        <v>43016</v>
      </c>
      <c r="I699" s="4" t="str">
        <f>IFERROR(__xludf.DUMMYFUNCTION("""COMPUTED_VALUE"""),"04:53:00Z")</f>
        <v>04:53:00Z</v>
      </c>
      <c r="J699" s="4" t="str">
        <f t="shared" si="2"/>
        <v>04:53:00</v>
      </c>
      <c r="K699" s="4">
        <f t="shared" si="3"/>
        <v>93</v>
      </c>
      <c r="L699" s="4">
        <f t="shared" si="4"/>
        <v>0.3597222222</v>
      </c>
      <c r="M699" s="4">
        <f t="shared" si="5"/>
        <v>93.35972222</v>
      </c>
    </row>
    <row r="700">
      <c r="A700" s="4" t="s">
        <v>54</v>
      </c>
      <c r="B700" s="4" t="s">
        <v>2379</v>
      </c>
      <c r="C700" s="4" t="s">
        <v>776</v>
      </c>
      <c r="D700" s="4" t="s">
        <v>2588</v>
      </c>
      <c r="E700" s="10">
        <f>IFERROR(__xludf.DUMMYFUNCTION("SPLIT(B700,""T"")"),43109.0)</f>
        <v>43109</v>
      </c>
      <c r="F700" s="4" t="str">
        <f>IFERROR(__xludf.DUMMYFUNCTION("""COMPUTED_VALUE"""),"13:31:00Z")</f>
        <v>13:31:00Z</v>
      </c>
      <c r="G700" s="11" t="str">
        <f t="shared" si="1"/>
        <v>13:31:00</v>
      </c>
      <c r="H700" s="10">
        <f>IFERROR(__xludf.DUMMYFUNCTION("SPLIT(D700,""T"")"),43016.0)</f>
        <v>43016</v>
      </c>
      <c r="I700" s="4" t="str">
        <f>IFERROR(__xludf.DUMMYFUNCTION("""COMPUTED_VALUE"""),"12:15:00Z")</f>
        <v>12:15:00Z</v>
      </c>
      <c r="J700" s="4" t="str">
        <f t="shared" si="2"/>
        <v>12:15:00</v>
      </c>
      <c r="K700" s="4">
        <f t="shared" si="3"/>
        <v>93</v>
      </c>
      <c r="L700" s="4">
        <f t="shared" si="4"/>
        <v>0.05277777778</v>
      </c>
      <c r="M700" s="4">
        <f t="shared" si="5"/>
        <v>93.05277778</v>
      </c>
    </row>
    <row r="701">
      <c r="A701" s="4" t="s">
        <v>50</v>
      </c>
      <c r="B701" s="4" t="s">
        <v>2502</v>
      </c>
      <c r="C701" s="4" t="s">
        <v>2503</v>
      </c>
      <c r="D701" s="4" t="s">
        <v>2504</v>
      </c>
      <c r="E701" s="10">
        <f>IFERROR(__xludf.DUMMYFUNCTION("SPLIT(B701,""T"")"),43109.0)</f>
        <v>43109</v>
      </c>
      <c r="F701" s="4" t="str">
        <f>IFERROR(__xludf.DUMMYFUNCTION("""COMPUTED_VALUE"""),"13:30:00Z")</f>
        <v>13:30:00Z</v>
      </c>
      <c r="G701" s="11" t="str">
        <f t="shared" si="1"/>
        <v>13:30:00</v>
      </c>
      <c r="H701" s="10">
        <f>IFERROR(__xludf.DUMMYFUNCTION("SPLIT(D701,""T"")"),43016.0)</f>
        <v>43016</v>
      </c>
      <c r="I701" s="4" t="str">
        <f>IFERROR(__xludf.DUMMYFUNCTION("""COMPUTED_VALUE"""),"16:40:00Z")</f>
        <v>16:40:00Z</v>
      </c>
      <c r="J701" s="4" t="str">
        <f t="shared" si="2"/>
        <v>16:40:00</v>
      </c>
      <c r="K701" s="4">
        <f t="shared" si="3"/>
        <v>93</v>
      </c>
      <c r="L701" s="4">
        <f t="shared" si="4"/>
        <v>-0.1319444444</v>
      </c>
      <c r="M701" s="4">
        <f t="shared" si="5"/>
        <v>92.86805556</v>
      </c>
    </row>
    <row r="702">
      <c r="A702" s="4" t="s">
        <v>166</v>
      </c>
      <c r="B702" s="4" t="s">
        <v>1897</v>
      </c>
      <c r="C702" s="4" t="s">
        <v>2623</v>
      </c>
      <c r="D702" s="4" t="s">
        <v>2624</v>
      </c>
      <c r="E702" s="10">
        <f>IFERROR(__xludf.DUMMYFUNCTION("SPLIT(B702,""T"")"),43109.0)</f>
        <v>43109</v>
      </c>
      <c r="F702" s="4" t="str">
        <f>IFERROR(__xludf.DUMMYFUNCTION("""COMPUTED_VALUE"""),"13:33:00Z")</f>
        <v>13:33:00Z</v>
      </c>
      <c r="G702" s="11" t="str">
        <f t="shared" si="1"/>
        <v>13:33:00</v>
      </c>
      <c r="H702" s="10">
        <f>IFERROR(__xludf.DUMMYFUNCTION("SPLIT(D702,""T"")"),43016.0)</f>
        <v>43016</v>
      </c>
      <c r="I702" s="4" t="str">
        <f>IFERROR(__xludf.DUMMYFUNCTION("""COMPUTED_VALUE"""),"23:48:00Z")</f>
        <v>23:48:00Z</v>
      </c>
      <c r="J702" s="4" t="str">
        <f t="shared" si="2"/>
        <v>23:48:00</v>
      </c>
      <c r="K702" s="4">
        <f t="shared" si="3"/>
        <v>93</v>
      </c>
      <c r="L702" s="4">
        <f t="shared" si="4"/>
        <v>-0.4270833333</v>
      </c>
      <c r="M702" s="4">
        <f t="shared" si="5"/>
        <v>92.57291667</v>
      </c>
    </row>
    <row r="703">
      <c r="A703" s="4" t="s">
        <v>73</v>
      </c>
      <c r="B703" s="4" t="s">
        <v>1897</v>
      </c>
      <c r="C703" s="4" t="s">
        <v>1898</v>
      </c>
      <c r="D703" s="4" t="s">
        <v>1899</v>
      </c>
      <c r="E703" s="10">
        <f>IFERROR(__xludf.DUMMYFUNCTION("SPLIT(B703,""T"")"),43109.0)</f>
        <v>43109</v>
      </c>
      <c r="F703" s="4" t="str">
        <f>IFERROR(__xludf.DUMMYFUNCTION("""COMPUTED_VALUE"""),"13:33:00Z")</f>
        <v>13:33:00Z</v>
      </c>
      <c r="G703" s="11" t="str">
        <f t="shared" si="1"/>
        <v>13:33:00</v>
      </c>
      <c r="H703" s="10">
        <f>IFERROR(__xludf.DUMMYFUNCTION("SPLIT(D703,""T"")"),43017.0)</f>
        <v>43017</v>
      </c>
      <c r="I703" s="4" t="str">
        <f>IFERROR(__xludf.DUMMYFUNCTION("""COMPUTED_VALUE"""),"01:00:00Z")</f>
        <v>01:00:00Z</v>
      </c>
      <c r="J703" s="4" t="str">
        <f t="shared" si="2"/>
        <v>01:00:00</v>
      </c>
      <c r="K703" s="4">
        <f t="shared" si="3"/>
        <v>92</v>
      </c>
      <c r="L703" s="4">
        <f t="shared" si="4"/>
        <v>0.5229166667</v>
      </c>
      <c r="M703" s="4">
        <f t="shared" si="5"/>
        <v>92.52291667</v>
      </c>
    </row>
    <row r="704">
      <c r="A704" s="4" t="s">
        <v>411</v>
      </c>
      <c r="B704" s="4" t="s">
        <v>1897</v>
      </c>
      <c r="C704" s="4" t="s">
        <v>1131</v>
      </c>
      <c r="D704" s="4" t="s">
        <v>2152</v>
      </c>
      <c r="E704" s="10">
        <f>IFERROR(__xludf.DUMMYFUNCTION("SPLIT(B704,""T"")"),43109.0)</f>
        <v>43109</v>
      </c>
      <c r="F704" s="4" t="str">
        <f>IFERROR(__xludf.DUMMYFUNCTION("""COMPUTED_VALUE"""),"13:33:00Z")</f>
        <v>13:33:00Z</v>
      </c>
      <c r="G704" s="11" t="str">
        <f t="shared" si="1"/>
        <v>13:33:00</v>
      </c>
      <c r="H704" s="10">
        <f>IFERROR(__xludf.DUMMYFUNCTION("SPLIT(D704,""T"")"),43017.0)</f>
        <v>43017</v>
      </c>
      <c r="I704" s="4" t="str">
        <f>IFERROR(__xludf.DUMMYFUNCTION("""COMPUTED_VALUE"""),"01:10:00Z")</f>
        <v>01:10:00Z</v>
      </c>
      <c r="J704" s="4" t="str">
        <f t="shared" si="2"/>
        <v>01:10:00</v>
      </c>
      <c r="K704" s="4">
        <f t="shared" si="3"/>
        <v>92</v>
      </c>
      <c r="L704" s="4">
        <f t="shared" si="4"/>
        <v>0.5159722222</v>
      </c>
      <c r="M704" s="4">
        <f t="shared" si="5"/>
        <v>92.51597222</v>
      </c>
    </row>
    <row r="705">
      <c r="A705" s="4" t="s">
        <v>73</v>
      </c>
      <c r="B705" s="4" t="s">
        <v>1907</v>
      </c>
      <c r="C705" s="4" t="s">
        <v>2621</v>
      </c>
      <c r="D705" s="4" t="s">
        <v>2622</v>
      </c>
      <c r="E705" s="10">
        <f>IFERROR(__xludf.DUMMYFUNCTION("SPLIT(B705,""T"")"),43109.0)</f>
        <v>43109</v>
      </c>
      <c r="F705" s="4" t="str">
        <f>IFERROR(__xludf.DUMMYFUNCTION("""COMPUTED_VALUE"""),"13:34:00Z")</f>
        <v>13:34:00Z</v>
      </c>
      <c r="G705" s="11" t="str">
        <f t="shared" si="1"/>
        <v>13:34:00</v>
      </c>
      <c r="H705" s="10">
        <f>IFERROR(__xludf.DUMMYFUNCTION("SPLIT(D705,""T"")"),43017.0)</f>
        <v>43017</v>
      </c>
      <c r="I705" s="4" t="str">
        <f>IFERROR(__xludf.DUMMYFUNCTION("""COMPUTED_VALUE"""),"01:30:00Z")</f>
        <v>01:30:00Z</v>
      </c>
      <c r="J705" s="4" t="str">
        <f t="shared" si="2"/>
        <v>01:30:00</v>
      </c>
      <c r="K705" s="4">
        <f t="shared" si="3"/>
        <v>92</v>
      </c>
      <c r="L705" s="4">
        <f t="shared" si="4"/>
        <v>0.5027777778</v>
      </c>
      <c r="M705" s="4">
        <f t="shared" si="5"/>
        <v>92.50277778</v>
      </c>
    </row>
    <row r="706">
      <c r="A706" s="4" t="s">
        <v>73</v>
      </c>
      <c r="B706" s="4" t="s">
        <v>1907</v>
      </c>
      <c r="C706" s="4" t="s">
        <v>1908</v>
      </c>
      <c r="D706" s="4" t="s">
        <v>1909</v>
      </c>
      <c r="E706" s="10">
        <f>IFERROR(__xludf.DUMMYFUNCTION("SPLIT(B706,""T"")"),43109.0)</f>
        <v>43109</v>
      </c>
      <c r="F706" s="4" t="str">
        <f>IFERROR(__xludf.DUMMYFUNCTION("""COMPUTED_VALUE"""),"13:34:00Z")</f>
        <v>13:34:00Z</v>
      </c>
      <c r="G706" s="11" t="str">
        <f t="shared" si="1"/>
        <v>13:34:00</v>
      </c>
      <c r="H706" s="10">
        <f>IFERROR(__xludf.DUMMYFUNCTION("SPLIT(D706,""T"")"),43017.0)</f>
        <v>43017</v>
      </c>
      <c r="I706" s="4" t="str">
        <f>IFERROR(__xludf.DUMMYFUNCTION("""COMPUTED_VALUE"""),"14:00:00Z")</f>
        <v>14:00:00Z</v>
      </c>
      <c r="J706" s="4" t="str">
        <f t="shared" si="2"/>
        <v>14:00:00</v>
      </c>
      <c r="K706" s="4">
        <f t="shared" si="3"/>
        <v>92</v>
      </c>
      <c r="L706" s="4">
        <f t="shared" si="4"/>
        <v>-0.01805555556</v>
      </c>
      <c r="M706" s="4">
        <f t="shared" si="5"/>
        <v>91.98194444</v>
      </c>
    </row>
    <row r="707">
      <c r="A707" s="4" t="s">
        <v>149</v>
      </c>
      <c r="B707" s="4" t="s">
        <v>1907</v>
      </c>
      <c r="C707" s="4" t="s">
        <v>2352</v>
      </c>
      <c r="D707" s="4" t="s">
        <v>2353</v>
      </c>
      <c r="E707" s="10">
        <f>IFERROR(__xludf.DUMMYFUNCTION("SPLIT(B707,""T"")"),43109.0)</f>
        <v>43109</v>
      </c>
      <c r="F707" s="4" t="str">
        <f>IFERROR(__xludf.DUMMYFUNCTION("""COMPUTED_VALUE"""),"13:34:00Z")</f>
        <v>13:34:00Z</v>
      </c>
      <c r="G707" s="11" t="str">
        <f t="shared" si="1"/>
        <v>13:34:00</v>
      </c>
      <c r="H707" s="10">
        <f>IFERROR(__xludf.DUMMYFUNCTION("SPLIT(D707,""T"")"),43017.0)</f>
        <v>43017</v>
      </c>
      <c r="I707" s="4" t="str">
        <f>IFERROR(__xludf.DUMMYFUNCTION("""COMPUTED_VALUE"""),"14:30:00Z")</f>
        <v>14:30:00Z</v>
      </c>
      <c r="J707" s="4" t="str">
        <f t="shared" si="2"/>
        <v>14:30:00</v>
      </c>
      <c r="K707" s="4">
        <f t="shared" si="3"/>
        <v>92</v>
      </c>
      <c r="L707" s="4">
        <f t="shared" si="4"/>
        <v>-0.03888888889</v>
      </c>
      <c r="M707" s="4">
        <f t="shared" si="5"/>
        <v>91.96111111</v>
      </c>
    </row>
    <row r="708">
      <c r="A708" s="4" t="s">
        <v>87</v>
      </c>
      <c r="B708" s="4" t="s">
        <v>1907</v>
      </c>
      <c r="C708" s="4" t="s">
        <v>471</v>
      </c>
      <c r="D708" s="4" t="s">
        <v>2130</v>
      </c>
      <c r="E708" s="10">
        <f>IFERROR(__xludf.DUMMYFUNCTION("SPLIT(B708,""T"")"),43109.0)</f>
        <v>43109</v>
      </c>
      <c r="F708" s="4" t="str">
        <f>IFERROR(__xludf.DUMMYFUNCTION("""COMPUTED_VALUE"""),"13:34:00Z")</f>
        <v>13:34:00Z</v>
      </c>
      <c r="G708" s="11" t="str">
        <f t="shared" si="1"/>
        <v>13:34:00</v>
      </c>
      <c r="H708" s="10">
        <f>IFERROR(__xludf.DUMMYFUNCTION("SPLIT(D708,""T"")"),43017.0)</f>
        <v>43017</v>
      </c>
      <c r="I708" s="4" t="str">
        <f>IFERROR(__xludf.DUMMYFUNCTION("""COMPUTED_VALUE"""),"15:05:00Z")</f>
        <v>15:05:00Z</v>
      </c>
      <c r="J708" s="4" t="str">
        <f t="shared" si="2"/>
        <v>15:05:00</v>
      </c>
      <c r="K708" s="4">
        <f t="shared" si="3"/>
        <v>92</v>
      </c>
      <c r="L708" s="4">
        <f t="shared" si="4"/>
        <v>-0.06319444444</v>
      </c>
      <c r="M708" s="4">
        <f t="shared" si="5"/>
        <v>91.93680556</v>
      </c>
    </row>
    <row r="709">
      <c r="A709" s="4" t="s">
        <v>388</v>
      </c>
      <c r="B709" s="4" t="s">
        <v>1897</v>
      </c>
      <c r="C709" s="4" t="s">
        <v>1928</v>
      </c>
      <c r="D709" s="4" t="s">
        <v>2519</v>
      </c>
      <c r="E709" s="10">
        <f>IFERROR(__xludf.DUMMYFUNCTION("SPLIT(B709,""T"")"),43109.0)</f>
        <v>43109</v>
      </c>
      <c r="F709" s="4" t="str">
        <f>IFERROR(__xludf.DUMMYFUNCTION("""COMPUTED_VALUE"""),"13:33:00Z")</f>
        <v>13:33:00Z</v>
      </c>
      <c r="G709" s="11" t="str">
        <f t="shared" si="1"/>
        <v>13:33:00</v>
      </c>
      <c r="H709" s="10">
        <f>IFERROR(__xludf.DUMMYFUNCTION("SPLIT(D709,""T"")"),43018.0)</f>
        <v>43018</v>
      </c>
      <c r="I709" s="4" t="str">
        <f>IFERROR(__xludf.DUMMYFUNCTION("""COMPUTED_VALUE"""),"12:30:00Z")</f>
        <v>12:30:00Z</v>
      </c>
      <c r="J709" s="4" t="str">
        <f t="shared" si="2"/>
        <v>12:30:00</v>
      </c>
      <c r="K709" s="4">
        <f t="shared" si="3"/>
        <v>91</v>
      </c>
      <c r="L709" s="4">
        <f t="shared" si="4"/>
        <v>0.04375</v>
      </c>
      <c r="M709" s="4">
        <f t="shared" si="5"/>
        <v>91.04375</v>
      </c>
    </row>
    <row r="710">
      <c r="A710" s="4" t="s">
        <v>27</v>
      </c>
      <c r="B710" s="4" t="s">
        <v>2485</v>
      </c>
      <c r="C710" s="4" t="s">
        <v>2486</v>
      </c>
      <c r="D710" s="4" t="s">
        <v>2487</v>
      </c>
      <c r="E710" s="10">
        <f>IFERROR(__xludf.DUMMYFUNCTION("SPLIT(B710,""T"")"),43109.0)</f>
        <v>43109</v>
      </c>
      <c r="F710" s="4" t="str">
        <f>IFERROR(__xludf.DUMMYFUNCTION("""COMPUTED_VALUE"""),"13:32:00Z")</f>
        <v>13:32:00Z</v>
      </c>
      <c r="G710" s="11" t="str">
        <f t="shared" si="1"/>
        <v>13:32:00</v>
      </c>
      <c r="H710" s="10">
        <f>IFERROR(__xludf.DUMMYFUNCTION("SPLIT(D710,""T"")"),43018.0)</f>
        <v>43018</v>
      </c>
      <c r="I710" s="4" t="str">
        <f>IFERROR(__xludf.DUMMYFUNCTION("""COMPUTED_VALUE"""),"14:57:00Z")</f>
        <v>14:57:00Z</v>
      </c>
      <c r="J710" s="4" t="str">
        <f t="shared" si="2"/>
        <v>14:57:00</v>
      </c>
      <c r="K710" s="4">
        <f t="shared" si="3"/>
        <v>91</v>
      </c>
      <c r="L710" s="4">
        <f t="shared" si="4"/>
        <v>-0.05902777778</v>
      </c>
      <c r="M710" s="4">
        <f t="shared" si="5"/>
        <v>90.94097222</v>
      </c>
    </row>
    <row r="711">
      <c r="A711" s="4" t="s">
        <v>130</v>
      </c>
      <c r="B711" s="4" t="s">
        <v>2445</v>
      </c>
      <c r="C711" s="4" t="s">
        <v>2446</v>
      </c>
      <c r="D711" s="4" t="s">
        <v>2447</v>
      </c>
      <c r="E711" s="10">
        <f>IFERROR(__xludf.DUMMYFUNCTION("SPLIT(B711,""T"")"),43109.0)</f>
        <v>43109</v>
      </c>
      <c r="F711" s="4" t="str">
        <f>IFERROR(__xludf.DUMMYFUNCTION("""COMPUTED_VALUE"""),"13:35:00Z")</f>
        <v>13:35:00Z</v>
      </c>
      <c r="G711" s="11" t="str">
        <f t="shared" si="1"/>
        <v>13:35:00</v>
      </c>
      <c r="H711" s="10">
        <f>IFERROR(__xludf.DUMMYFUNCTION("SPLIT(D711,""T"")"),43018.0)</f>
        <v>43018</v>
      </c>
      <c r="I711" s="4" t="str">
        <f>IFERROR(__xludf.DUMMYFUNCTION("""COMPUTED_VALUE"""),"15:36:00Z")</f>
        <v>15:36:00Z</v>
      </c>
      <c r="J711" s="4" t="str">
        <f t="shared" si="2"/>
        <v>15:36:00</v>
      </c>
      <c r="K711" s="4">
        <f t="shared" si="3"/>
        <v>91</v>
      </c>
      <c r="L711" s="4">
        <f t="shared" si="4"/>
        <v>-0.08402777778</v>
      </c>
      <c r="M711" s="4">
        <f t="shared" si="5"/>
        <v>90.91597222</v>
      </c>
    </row>
    <row r="712">
      <c r="A712" s="4" t="s">
        <v>39</v>
      </c>
      <c r="B712" s="4" t="s">
        <v>2020</v>
      </c>
      <c r="C712" s="4" t="s">
        <v>44</v>
      </c>
      <c r="D712" s="4" t="s">
        <v>2294</v>
      </c>
      <c r="E712" s="10">
        <f>IFERROR(__xludf.DUMMYFUNCTION("SPLIT(B712,""T"")"),43109.0)</f>
        <v>43109</v>
      </c>
      <c r="F712" s="4" t="str">
        <f>IFERROR(__xludf.DUMMYFUNCTION("""COMPUTED_VALUE"""),"13:36:00Z")</f>
        <v>13:36:00Z</v>
      </c>
      <c r="G712" s="11" t="str">
        <f t="shared" si="1"/>
        <v>13:36:00</v>
      </c>
      <c r="H712" s="10">
        <f>IFERROR(__xludf.DUMMYFUNCTION("SPLIT(D712,""T"")"),43019.0)</f>
        <v>43019</v>
      </c>
      <c r="I712" s="4" t="str">
        <f>IFERROR(__xludf.DUMMYFUNCTION("""COMPUTED_VALUE"""),"15:59:00Z")</f>
        <v>15:59:00Z</v>
      </c>
      <c r="J712" s="4" t="str">
        <f t="shared" si="2"/>
        <v>15:59:00</v>
      </c>
      <c r="K712" s="4">
        <f t="shared" si="3"/>
        <v>90</v>
      </c>
      <c r="L712" s="4">
        <f t="shared" si="4"/>
        <v>-0.09930555556</v>
      </c>
      <c r="M712" s="4">
        <f t="shared" si="5"/>
        <v>89.90069444</v>
      </c>
    </row>
    <row r="713">
      <c r="A713" s="4" t="s">
        <v>69</v>
      </c>
      <c r="B713" s="4" t="s">
        <v>2020</v>
      </c>
      <c r="C713" s="4" t="s">
        <v>2108</v>
      </c>
      <c r="D713" s="4" t="s">
        <v>2109</v>
      </c>
      <c r="E713" s="10">
        <f>IFERROR(__xludf.DUMMYFUNCTION("SPLIT(B713,""T"")"),43109.0)</f>
        <v>43109</v>
      </c>
      <c r="F713" s="4" t="str">
        <f>IFERROR(__xludf.DUMMYFUNCTION("""COMPUTED_VALUE"""),"13:36:00Z")</f>
        <v>13:36:00Z</v>
      </c>
      <c r="G713" s="11" t="str">
        <f t="shared" si="1"/>
        <v>13:36:00</v>
      </c>
      <c r="H713" s="10">
        <f>IFERROR(__xludf.DUMMYFUNCTION("SPLIT(D713,""T"")"),43020.0)</f>
        <v>43020</v>
      </c>
      <c r="I713" s="4" t="str">
        <f>IFERROR(__xludf.DUMMYFUNCTION("""COMPUTED_VALUE"""),"10:42:00Z")</f>
        <v>10:42:00Z</v>
      </c>
      <c r="J713" s="4" t="str">
        <f t="shared" si="2"/>
        <v>10:42:00</v>
      </c>
      <c r="K713" s="4">
        <f t="shared" si="3"/>
        <v>89</v>
      </c>
      <c r="L713" s="4">
        <f t="shared" si="4"/>
        <v>0.1208333333</v>
      </c>
      <c r="M713" s="4">
        <f t="shared" si="5"/>
        <v>89.12083333</v>
      </c>
    </row>
    <row r="714">
      <c r="A714" s="4" t="s">
        <v>54</v>
      </c>
      <c r="B714" s="4" t="s">
        <v>2701</v>
      </c>
      <c r="C714" s="4" t="s">
        <v>2707</v>
      </c>
      <c r="D714" s="4" t="s">
        <v>2708</v>
      </c>
      <c r="E714" s="10">
        <f>IFERROR(__xludf.DUMMYFUNCTION("SPLIT(B714,""T"")"),43469.0)</f>
        <v>43469</v>
      </c>
      <c r="F714" s="4" t="str">
        <f>IFERROR(__xludf.DUMMYFUNCTION("""COMPUTED_VALUE"""),"08:57:00Z")</f>
        <v>08:57:00Z</v>
      </c>
      <c r="G714" s="11" t="str">
        <f t="shared" si="1"/>
        <v>08:57:00</v>
      </c>
      <c r="H714" s="10">
        <f>IFERROR(__xludf.DUMMYFUNCTION("SPLIT(D714,""T"")"),43380.0)</f>
        <v>43380</v>
      </c>
      <c r="I714" s="4" t="str">
        <f>IFERROR(__xludf.DUMMYFUNCTION("""COMPUTED_VALUE"""),"12:51:00Z")</f>
        <v>12:51:00Z</v>
      </c>
      <c r="J714" s="4" t="str">
        <f t="shared" si="2"/>
        <v>12:51:00</v>
      </c>
      <c r="K714" s="4">
        <f t="shared" si="3"/>
        <v>89</v>
      </c>
      <c r="L714" s="4">
        <f t="shared" si="4"/>
        <v>-0.1625</v>
      </c>
      <c r="M714" s="4">
        <f t="shared" si="5"/>
        <v>88.8375</v>
      </c>
    </row>
    <row r="715">
      <c r="A715" s="4" t="s">
        <v>401</v>
      </c>
      <c r="B715" s="4" t="s">
        <v>2701</v>
      </c>
      <c r="C715" s="4" t="s">
        <v>1209</v>
      </c>
      <c r="D715" s="4" t="s">
        <v>3006</v>
      </c>
      <c r="E715" s="10">
        <f>IFERROR(__xludf.DUMMYFUNCTION("SPLIT(B715,""T"")"),43469.0)</f>
        <v>43469</v>
      </c>
      <c r="F715" s="4" t="str">
        <f>IFERROR(__xludf.DUMMYFUNCTION("""COMPUTED_VALUE"""),"08:57:00Z")</f>
        <v>08:57:00Z</v>
      </c>
      <c r="G715" s="11" t="str">
        <f t="shared" si="1"/>
        <v>08:57:00</v>
      </c>
      <c r="H715" s="10">
        <f>IFERROR(__xludf.DUMMYFUNCTION("SPLIT(D715,""T"")"),43380.0)</f>
        <v>43380</v>
      </c>
      <c r="I715" s="4" t="str">
        <f>IFERROR(__xludf.DUMMYFUNCTION("""COMPUTED_VALUE"""),"12:57:00Z")</f>
        <v>12:57:00Z</v>
      </c>
      <c r="J715" s="4" t="str">
        <f t="shared" si="2"/>
        <v>12:57:00</v>
      </c>
      <c r="K715" s="4">
        <f t="shared" si="3"/>
        <v>89</v>
      </c>
      <c r="L715" s="4">
        <f t="shared" si="4"/>
        <v>-0.1666666667</v>
      </c>
      <c r="M715" s="4">
        <f t="shared" si="5"/>
        <v>88.83333333</v>
      </c>
    </row>
    <row r="716">
      <c r="A716" s="4" t="s">
        <v>278</v>
      </c>
      <c r="B716" s="4" t="s">
        <v>2701</v>
      </c>
      <c r="C716" s="4" t="s">
        <v>2702</v>
      </c>
      <c r="D716" s="4" t="s">
        <v>2703</v>
      </c>
      <c r="E716" s="10">
        <f>IFERROR(__xludf.DUMMYFUNCTION("SPLIT(B716,""T"")"),43469.0)</f>
        <v>43469</v>
      </c>
      <c r="F716" s="4" t="str">
        <f>IFERROR(__xludf.DUMMYFUNCTION("""COMPUTED_VALUE"""),"08:57:00Z")</f>
        <v>08:57:00Z</v>
      </c>
      <c r="G716" s="11" t="str">
        <f t="shared" si="1"/>
        <v>08:57:00</v>
      </c>
      <c r="H716" s="10">
        <f>IFERROR(__xludf.DUMMYFUNCTION("SPLIT(D716,""T"")"),43380.0)</f>
        <v>43380</v>
      </c>
      <c r="I716" s="4" t="str">
        <f>IFERROR(__xludf.DUMMYFUNCTION("""COMPUTED_VALUE"""),"13:00:00Z")</f>
        <v>13:00:00Z</v>
      </c>
      <c r="J716" s="4" t="str">
        <f t="shared" si="2"/>
        <v>13:00:00</v>
      </c>
      <c r="K716" s="4">
        <f t="shared" si="3"/>
        <v>89</v>
      </c>
      <c r="L716" s="4">
        <f t="shared" si="4"/>
        <v>-0.16875</v>
      </c>
      <c r="M716" s="4">
        <f t="shared" si="5"/>
        <v>88.83125</v>
      </c>
    </row>
    <row r="717">
      <c r="A717" s="4" t="s">
        <v>149</v>
      </c>
      <c r="B717" s="4" t="s">
        <v>2258</v>
      </c>
      <c r="C717" s="4" t="s">
        <v>2259</v>
      </c>
      <c r="D717" s="4" t="s">
        <v>2260</v>
      </c>
      <c r="E717" s="10">
        <f>IFERROR(__xludf.DUMMYFUNCTION("SPLIT(B717,""T"")"),43109.0)</f>
        <v>43109</v>
      </c>
      <c r="F717" s="4" t="str">
        <f>IFERROR(__xludf.DUMMYFUNCTION("""COMPUTED_VALUE"""),"13:37:00Z")</f>
        <v>13:37:00Z</v>
      </c>
      <c r="G717" s="11" t="str">
        <f t="shared" si="1"/>
        <v>13:37:00</v>
      </c>
      <c r="H717" s="10">
        <f>IFERROR(__xludf.DUMMYFUNCTION("SPLIT(D717,""T"")"),43021.0)</f>
        <v>43021</v>
      </c>
      <c r="I717" s="4" t="str">
        <f>IFERROR(__xludf.DUMMYFUNCTION("""COMPUTED_VALUE"""),"12:14:00Z")</f>
        <v>12:14:00Z</v>
      </c>
      <c r="J717" s="4" t="str">
        <f t="shared" si="2"/>
        <v>12:14:00</v>
      </c>
      <c r="K717" s="4">
        <f t="shared" si="3"/>
        <v>88</v>
      </c>
      <c r="L717" s="4">
        <f t="shared" si="4"/>
        <v>0.05763888889</v>
      </c>
      <c r="M717" s="4">
        <f t="shared" si="5"/>
        <v>88.05763889</v>
      </c>
    </row>
    <row r="718">
      <c r="A718" s="4" t="s">
        <v>130</v>
      </c>
      <c r="B718" s="4" t="s">
        <v>2020</v>
      </c>
      <c r="C718" s="4" t="s">
        <v>1711</v>
      </c>
      <c r="D718" s="4" t="s">
        <v>2021</v>
      </c>
      <c r="E718" s="10">
        <f>IFERROR(__xludf.DUMMYFUNCTION("SPLIT(B718,""T"")"),43109.0)</f>
        <v>43109</v>
      </c>
      <c r="F718" s="4" t="str">
        <f>IFERROR(__xludf.DUMMYFUNCTION("""COMPUTED_VALUE"""),"13:36:00Z")</f>
        <v>13:36:00Z</v>
      </c>
      <c r="G718" s="11" t="str">
        <f t="shared" si="1"/>
        <v>13:36:00</v>
      </c>
      <c r="H718" s="10">
        <f>IFERROR(__xludf.DUMMYFUNCTION("SPLIT(D718,""T"")"),43021.0)</f>
        <v>43021</v>
      </c>
      <c r="I718" s="4" t="str">
        <f>IFERROR(__xludf.DUMMYFUNCTION("""COMPUTED_VALUE"""),"13:16:00Z")</f>
        <v>13:16:00Z</v>
      </c>
      <c r="J718" s="4" t="str">
        <f t="shared" si="2"/>
        <v>13:16:00</v>
      </c>
      <c r="K718" s="4">
        <f t="shared" si="3"/>
        <v>88</v>
      </c>
      <c r="L718" s="4">
        <f t="shared" si="4"/>
        <v>0.01388888889</v>
      </c>
      <c r="M718" s="4">
        <f t="shared" si="5"/>
        <v>88.01388889</v>
      </c>
    </row>
    <row r="719">
      <c r="A719" s="4" t="s">
        <v>62</v>
      </c>
      <c r="B719" s="4" t="s">
        <v>2196</v>
      </c>
      <c r="C719" s="4" t="s">
        <v>1307</v>
      </c>
      <c r="D719" s="4" t="s">
        <v>2234</v>
      </c>
      <c r="E719" s="10">
        <f>IFERROR(__xludf.DUMMYFUNCTION("SPLIT(B719,""T"")"),43109.0)</f>
        <v>43109</v>
      </c>
      <c r="F719" s="4" t="str">
        <f>IFERROR(__xludf.DUMMYFUNCTION("""COMPUTED_VALUE"""),"13:38:00Z")</f>
        <v>13:38:00Z</v>
      </c>
      <c r="G719" s="11" t="str">
        <f t="shared" si="1"/>
        <v>13:38:00</v>
      </c>
      <c r="H719" s="10">
        <f>IFERROR(__xludf.DUMMYFUNCTION("SPLIT(D719,""T"")"),43021.0)</f>
        <v>43021</v>
      </c>
      <c r="I719" s="4" t="str">
        <f>IFERROR(__xludf.DUMMYFUNCTION("""COMPUTED_VALUE"""),"15:40:00Z")</f>
        <v>15:40:00Z</v>
      </c>
      <c r="J719" s="4" t="str">
        <f t="shared" si="2"/>
        <v>15:40:00</v>
      </c>
      <c r="K719" s="4">
        <f t="shared" si="3"/>
        <v>88</v>
      </c>
      <c r="L719" s="4">
        <f t="shared" si="4"/>
        <v>-0.08472222222</v>
      </c>
      <c r="M719" s="4">
        <f t="shared" si="5"/>
        <v>87.91527778</v>
      </c>
    </row>
    <row r="720">
      <c r="A720" s="4" t="s">
        <v>54</v>
      </c>
      <c r="B720" s="4" t="s">
        <v>3331</v>
      </c>
      <c r="C720" s="4" t="s">
        <v>2831</v>
      </c>
      <c r="D720" s="4" t="s">
        <v>3332</v>
      </c>
      <c r="E720" s="10">
        <f>IFERROR(__xludf.DUMMYFUNCTION("SPLIT(B720,""T"")"),43801.0)</f>
        <v>43801</v>
      </c>
      <c r="F720" s="4" t="str">
        <f>IFERROR(__xludf.DUMMYFUNCTION("""COMPUTED_VALUE"""),"16:12:00Z")</f>
        <v>16:12:00Z</v>
      </c>
      <c r="G720" s="11" t="str">
        <f t="shared" si="1"/>
        <v>16:12:00</v>
      </c>
      <c r="H720" s="10">
        <f>IFERROR(__xludf.DUMMYFUNCTION("SPLIT(D720,""T"")"),43713.0)</f>
        <v>43713</v>
      </c>
      <c r="I720" s="4" t="str">
        <f>IFERROR(__xludf.DUMMYFUNCTION("""COMPUTED_VALUE"""),"19:59:46Z")</f>
        <v>19:59:46Z</v>
      </c>
      <c r="J720" s="4" t="str">
        <f t="shared" si="2"/>
        <v>19:59:46</v>
      </c>
      <c r="K720" s="4">
        <f t="shared" si="3"/>
        <v>88</v>
      </c>
      <c r="L720" s="4">
        <f t="shared" si="4"/>
        <v>-0.1581712963</v>
      </c>
      <c r="M720" s="4">
        <f t="shared" si="5"/>
        <v>87.8418287</v>
      </c>
    </row>
    <row r="721">
      <c r="A721" s="4" t="s">
        <v>186</v>
      </c>
      <c r="B721" s="4" t="s">
        <v>2196</v>
      </c>
      <c r="C721" s="4" t="s">
        <v>2197</v>
      </c>
      <c r="D721" s="4" t="s">
        <v>2198</v>
      </c>
      <c r="E721" s="10">
        <f>IFERROR(__xludf.DUMMYFUNCTION("SPLIT(B721,""T"")"),43109.0)</f>
        <v>43109</v>
      </c>
      <c r="F721" s="4" t="str">
        <f>IFERROR(__xludf.DUMMYFUNCTION("""COMPUTED_VALUE"""),"13:38:00Z")</f>
        <v>13:38:00Z</v>
      </c>
      <c r="G721" s="11" t="str">
        <f t="shared" si="1"/>
        <v>13:38:00</v>
      </c>
      <c r="H721" s="10">
        <f>IFERROR(__xludf.DUMMYFUNCTION("SPLIT(D721,""T"")"),43022.0)</f>
        <v>43022</v>
      </c>
      <c r="I721" s="4" t="str">
        <f>IFERROR(__xludf.DUMMYFUNCTION("""COMPUTED_VALUE"""),"05:00:00Z")</f>
        <v>05:00:00Z</v>
      </c>
      <c r="J721" s="4" t="str">
        <f t="shared" si="2"/>
        <v>05:00:00</v>
      </c>
      <c r="K721" s="4">
        <f t="shared" si="3"/>
        <v>87</v>
      </c>
      <c r="L721" s="4">
        <f t="shared" si="4"/>
        <v>0.3597222222</v>
      </c>
      <c r="M721" s="4">
        <f t="shared" si="5"/>
        <v>87.35972222</v>
      </c>
    </row>
    <row r="722">
      <c r="A722" s="4" t="s">
        <v>630</v>
      </c>
      <c r="B722" s="4" t="s">
        <v>2020</v>
      </c>
      <c r="C722" s="4" t="s">
        <v>164</v>
      </c>
      <c r="D722" s="4" t="s">
        <v>2140</v>
      </c>
      <c r="E722" s="10">
        <f>IFERROR(__xludf.DUMMYFUNCTION("SPLIT(B722,""T"")"),43109.0)</f>
        <v>43109</v>
      </c>
      <c r="F722" s="4" t="str">
        <f>IFERROR(__xludf.DUMMYFUNCTION("""COMPUTED_VALUE"""),"13:36:00Z")</f>
        <v>13:36:00Z</v>
      </c>
      <c r="G722" s="11" t="str">
        <f t="shared" si="1"/>
        <v>13:36:00</v>
      </c>
      <c r="H722" s="10">
        <f>IFERROR(__xludf.DUMMYFUNCTION("SPLIT(D722,""T"")"),43022.0)</f>
        <v>43022</v>
      </c>
      <c r="I722" s="4" t="str">
        <f>IFERROR(__xludf.DUMMYFUNCTION("""COMPUTED_VALUE"""),"16:00:00Z")</f>
        <v>16:00:00Z</v>
      </c>
      <c r="J722" s="4" t="str">
        <f t="shared" si="2"/>
        <v>16:00:00</v>
      </c>
      <c r="K722" s="4">
        <f t="shared" si="3"/>
        <v>87</v>
      </c>
      <c r="L722" s="4">
        <f t="shared" si="4"/>
        <v>-0.1</v>
      </c>
      <c r="M722" s="4">
        <f t="shared" si="5"/>
        <v>86.9</v>
      </c>
    </row>
    <row r="723">
      <c r="A723" s="4" t="s">
        <v>62</v>
      </c>
      <c r="B723" s="4" t="s">
        <v>2324</v>
      </c>
      <c r="C723" s="4" t="s">
        <v>2325</v>
      </c>
      <c r="D723" s="4" t="s">
        <v>2469</v>
      </c>
      <c r="E723" s="10">
        <f>IFERROR(__xludf.DUMMYFUNCTION("SPLIT(B723,""T"")"),43109.0)</f>
        <v>43109</v>
      </c>
      <c r="F723" s="4" t="str">
        <f>IFERROR(__xludf.DUMMYFUNCTION("""COMPUTED_VALUE"""),"13:40:00Z")</f>
        <v>13:40:00Z</v>
      </c>
      <c r="G723" s="11" t="str">
        <f t="shared" si="1"/>
        <v>13:40:00</v>
      </c>
      <c r="H723" s="10">
        <f>IFERROR(__xludf.DUMMYFUNCTION("SPLIT(D723,""T"")"),43023.0)</f>
        <v>43023</v>
      </c>
      <c r="I723" s="4" t="str">
        <f>IFERROR(__xludf.DUMMYFUNCTION("""COMPUTED_VALUE"""),"14:05:00Z")</f>
        <v>14:05:00Z</v>
      </c>
      <c r="J723" s="4" t="str">
        <f t="shared" si="2"/>
        <v>14:05:00</v>
      </c>
      <c r="K723" s="4">
        <f t="shared" si="3"/>
        <v>86</v>
      </c>
      <c r="L723" s="4">
        <f t="shared" si="4"/>
        <v>-0.01736111111</v>
      </c>
      <c r="M723" s="4">
        <f t="shared" si="5"/>
        <v>85.98263889</v>
      </c>
    </row>
    <row r="724">
      <c r="A724" s="4" t="s">
        <v>114</v>
      </c>
      <c r="B724" s="4" t="s">
        <v>2324</v>
      </c>
      <c r="C724" s="4" t="s">
        <v>2432</v>
      </c>
      <c r="D724" s="4" t="s">
        <v>2433</v>
      </c>
      <c r="E724" s="10">
        <f>IFERROR(__xludf.DUMMYFUNCTION("SPLIT(B724,""T"")"),43109.0)</f>
        <v>43109</v>
      </c>
      <c r="F724" s="4" t="str">
        <f>IFERROR(__xludf.DUMMYFUNCTION("""COMPUTED_VALUE"""),"13:40:00Z")</f>
        <v>13:40:00Z</v>
      </c>
      <c r="G724" s="11" t="str">
        <f t="shared" si="1"/>
        <v>13:40:00</v>
      </c>
      <c r="H724" s="10">
        <f>IFERROR(__xludf.DUMMYFUNCTION("SPLIT(D724,""T"")"),43023.0)</f>
        <v>43023</v>
      </c>
      <c r="I724" s="4" t="str">
        <f>IFERROR(__xludf.DUMMYFUNCTION("""COMPUTED_VALUE"""),"14:55:00Z")</f>
        <v>14:55:00Z</v>
      </c>
      <c r="J724" s="4" t="str">
        <f t="shared" si="2"/>
        <v>14:55:00</v>
      </c>
      <c r="K724" s="4">
        <f t="shared" si="3"/>
        <v>86</v>
      </c>
      <c r="L724" s="4">
        <f t="shared" si="4"/>
        <v>-0.05208333333</v>
      </c>
      <c r="M724" s="4">
        <f t="shared" si="5"/>
        <v>85.94791667</v>
      </c>
    </row>
    <row r="725">
      <c r="A725" s="4" t="s">
        <v>46</v>
      </c>
      <c r="B725" s="4" t="s">
        <v>2894</v>
      </c>
      <c r="C725" s="4" t="s">
        <v>3172</v>
      </c>
      <c r="D725" s="4" t="s">
        <v>3173</v>
      </c>
      <c r="E725" s="10">
        <f>IFERROR(__xludf.DUMMYFUNCTION("SPLIT(B725,""T"")"),43469.0)</f>
        <v>43469</v>
      </c>
      <c r="F725" s="4" t="str">
        <f>IFERROR(__xludf.DUMMYFUNCTION("""COMPUTED_VALUE"""),"08:55:00Z")</f>
        <v>08:55:00Z</v>
      </c>
      <c r="G725" s="11" t="str">
        <f t="shared" si="1"/>
        <v>08:55:00</v>
      </c>
      <c r="H725" s="10">
        <f>IFERROR(__xludf.DUMMYFUNCTION("SPLIT(D725,""T"")"),43383.0)</f>
        <v>43383</v>
      </c>
      <c r="I725" s="4" t="str">
        <f>IFERROR(__xludf.DUMMYFUNCTION("""COMPUTED_VALUE"""),"21:50:00Z")</f>
        <v>21:50:00Z</v>
      </c>
      <c r="J725" s="4" t="str">
        <f t="shared" si="2"/>
        <v>21:50:00</v>
      </c>
      <c r="K725" s="4">
        <f t="shared" si="3"/>
        <v>86</v>
      </c>
      <c r="L725" s="4">
        <f t="shared" si="4"/>
        <v>-0.5381944444</v>
      </c>
      <c r="M725" s="4">
        <f t="shared" si="5"/>
        <v>85.46180556</v>
      </c>
    </row>
    <row r="726">
      <c r="A726" s="4" t="s">
        <v>2038</v>
      </c>
      <c r="B726" s="4" t="s">
        <v>1941</v>
      </c>
      <c r="C726" s="4" t="s">
        <v>2039</v>
      </c>
      <c r="D726" s="4" t="s">
        <v>2040</v>
      </c>
      <c r="E726" s="10">
        <f>IFERROR(__xludf.DUMMYFUNCTION("SPLIT(B726,""T"")"),43109.0)</f>
        <v>43109</v>
      </c>
      <c r="F726" s="4" t="str">
        <f>IFERROR(__xludf.DUMMYFUNCTION("""COMPUTED_VALUE"""),"13:41:00Z")</f>
        <v>13:41:00Z</v>
      </c>
      <c r="G726" s="11" t="str">
        <f t="shared" si="1"/>
        <v>13:41:00</v>
      </c>
      <c r="H726" s="10">
        <f>IFERROR(__xludf.DUMMYFUNCTION("SPLIT(D726,""T"")"),43024.0)</f>
        <v>43024</v>
      </c>
      <c r="I726" s="4" t="str">
        <f>IFERROR(__xludf.DUMMYFUNCTION("""COMPUTED_VALUE"""),"22:30:00Z")</f>
        <v>22:30:00Z</v>
      </c>
      <c r="J726" s="4" t="str">
        <f t="shared" si="2"/>
        <v>22:30:00</v>
      </c>
      <c r="K726" s="4">
        <f t="shared" si="3"/>
        <v>85</v>
      </c>
      <c r="L726" s="4">
        <f t="shared" si="4"/>
        <v>-0.3673611111</v>
      </c>
      <c r="M726" s="4">
        <f t="shared" si="5"/>
        <v>84.63263889</v>
      </c>
    </row>
    <row r="727">
      <c r="A727" s="4" t="s">
        <v>23</v>
      </c>
      <c r="B727" s="4" t="s">
        <v>2324</v>
      </c>
      <c r="C727" s="4" t="s">
        <v>2325</v>
      </c>
      <c r="D727" s="4" t="s">
        <v>2326</v>
      </c>
      <c r="E727" s="10">
        <f>IFERROR(__xludf.DUMMYFUNCTION("SPLIT(B727,""T"")"),43109.0)</f>
        <v>43109</v>
      </c>
      <c r="F727" s="4" t="str">
        <f>IFERROR(__xludf.DUMMYFUNCTION("""COMPUTED_VALUE"""),"13:40:00Z")</f>
        <v>13:40:00Z</v>
      </c>
      <c r="G727" s="11" t="str">
        <f t="shared" si="1"/>
        <v>13:40:00</v>
      </c>
      <c r="H727" s="10">
        <f>IFERROR(__xludf.DUMMYFUNCTION("SPLIT(D727,""T"")"),43025.0)</f>
        <v>43025</v>
      </c>
      <c r="I727" s="4" t="str">
        <f>IFERROR(__xludf.DUMMYFUNCTION("""COMPUTED_VALUE"""),"03:43:00Z")</f>
        <v>03:43:00Z</v>
      </c>
      <c r="J727" s="4" t="str">
        <f t="shared" si="2"/>
        <v>03:43:00</v>
      </c>
      <c r="K727" s="4">
        <f t="shared" si="3"/>
        <v>84</v>
      </c>
      <c r="L727" s="4">
        <f t="shared" si="4"/>
        <v>0.4145833333</v>
      </c>
      <c r="M727" s="4">
        <f t="shared" si="5"/>
        <v>84.41458333</v>
      </c>
    </row>
    <row r="728">
      <c r="A728" s="4" t="s">
        <v>62</v>
      </c>
      <c r="B728" s="4" t="s">
        <v>1941</v>
      </c>
      <c r="C728" s="4" t="s">
        <v>1942</v>
      </c>
      <c r="D728" s="4" t="s">
        <v>1943</v>
      </c>
      <c r="E728" s="10">
        <f>IFERROR(__xludf.DUMMYFUNCTION("SPLIT(B728,""T"")"),43109.0)</f>
        <v>43109</v>
      </c>
      <c r="F728" s="4" t="str">
        <f>IFERROR(__xludf.DUMMYFUNCTION("""COMPUTED_VALUE"""),"13:41:00Z")</f>
        <v>13:41:00Z</v>
      </c>
      <c r="G728" s="11" t="str">
        <f t="shared" si="1"/>
        <v>13:41:00</v>
      </c>
      <c r="H728" s="10">
        <f>IFERROR(__xludf.DUMMYFUNCTION("SPLIT(D728,""T"")"),43025.0)</f>
        <v>43025</v>
      </c>
      <c r="I728" s="4" t="str">
        <f>IFERROR(__xludf.DUMMYFUNCTION("""COMPUTED_VALUE"""),"10:19:00Z")</f>
        <v>10:19:00Z</v>
      </c>
      <c r="J728" s="4" t="str">
        <f t="shared" si="2"/>
        <v>10:19:00</v>
      </c>
      <c r="K728" s="4">
        <f t="shared" si="3"/>
        <v>84</v>
      </c>
      <c r="L728" s="4">
        <f t="shared" si="4"/>
        <v>0.1402777778</v>
      </c>
      <c r="M728" s="4">
        <f t="shared" si="5"/>
        <v>84.14027778</v>
      </c>
    </row>
    <row r="729">
      <c r="A729" s="4" t="s">
        <v>205</v>
      </c>
      <c r="B729" s="4" t="s">
        <v>1941</v>
      </c>
      <c r="C729" s="4" t="s">
        <v>464</v>
      </c>
      <c r="D729" s="4" t="s">
        <v>2174</v>
      </c>
      <c r="E729" s="10">
        <f>IFERROR(__xludf.DUMMYFUNCTION("SPLIT(B729,""T"")"),43109.0)</f>
        <v>43109</v>
      </c>
      <c r="F729" s="4" t="str">
        <f>IFERROR(__xludf.DUMMYFUNCTION("""COMPUTED_VALUE"""),"13:41:00Z")</f>
        <v>13:41:00Z</v>
      </c>
      <c r="G729" s="11" t="str">
        <f t="shared" si="1"/>
        <v>13:41:00</v>
      </c>
      <c r="H729" s="10">
        <f>IFERROR(__xludf.DUMMYFUNCTION("SPLIT(D729,""T"")"),43025.0)</f>
        <v>43025</v>
      </c>
      <c r="I729" s="4" t="str">
        <f>IFERROR(__xludf.DUMMYFUNCTION("""COMPUTED_VALUE"""),"14:00:00Z")</f>
        <v>14:00:00Z</v>
      </c>
      <c r="J729" s="4" t="str">
        <f t="shared" si="2"/>
        <v>14:00:00</v>
      </c>
      <c r="K729" s="4">
        <f t="shared" si="3"/>
        <v>84</v>
      </c>
      <c r="L729" s="4">
        <f t="shared" si="4"/>
        <v>-0.01319444444</v>
      </c>
      <c r="M729" s="4">
        <f t="shared" si="5"/>
        <v>83.98680556</v>
      </c>
    </row>
    <row r="730">
      <c r="A730" s="4" t="s">
        <v>278</v>
      </c>
      <c r="B730" s="4" t="s">
        <v>2894</v>
      </c>
      <c r="C730" s="4" t="s">
        <v>1889</v>
      </c>
      <c r="D730" s="4" t="s">
        <v>2895</v>
      </c>
      <c r="E730" s="10">
        <f>IFERROR(__xludf.DUMMYFUNCTION("SPLIT(B730,""T"")"),43469.0)</f>
        <v>43469</v>
      </c>
      <c r="F730" s="4" t="str">
        <f>IFERROR(__xludf.DUMMYFUNCTION("""COMPUTED_VALUE"""),"08:55:00Z")</f>
        <v>08:55:00Z</v>
      </c>
      <c r="G730" s="11" t="str">
        <f t="shared" si="1"/>
        <v>08:55:00</v>
      </c>
      <c r="H730" s="10">
        <f>IFERROR(__xludf.DUMMYFUNCTION("SPLIT(D730,""T"")"),43385.0)</f>
        <v>43385</v>
      </c>
      <c r="I730" s="4" t="str">
        <f>IFERROR(__xludf.DUMMYFUNCTION("""COMPUTED_VALUE"""),"11:21:00Z")</f>
        <v>11:21:00Z</v>
      </c>
      <c r="J730" s="4" t="str">
        <f t="shared" si="2"/>
        <v>11:21:00</v>
      </c>
      <c r="K730" s="4">
        <f t="shared" si="3"/>
        <v>84</v>
      </c>
      <c r="L730" s="4">
        <f t="shared" si="4"/>
        <v>-0.1013888889</v>
      </c>
      <c r="M730" s="4">
        <f t="shared" si="5"/>
        <v>83.89861111</v>
      </c>
    </row>
    <row r="731">
      <c r="A731" s="4" t="s">
        <v>114</v>
      </c>
      <c r="B731" s="4" t="s">
        <v>1257</v>
      </c>
      <c r="C731" s="4" t="s">
        <v>1258</v>
      </c>
      <c r="D731" s="4" t="s">
        <v>1259</v>
      </c>
      <c r="E731" s="10">
        <f>IFERROR(__xludf.DUMMYFUNCTION("SPLIT(B731,""T"")"),42656.0)</f>
        <v>42656</v>
      </c>
      <c r="F731" s="4" t="str">
        <f>IFERROR(__xludf.DUMMYFUNCTION("""COMPUTED_VALUE"""),"11:30:00Z")</f>
        <v>11:30:00Z</v>
      </c>
      <c r="G731" s="11" t="str">
        <f t="shared" si="1"/>
        <v>11:30:00</v>
      </c>
      <c r="H731" s="10">
        <f>IFERROR(__xludf.DUMMYFUNCTION("SPLIT(D731,""T"")"),42573.0)</f>
        <v>42573</v>
      </c>
      <c r="I731" s="4" t="str">
        <f>IFERROR(__xludf.DUMMYFUNCTION("""COMPUTED_VALUE"""),"08:48:00Z")</f>
        <v>08:48:00Z</v>
      </c>
      <c r="J731" s="4" t="str">
        <f t="shared" si="2"/>
        <v>08:48:00</v>
      </c>
      <c r="K731" s="4">
        <f t="shared" si="3"/>
        <v>83</v>
      </c>
      <c r="L731" s="4">
        <f t="shared" si="4"/>
        <v>0.1125</v>
      </c>
      <c r="M731" s="4">
        <f t="shared" si="5"/>
        <v>83.1125</v>
      </c>
    </row>
    <row r="732">
      <c r="A732" s="4" t="s">
        <v>260</v>
      </c>
      <c r="B732" s="4" t="s">
        <v>1941</v>
      </c>
      <c r="C732" s="4" t="s">
        <v>2569</v>
      </c>
      <c r="D732" s="4" t="s">
        <v>2570</v>
      </c>
      <c r="E732" s="10">
        <f>IFERROR(__xludf.DUMMYFUNCTION("SPLIT(B732,""T"")"),43109.0)</f>
        <v>43109</v>
      </c>
      <c r="F732" s="4" t="str">
        <f>IFERROR(__xludf.DUMMYFUNCTION("""COMPUTED_VALUE"""),"13:41:00Z")</f>
        <v>13:41:00Z</v>
      </c>
      <c r="G732" s="11" t="str">
        <f t="shared" si="1"/>
        <v>13:41:00</v>
      </c>
      <c r="H732" s="10">
        <f>IFERROR(__xludf.DUMMYFUNCTION("SPLIT(D732,""T"")"),43026.0)</f>
        <v>43026</v>
      </c>
      <c r="I732" s="4" t="str">
        <f>IFERROR(__xludf.DUMMYFUNCTION("""COMPUTED_VALUE"""),"12:53:00Z")</f>
        <v>12:53:00Z</v>
      </c>
      <c r="J732" s="4" t="str">
        <f t="shared" si="2"/>
        <v>12:53:00</v>
      </c>
      <c r="K732" s="4">
        <f t="shared" si="3"/>
        <v>83</v>
      </c>
      <c r="L732" s="4">
        <f t="shared" si="4"/>
        <v>0.03333333333</v>
      </c>
      <c r="M732" s="4">
        <f t="shared" si="5"/>
        <v>83.03333333</v>
      </c>
    </row>
    <row r="733">
      <c r="A733" s="4" t="s">
        <v>114</v>
      </c>
      <c r="B733" s="4" t="s">
        <v>2885</v>
      </c>
      <c r="C733" s="4" t="s">
        <v>2886</v>
      </c>
      <c r="D733" s="4" t="s">
        <v>2887</v>
      </c>
      <c r="E733" s="10">
        <f>IFERROR(__xludf.DUMMYFUNCTION("SPLIT(B733,""T"")"),43469.0)</f>
        <v>43469</v>
      </c>
      <c r="F733" s="4" t="str">
        <f>IFERROR(__xludf.DUMMYFUNCTION("""COMPUTED_VALUE"""),"08:54:00Z")</f>
        <v>08:54:00Z</v>
      </c>
      <c r="G733" s="11" t="str">
        <f t="shared" si="1"/>
        <v>08:54:00</v>
      </c>
      <c r="H733" s="10">
        <f>IFERROR(__xludf.DUMMYFUNCTION("SPLIT(D733,""T"")"),43386.0)</f>
        <v>43386</v>
      </c>
      <c r="I733" s="4" t="str">
        <f>IFERROR(__xludf.DUMMYFUNCTION("""COMPUTED_VALUE"""),"14:43:00Z")</f>
        <v>14:43:00Z</v>
      </c>
      <c r="J733" s="4" t="str">
        <f t="shared" si="2"/>
        <v>14:43:00</v>
      </c>
      <c r="K733" s="4">
        <f t="shared" si="3"/>
        <v>83</v>
      </c>
      <c r="L733" s="4">
        <f t="shared" si="4"/>
        <v>-0.2423611111</v>
      </c>
      <c r="M733" s="4">
        <f t="shared" si="5"/>
        <v>82.75763889</v>
      </c>
    </row>
    <row r="734">
      <c r="A734" s="4" t="s">
        <v>58</v>
      </c>
      <c r="B734" s="4" t="s">
        <v>2885</v>
      </c>
      <c r="C734" s="4" t="s">
        <v>2138</v>
      </c>
      <c r="D734" s="4" t="s">
        <v>3194</v>
      </c>
      <c r="E734" s="10">
        <f>IFERROR(__xludf.DUMMYFUNCTION("SPLIT(B734,""T"")"),43469.0)</f>
        <v>43469</v>
      </c>
      <c r="F734" s="4" t="str">
        <f>IFERROR(__xludf.DUMMYFUNCTION("""COMPUTED_VALUE"""),"08:54:00Z")</f>
        <v>08:54:00Z</v>
      </c>
      <c r="G734" s="11" t="str">
        <f t="shared" si="1"/>
        <v>08:54:00</v>
      </c>
      <c r="H734" s="10">
        <f>IFERROR(__xludf.DUMMYFUNCTION("SPLIT(D734,""T"")"),43387.0)</f>
        <v>43387</v>
      </c>
      <c r="I734" s="4" t="str">
        <f>IFERROR(__xludf.DUMMYFUNCTION("""COMPUTED_VALUE"""),"06:45:00Z")</f>
        <v>06:45:00Z</v>
      </c>
      <c r="J734" s="4" t="str">
        <f t="shared" si="2"/>
        <v>06:45:00</v>
      </c>
      <c r="K734" s="4">
        <f t="shared" si="3"/>
        <v>82</v>
      </c>
      <c r="L734" s="4">
        <f t="shared" si="4"/>
        <v>0.08958333333</v>
      </c>
      <c r="M734" s="4">
        <f t="shared" si="5"/>
        <v>82.08958333</v>
      </c>
    </row>
    <row r="735">
      <c r="A735" s="4" t="s">
        <v>58</v>
      </c>
      <c r="B735" s="4" t="s">
        <v>3073</v>
      </c>
      <c r="C735" s="4" t="s">
        <v>3074</v>
      </c>
      <c r="D735" s="4" t="s">
        <v>3075</v>
      </c>
      <c r="E735" s="10">
        <f>IFERROR(__xludf.DUMMYFUNCTION("SPLIT(B735,""T"")"),43469.0)</f>
        <v>43469</v>
      </c>
      <c r="F735" s="4" t="str">
        <f>IFERROR(__xludf.DUMMYFUNCTION("""COMPUTED_VALUE"""),"08:53:00Z")</f>
        <v>08:53:00Z</v>
      </c>
      <c r="G735" s="11" t="str">
        <f t="shared" si="1"/>
        <v>08:53:00</v>
      </c>
      <c r="H735" s="10">
        <f>IFERROR(__xludf.DUMMYFUNCTION("SPLIT(D735,""T"")"),43387.0)</f>
        <v>43387</v>
      </c>
      <c r="I735" s="4" t="str">
        <f>IFERROR(__xludf.DUMMYFUNCTION("""COMPUTED_VALUE"""),"11:33:00Z")</f>
        <v>11:33:00Z</v>
      </c>
      <c r="J735" s="4" t="str">
        <f t="shared" si="2"/>
        <v>11:33:00</v>
      </c>
      <c r="K735" s="4">
        <f t="shared" si="3"/>
        <v>82</v>
      </c>
      <c r="L735" s="4">
        <f t="shared" si="4"/>
        <v>-0.1111111111</v>
      </c>
      <c r="M735" s="4">
        <f t="shared" si="5"/>
        <v>81.88888889</v>
      </c>
    </row>
    <row r="736">
      <c r="A736" s="4" t="s">
        <v>149</v>
      </c>
      <c r="B736" s="4" t="s">
        <v>2321</v>
      </c>
      <c r="C736" s="4" t="s">
        <v>1231</v>
      </c>
      <c r="D736" s="4" t="s">
        <v>2493</v>
      </c>
      <c r="E736" s="10">
        <f>IFERROR(__xludf.DUMMYFUNCTION("SPLIT(B736,""T"")"),43109.0)</f>
        <v>43109</v>
      </c>
      <c r="F736" s="4" t="str">
        <f>IFERROR(__xludf.DUMMYFUNCTION("""COMPUTED_VALUE"""),"13:42:00Z")</f>
        <v>13:42:00Z</v>
      </c>
      <c r="G736" s="11" t="str">
        <f t="shared" si="1"/>
        <v>13:42:00</v>
      </c>
      <c r="H736" s="10">
        <f>IFERROR(__xludf.DUMMYFUNCTION("SPLIT(D736,""T"")"),43028.0)</f>
        <v>43028</v>
      </c>
      <c r="I736" s="4" t="str">
        <f>IFERROR(__xludf.DUMMYFUNCTION("""COMPUTED_VALUE"""),"12:13:00Z")</f>
        <v>12:13:00Z</v>
      </c>
      <c r="J736" s="4" t="str">
        <f t="shared" si="2"/>
        <v>12:13:00</v>
      </c>
      <c r="K736" s="4">
        <f t="shared" si="3"/>
        <v>81</v>
      </c>
      <c r="L736" s="4">
        <f t="shared" si="4"/>
        <v>0.06180555556</v>
      </c>
      <c r="M736" s="4">
        <f t="shared" si="5"/>
        <v>81.06180556</v>
      </c>
    </row>
    <row r="737">
      <c r="A737" s="4" t="s">
        <v>87</v>
      </c>
      <c r="B737" s="4" t="s">
        <v>3030</v>
      </c>
      <c r="C737" s="4" t="s">
        <v>3222</v>
      </c>
      <c r="D737" s="4" t="s">
        <v>3223</v>
      </c>
      <c r="E737" s="10">
        <f>IFERROR(__xludf.DUMMYFUNCTION("SPLIT(B737,""T"")"),43469.0)</f>
        <v>43469</v>
      </c>
      <c r="F737" s="4" t="str">
        <f>IFERROR(__xludf.DUMMYFUNCTION("""COMPUTED_VALUE"""),"08:52:00Z")</f>
        <v>08:52:00Z</v>
      </c>
      <c r="G737" s="11" t="str">
        <f t="shared" si="1"/>
        <v>08:52:00</v>
      </c>
      <c r="H737" s="10">
        <f>IFERROR(__xludf.DUMMYFUNCTION("SPLIT(D737,""T"")"),43388.0)</f>
        <v>43388</v>
      </c>
      <c r="I737" s="4" t="str">
        <f>IFERROR(__xludf.DUMMYFUNCTION("""COMPUTED_VALUE"""),"11:57:00Z")</f>
        <v>11:57:00Z</v>
      </c>
      <c r="J737" s="4" t="str">
        <f t="shared" si="2"/>
        <v>11:57:00</v>
      </c>
      <c r="K737" s="4">
        <f t="shared" si="3"/>
        <v>81</v>
      </c>
      <c r="L737" s="4">
        <f t="shared" si="4"/>
        <v>-0.1284722222</v>
      </c>
      <c r="M737" s="4">
        <f t="shared" si="5"/>
        <v>80.87152778</v>
      </c>
    </row>
    <row r="738">
      <c r="A738" s="4" t="s">
        <v>62</v>
      </c>
      <c r="B738" s="4" t="s">
        <v>1941</v>
      </c>
      <c r="C738" s="4" t="s">
        <v>2191</v>
      </c>
      <c r="D738" s="4" t="s">
        <v>2192</v>
      </c>
      <c r="E738" s="10">
        <f>IFERROR(__xludf.DUMMYFUNCTION("SPLIT(B738,""T"")"),43109.0)</f>
        <v>43109</v>
      </c>
      <c r="F738" s="4" t="str">
        <f>IFERROR(__xludf.DUMMYFUNCTION("""COMPUTED_VALUE"""),"13:41:00Z")</f>
        <v>13:41:00Z</v>
      </c>
      <c r="G738" s="11" t="str">
        <f t="shared" si="1"/>
        <v>13:41:00</v>
      </c>
      <c r="H738" s="10">
        <f>IFERROR(__xludf.DUMMYFUNCTION("SPLIT(D738,""T"")"),43029.0)</f>
        <v>43029</v>
      </c>
      <c r="I738" s="4" t="str">
        <f>IFERROR(__xludf.DUMMYFUNCTION("""COMPUTED_VALUE"""),"13:04:00Z")</f>
        <v>13:04:00Z</v>
      </c>
      <c r="J738" s="4" t="str">
        <f t="shared" si="2"/>
        <v>13:04:00</v>
      </c>
      <c r="K738" s="4">
        <f t="shared" si="3"/>
        <v>80</v>
      </c>
      <c r="L738" s="4">
        <f t="shared" si="4"/>
        <v>0.02569444444</v>
      </c>
      <c r="M738" s="4">
        <f t="shared" si="5"/>
        <v>80.02569444</v>
      </c>
    </row>
    <row r="739">
      <c r="A739" s="4" t="s">
        <v>27</v>
      </c>
      <c r="B739" s="4" t="s">
        <v>2321</v>
      </c>
      <c r="C739" s="4" t="s">
        <v>2322</v>
      </c>
      <c r="D739" s="4" t="s">
        <v>2323</v>
      </c>
      <c r="E739" s="10">
        <f>IFERROR(__xludf.DUMMYFUNCTION("SPLIT(B739,""T"")"),43109.0)</f>
        <v>43109</v>
      </c>
      <c r="F739" s="4" t="str">
        <f>IFERROR(__xludf.DUMMYFUNCTION("""COMPUTED_VALUE"""),"13:42:00Z")</f>
        <v>13:42:00Z</v>
      </c>
      <c r="G739" s="11" t="str">
        <f t="shared" si="1"/>
        <v>13:42:00</v>
      </c>
      <c r="H739" s="10">
        <f>IFERROR(__xludf.DUMMYFUNCTION("SPLIT(D739,""T"")"),43031.0)</f>
        <v>43031</v>
      </c>
      <c r="I739" s="4" t="str">
        <f>IFERROR(__xludf.DUMMYFUNCTION("""COMPUTED_VALUE"""),"10:31:00Z")</f>
        <v>10:31:00Z</v>
      </c>
      <c r="J739" s="4" t="str">
        <f t="shared" si="2"/>
        <v>10:31:00</v>
      </c>
      <c r="K739" s="4">
        <f t="shared" si="3"/>
        <v>78</v>
      </c>
      <c r="L739" s="4">
        <f t="shared" si="4"/>
        <v>0.1326388889</v>
      </c>
      <c r="M739" s="4">
        <f t="shared" si="5"/>
        <v>78.13263889</v>
      </c>
    </row>
    <row r="740">
      <c r="A740" s="4" t="s">
        <v>94</v>
      </c>
      <c r="B740" s="4" t="s">
        <v>1323</v>
      </c>
      <c r="C740" s="4" t="s">
        <v>1393</v>
      </c>
      <c r="D740" s="4" t="s">
        <v>1394</v>
      </c>
      <c r="E740" s="10">
        <f>IFERROR(__xludf.DUMMYFUNCTION("SPLIT(B740,""T"")"),42682.0)</f>
        <v>42682</v>
      </c>
      <c r="F740" s="4" t="str">
        <f>IFERROR(__xludf.DUMMYFUNCTION("""COMPUTED_VALUE"""),"10:15:00Z")</f>
        <v>10:15:00Z</v>
      </c>
      <c r="G740" s="11" t="str">
        <f t="shared" si="1"/>
        <v>10:15:00</v>
      </c>
      <c r="H740" s="10">
        <f>IFERROR(__xludf.DUMMYFUNCTION("SPLIT(D740,""T"")"),42604.0)</f>
        <v>42604</v>
      </c>
      <c r="I740" s="4" t="str">
        <f>IFERROR(__xludf.DUMMYFUNCTION("""COMPUTED_VALUE"""),"22:00:00Z")</f>
        <v>22:00:00Z</v>
      </c>
      <c r="J740" s="4" t="str">
        <f t="shared" si="2"/>
        <v>22:00:00</v>
      </c>
      <c r="K740" s="4">
        <f t="shared" si="3"/>
        <v>78</v>
      </c>
      <c r="L740" s="4">
        <f t="shared" si="4"/>
        <v>-0.4895833333</v>
      </c>
      <c r="M740" s="4">
        <f t="shared" si="5"/>
        <v>77.51041667</v>
      </c>
    </row>
    <row r="741">
      <c r="A741" s="4" t="s">
        <v>134</v>
      </c>
      <c r="B741" s="4" t="s">
        <v>1965</v>
      </c>
      <c r="C741" s="4" t="s">
        <v>776</v>
      </c>
      <c r="D741" s="4" t="s">
        <v>2378</v>
      </c>
      <c r="E741" s="10">
        <f>IFERROR(__xludf.DUMMYFUNCTION("SPLIT(B741,""T"")"),43109.0)</f>
        <v>43109</v>
      </c>
      <c r="F741" s="4" t="str">
        <f>IFERROR(__xludf.DUMMYFUNCTION("""COMPUTED_VALUE"""),"13:45:00Z")</f>
        <v>13:45:00Z</v>
      </c>
      <c r="G741" s="11" t="str">
        <f t="shared" si="1"/>
        <v>13:45:00</v>
      </c>
      <c r="H741" s="10">
        <f>IFERROR(__xludf.DUMMYFUNCTION("SPLIT(D741,""T"")"),43032.0)</f>
        <v>43032</v>
      </c>
      <c r="I741" s="4" t="str">
        <f>IFERROR(__xludf.DUMMYFUNCTION("""COMPUTED_VALUE"""),"10:27:00Z")</f>
        <v>10:27:00Z</v>
      </c>
      <c r="J741" s="4" t="str">
        <f t="shared" si="2"/>
        <v>10:27:00</v>
      </c>
      <c r="K741" s="4">
        <f t="shared" si="3"/>
        <v>77</v>
      </c>
      <c r="L741" s="4">
        <f t="shared" si="4"/>
        <v>0.1375</v>
      </c>
      <c r="M741" s="4">
        <f t="shared" si="5"/>
        <v>77.1375</v>
      </c>
    </row>
    <row r="742">
      <c r="A742" s="4" t="s">
        <v>35</v>
      </c>
      <c r="B742" s="4" t="s">
        <v>1965</v>
      </c>
      <c r="C742" s="4" t="s">
        <v>2221</v>
      </c>
      <c r="D742" s="4" t="s">
        <v>2222</v>
      </c>
      <c r="E742" s="10">
        <f>IFERROR(__xludf.DUMMYFUNCTION("SPLIT(B742,""T"")"),43109.0)</f>
        <v>43109</v>
      </c>
      <c r="F742" s="4" t="str">
        <f>IFERROR(__xludf.DUMMYFUNCTION("""COMPUTED_VALUE"""),"13:45:00Z")</f>
        <v>13:45:00Z</v>
      </c>
      <c r="G742" s="11" t="str">
        <f t="shared" si="1"/>
        <v>13:45:00</v>
      </c>
      <c r="H742" s="10">
        <f>IFERROR(__xludf.DUMMYFUNCTION("SPLIT(D742,""T"")"),43032.0)</f>
        <v>43032</v>
      </c>
      <c r="I742" s="4" t="str">
        <f>IFERROR(__xludf.DUMMYFUNCTION("""COMPUTED_VALUE"""),"14:44:00Z")</f>
        <v>14:44:00Z</v>
      </c>
      <c r="J742" s="4" t="str">
        <f t="shared" si="2"/>
        <v>14:44:00</v>
      </c>
      <c r="K742" s="4">
        <f t="shared" si="3"/>
        <v>77</v>
      </c>
      <c r="L742" s="4">
        <f t="shared" si="4"/>
        <v>-0.04097222222</v>
      </c>
      <c r="M742" s="4">
        <f t="shared" si="5"/>
        <v>76.95902778</v>
      </c>
    </row>
    <row r="743">
      <c r="A743" s="4" t="s">
        <v>149</v>
      </c>
      <c r="B743" s="4" t="s">
        <v>3030</v>
      </c>
      <c r="C743" s="4" t="s">
        <v>3031</v>
      </c>
      <c r="D743" s="4" t="s">
        <v>3032</v>
      </c>
      <c r="E743" s="10">
        <f>IFERROR(__xludf.DUMMYFUNCTION("SPLIT(B743,""T"")"),43469.0)</f>
        <v>43469</v>
      </c>
      <c r="F743" s="4" t="str">
        <f>IFERROR(__xludf.DUMMYFUNCTION("""COMPUTED_VALUE"""),"08:52:00Z")</f>
        <v>08:52:00Z</v>
      </c>
      <c r="G743" s="11" t="str">
        <f t="shared" si="1"/>
        <v>08:52:00</v>
      </c>
      <c r="H743" s="10">
        <f>IFERROR(__xludf.DUMMYFUNCTION("SPLIT(D743,""T"")"),43392.0)</f>
        <v>43392</v>
      </c>
      <c r="I743" s="4" t="str">
        <f>IFERROR(__xludf.DUMMYFUNCTION("""COMPUTED_VALUE"""),"14:10:00Z")</f>
        <v>14:10:00Z</v>
      </c>
      <c r="J743" s="4" t="str">
        <f t="shared" si="2"/>
        <v>14:10:00</v>
      </c>
      <c r="K743" s="4">
        <f t="shared" si="3"/>
        <v>77</v>
      </c>
      <c r="L743" s="4">
        <f t="shared" si="4"/>
        <v>-0.2208333333</v>
      </c>
      <c r="M743" s="4">
        <f t="shared" si="5"/>
        <v>76.77916667</v>
      </c>
    </row>
    <row r="744">
      <c r="A744" s="4" t="s">
        <v>162</v>
      </c>
      <c r="B744" s="4" t="s">
        <v>3356</v>
      </c>
      <c r="C744" s="4" t="s">
        <v>1506</v>
      </c>
      <c r="D744" s="4" t="s">
        <v>3357</v>
      </c>
      <c r="E744" s="10">
        <f>IFERROR(__xludf.DUMMYFUNCTION("SPLIT(B744,""T"")"),43790.0)</f>
        <v>43790</v>
      </c>
      <c r="F744" s="4" t="str">
        <f>IFERROR(__xludf.DUMMYFUNCTION("""COMPUTED_VALUE"""),"16:08:00Z")</f>
        <v>16:08:00Z</v>
      </c>
      <c r="G744" s="11" t="str">
        <f t="shared" si="1"/>
        <v>16:08:00</v>
      </c>
      <c r="H744" s="10">
        <f>IFERROR(__xludf.DUMMYFUNCTION("SPLIT(D744,""T"")"),43714.0)</f>
        <v>43714</v>
      </c>
      <c r="I744" s="4" t="str">
        <f>IFERROR(__xludf.DUMMYFUNCTION("""COMPUTED_VALUE"""),"12:23:00Z")</f>
        <v>12:23:00Z</v>
      </c>
      <c r="J744" s="4" t="str">
        <f t="shared" si="2"/>
        <v>12:23:00</v>
      </c>
      <c r="K744" s="4">
        <f t="shared" si="3"/>
        <v>76</v>
      </c>
      <c r="L744" s="4">
        <f t="shared" si="4"/>
        <v>0.15625</v>
      </c>
      <c r="M744" s="4">
        <f t="shared" si="5"/>
        <v>76.15625</v>
      </c>
    </row>
    <row r="745">
      <c r="A745" s="4" t="s">
        <v>162</v>
      </c>
      <c r="B745" s="4" t="s">
        <v>3316</v>
      </c>
      <c r="C745" s="4" t="s">
        <v>3317</v>
      </c>
      <c r="D745" s="4" t="s">
        <v>3318</v>
      </c>
      <c r="E745" s="10">
        <f>IFERROR(__xludf.DUMMYFUNCTION("SPLIT(B745,""T"")"),43790.0)</f>
        <v>43790</v>
      </c>
      <c r="F745" s="4" t="str">
        <f>IFERROR(__xludf.DUMMYFUNCTION("""COMPUTED_VALUE"""),"16:09:00Z")</f>
        <v>16:09:00Z</v>
      </c>
      <c r="G745" s="11" t="str">
        <f t="shared" si="1"/>
        <v>16:09:00</v>
      </c>
      <c r="H745" s="10">
        <f>IFERROR(__xludf.DUMMYFUNCTION("SPLIT(D745,""T"")"),43714.0)</f>
        <v>43714</v>
      </c>
      <c r="I745" s="4" t="str">
        <f>IFERROR(__xludf.DUMMYFUNCTION("""COMPUTED_VALUE"""),"12:43:35Z")</f>
        <v>12:43:35Z</v>
      </c>
      <c r="J745" s="4" t="str">
        <f t="shared" si="2"/>
        <v>12:43:35</v>
      </c>
      <c r="K745" s="4">
        <f t="shared" si="3"/>
        <v>76</v>
      </c>
      <c r="L745" s="4">
        <f t="shared" si="4"/>
        <v>0.142650463</v>
      </c>
      <c r="M745" s="4">
        <f t="shared" si="5"/>
        <v>76.14265046</v>
      </c>
    </row>
    <row r="746">
      <c r="A746" s="4" t="s">
        <v>69</v>
      </c>
      <c r="B746" s="4" t="s">
        <v>1965</v>
      </c>
      <c r="C746" s="4" t="s">
        <v>2319</v>
      </c>
      <c r="D746" s="4" t="s">
        <v>2320</v>
      </c>
      <c r="E746" s="10">
        <f>IFERROR(__xludf.DUMMYFUNCTION("SPLIT(B746,""T"")"),43109.0)</f>
        <v>43109</v>
      </c>
      <c r="F746" s="4" t="str">
        <f>IFERROR(__xludf.DUMMYFUNCTION("""COMPUTED_VALUE"""),"13:45:00Z")</f>
        <v>13:45:00Z</v>
      </c>
      <c r="G746" s="11" t="str">
        <f t="shared" si="1"/>
        <v>13:45:00</v>
      </c>
      <c r="H746" s="10">
        <f>IFERROR(__xludf.DUMMYFUNCTION("SPLIT(D746,""T"")"),43034.0)</f>
        <v>43034</v>
      </c>
      <c r="I746" s="4" t="str">
        <f>IFERROR(__xludf.DUMMYFUNCTION("""COMPUTED_VALUE"""),"11:55:00Z")</f>
        <v>11:55:00Z</v>
      </c>
      <c r="J746" s="4" t="str">
        <f t="shared" si="2"/>
        <v>11:55:00</v>
      </c>
      <c r="K746" s="4">
        <f t="shared" si="3"/>
        <v>75</v>
      </c>
      <c r="L746" s="4">
        <f t="shared" si="4"/>
        <v>0.07638888889</v>
      </c>
      <c r="M746" s="4">
        <f t="shared" si="5"/>
        <v>75.07638889</v>
      </c>
    </row>
    <row r="747">
      <c r="A747" s="4" t="s">
        <v>27</v>
      </c>
      <c r="B747" s="4" t="s">
        <v>1965</v>
      </c>
      <c r="C747" s="4" t="s">
        <v>1966</v>
      </c>
      <c r="D747" s="4" t="s">
        <v>1967</v>
      </c>
      <c r="E747" s="10">
        <f>IFERROR(__xludf.DUMMYFUNCTION("SPLIT(B747,""T"")"),43109.0)</f>
        <v>43109</v>
      </c>
      <c r="F747" s="4" t="str">
        <f>IFERROR(__xludf.DUMMYFUNCTION("""COMPUTED_VALUE"""),"13:45:00Z")</f>
        <v>13:45:00Z</v>
      </c>
      <c r="G747" s="11" t="str">
        <f t="shared" si="1"/>
        <v>13:45:00</v>
      </c>
      <c r="H747" s="10">
        <f>IFERROR(__xludf.DUMMYFUNCTION("SPLIT(D747,""T"")"),43034.0)</f>
        <v>43034</v>
      </c>
      <c r="I747" s="4" t="str">
        <f>IFERROR(__xludf.DUMMYFUNCTION("""COMPUTED_VALUE"""),"12:34:00Z")</f>
        <v>12:34:00Z</v>
      </c>
      <c r="J747" s="4" t="str">
        <f t="shared" si="2"/>
        <v>12:34:00</v>
      </c>
      <c r="K747" s="4">
        <f t="shared" si="3"/>
        <v>75</v>
      </c>
      <c r="L747" s="4">
        <f t="shared" si="4"/>
        <v>0.04930555556</v>
      </c>
      <c r="M747" s="4">
        <f t="shared" si="5"/>
        <v>75.04930556</v>
      </c>
    </row>
    <row r="748">
      <c r="A748" s="4" t="s">
        <v>54</v>
      </c>
      <c r="B748" s="4" t="s">
        <v>2043</v>
      </c>
      <c r="C748" s="4" t="s">
        <v>351</v>
      </c>
      <c r="D748" s="4" t="s">
        <v>2099</v>
      </c>
      <c r="E748" s="10">
        <f>IFERROR(__xludf.DUMMYFUNCTION("SPLIT(B748,""T"")"),43109.0)</f>
        <v>43109</v>
      </c>
      <c r="F748" s="4" t="str">
        <f>IFERROR(__xludf.DUMMYFUNCTION("""COMPUTED_VALUE"""),"13:46:00Z")</f>
        <v>13:46:00Z</v>
      </c>
      <c r="G748" s="11" t="str">
        <f t="shared" si="1"/>
        <v>13:46:00</v>
      </c>
      <c r="H748" s="10">
        <f>IFERROR(__xludf.DUMMYFUNCTION("SPLIT(D748,""T"")"),43034.0)</f>
        <v>43034</v>
      </c>
      <c r="I748" s="4" t="str">
        <f>IFERROR(__xludf.DUMMYFUNCTION("""COMPUTED_VALUE"""),"20:00:00Z")</f>
        <v>20:00:00Z</v>
      </c>
      <c r="J748" s="4" t="str">
        <f t="shared" si="2"/>
        <v>20:00:00</v>
      </c>
      <c r="K748" s="4">
        <f t="shared" si="3"/>
        <v>75</v>
      </c>
      <c r="L748" s="4">
        <f t="shared" si="4"/>
        <v>-0.2597222222</v>
      </c>
      <c r="M748" s="4">
        <f t="shared" si="5"/>
        <v>74.74027778</v>
      </c>
    </row>
    <row r="749">
      <c r="A749" s="4" t="s">
        <v>94</v>
      </c>
      <c r="B749" s="4" t="s">
        <v>2925</v>
      </c>
      <c r="C749" s="4" t="s">
        <v>2926</v>
      </c>
      <c r="D749" s="4" t="s">
        <v>2927</v>
      </c>
      <c r="E749" s="10">
        <f>IFERROR(__xludf.DUMMYFUNCTION("SPLIT(B749,""T"")"),43469.0)</f>
        <v>43469</v>
      </c>
      <c r="F749" s="4" t="str">
        <f>IFERROR(__xludf.DUMMYFUNCTION("""COMPUTED_VALUE"""),"08:51:00Z")</f>
        <v>08:51:00Z</v>
      </c>
      <c r="G749" s="11" t="str">
        <f t="shared" si="1"/>
        <v>08:51:00</v>
      </c>
      <c r="H749" s="10">
        <f>IFERROR(__xludf.DUMMYFUNCTION("SPLIT(D749,""T"")"),43397.0)</f>
        <v>43397</v>
      </c>
      <c r="I749" s="4" t="str">
        <f>IFERROR(__xludf.DUMMYFUNCTION("""COMPUTED_VALUE"""),"12:18:00Z")</f>
        <v>12:18:00Z</v>
      </c>
      <c r="J749" s="4" t="str">
        <f t="shared" si="2"/>
        <v>12:18:00</v>
      </c>
      <c r="K749" s="4">
        <f t="shared" si="3"/>
        <v>72</v>
      </c>
      <c r="L749" s="4">
        <f t="shared" si="4"/>
        <v>-0.14375</v>
      </c>
      <c r="M749" s="4">
        <f t="shared" si="5"/>
        <v>71.85625</v>
      </c>
    </row>
    <row r="750">
      <c r="A750" s="4" t="s">
        <v>58</v>
      </c>
      <c r="B750" s="4" t="s">
        <v>2043</v>
      </c>
      <c r="C750" s="4" t="s">
        <v>667</v>
      </c>
      <c r="D750" s="4" t="s">
        <v>2400</v>
      </c>
      <c r="E750" s="10">
        <f>IFERROR(__xludf.DUMMYFUNCTION("SPLIT(B750,""T"")"),43109.0)</f>
        <v>43109</v>
      </c>
      <c r="F750" s="4" t="str">
        <f>IFERROR(__xludf.DUMMYFUNCTION("""COMPUTED_VALUE"""),"13:46:00Z")</f>
        <v>13:46:00Z</v>
      </c>
      <c r="G750" s="11" t="str">
        <f t="shared" si="1"/>
        <v>13:46:00</v>
      </c>
      <c r="H750" s="10">
        <f>IFERROR(__xludf.DUMMYFUNCTION("SPLIT(D750,""T"")"),43039.0)</f>
        <v>43039</v>
      </c>
      <c r="I750" s="4" t="str">
        <f>IFERROR(__xludf.DUMMYFUNCTION("""COMPUTED_VALUE"""),"11:22:00Z")</f>
        <v>11:22:00Z</v>
      </c>
      <c r="J750" s="4" t="str">
        <f t="shared" si="2"/>
        <v>11:22:00</v>
      </c>
      <c r="K750" s="4">
        <f t="shared" si="3"/>
        <v>70</v>
      </c>
      <c r="L750" s="4">
        <f t="shared" si="4"/>
        <v>0.1</v>
      </c>
      <c r="M750" s="4">
        <f t="shared" si="5"/>
        <v>70.1</v>
      </c>
    </row>
    <row r="751">
      <c r="A751" s="4" t="s">
        <v>54</v>
      </c>
      <c r="B751" s="4" t="s">
        <v>2043</v>
      </c>
      <c r="C751" s="4" t="s">
        <v>2358</v>
      </c>
      <c r="D751" s="4" t="s">
        <v>2359</v>
      </c>
      <c r="E751" s="10">
        <f>IFERROR(__xludf.DUMMYFUNCTION("SPLIT(B751,""T"")"),43109.0)</f>
        <v>43109</v>
      </c>
      <c r="F751" s="4" t="str">
        <f>IFERROR(__xludf.DUMMYFUNCTION("""COMPUTED_VALUE"""),"13:46:00Z")</f>
        <v>13:46:00Z</v>
      </c>
      <c r="G751" s="11" t="str">
        <f t="shared" si="1"/>
        <v>13:46:00</v>
      </c>
      <c r="H751" s="10">
        <f>IFERROR(__xludf.DUMMYFUNCTION("SPLIT(D751,""T"")"),43041.0)</f>
        <v>43041</v>
      </c>
      <c r="I751" s="4" t="str">
        <f>IFERROR(__xludf.DUMMYFUNCTION("""COMPUTED_VALUE"""),"14:40:00Z")</f>
        <v>14:40:00Z</v>
      </c>
      <c r="J751" s="4" t="str">
        <f t="shared" si="2"/>
        <v>14:40:00</v>
      </c>
      <c r="K751" s="4">
        <f t="shared" si="3"/>
        <v>68</v>
      </c>
      <c r="L751" s="4">
        <f t="shared" si="4"/>
        <v>-0.0375</v>
      </c>
      <c r="M751" s="4">
        <f t="shared" si="5"/>
        <v>67.9625</v>
      </c>
    </row>
    <row r="752">
      <c r="A752" s="4" t="s">
        <v>87</v>
      </c>
      <c r="B752" s="4" t="s">
        <v>2793</v>
      </c>
      <c r="C752" s="4" t="s">
        <v>764</v>
      </c>
      <c r="D752" s="4" t="s">
        <v>2794</v>
      </c>
      <c r="E752" s="10">
        <f>IFERROR(__xludf.DUMMYFUNCTION("SPLIT(B752,""T"")"),43469.0)</f>
        <v>43469</v>
      </c>
      <c r="F752" s="4" t="str">
        <f>IFERROR(__xludf.DUMMYFUNCTION("""COMPUTED_VALUE"""),"08:50:00Z")</f>
        <v>08:50:00Z</v>
      </c>
      <c r="G752" s="11" t="str">
        <f t="shared" si="1"/>
        <v>08:50:00</v>
      </c>
      <c r="H752" s="10">
        <f>IFERROR(__xludf.DUMMYFUNCTION("SPLIT(D752,""T"")"),43403.0)</f>
        <v>43403</v>
      </c>
      <c r="I752" s="4" t="str">
        <f>IFERROR(__xludf.DUMMYFUNCTION("""COMPUTED_VALUE"""),"14:46:00Z")</f>
        <v>14:46:00Z</v>
      </c>
      <c r="J752" s="4" t="str">
        <f t="shared" si="2"/>
        <v>14:46:00</v>
      </c>
      <c r="K752" s="4">
        <f t="shared" si="3"/>
        <v>66</v>
      </c>
      <c r="L752" s="4">
        <f t="shared" si="4"/>
        <v>-0.2472222222</v>
      </c>
      <c r="M752" s="4">
        <f t="shared" si="5"/>
        <v>65.75277778</v>
      </c>
    </row>
    <row r="753">
      <c r="A753" s="4" t="s">
        <v>39</v>
      </c>
      <c r="B753" s="4" t="s">
        <v>40</v>
      </c>
      <c r="C753" s="4" t="s">
        <v>41</v>
      </c>
      <c r="D753" s="4" t="s">
        <v>42</v>
      </c>
      <c r="E753" s="10">
        <f>IFERROR(__xludf.DUMMYFUNCTION("SPLIT(B753,""T"")"),41541.0)</f>
        <v>41541</v>
      </c>
      <c r="F753" s="4" t="str">
        <f>IFERROR(__xludf.DUMMYFUNCTION("""COMPUTED_VALUE"""),"20:15:00Z")</f>
        <v>20:15:00Z</v>
      </c>
      <c r="G753" s="11" t="str">
        <f t="shared" si="1"/>
        <v>20:15:00</v>
      </c>
      <c r="H753" s="10">
        <f>IFERROR(__xludf.DUMMYFUNCTION("SPLIT(D753,""T"")"),41477.0)</f>
        <v>41477</v>
      </c>
      <c r="I753" s="4" t="str">
        <f>IFERROR(__xludf.DUMMYFUNCTION("""COMPUTED_VALUE"""),"22:15:00Z")</f>
        <v>22:15:00Z</v>
      </c>
      <c r="J753" s="4" t="str">
        <f t="shared" si="2"/>
        <v>22:15:00</v>
      </c>
      <c r="K753" s="4">
        <f t="shared" si="3"/>
        <v>64</v>
      </c>
      <c r="L753" s="4">
        <f t="shared" si="4"/>
        <v>-0.08333333333</v>
      </c>
      <c r="M753" s="4">
        <f t="shared" si="5"/>
        <v>63.91666667</v>
      </c>
    </row>
    <row r="754">
      <c r="A754" s="4" t="s">
        <v>2038</v>
      </c>
      <c r="B754" s="4" t="s">
        <v>2793</v>
      </c>
      <c r="C754" s="4" t="s">
        <v>2595</v>
      </c>
      <c r="D754" s="4" t="s">
        <v>3163</v>
      </c>
      <c r="E754" s="10">
        <f>IFERROR(__xludf.DUMMYFUNCTION("SPLIT(B754,""T"")"),43469.0)</f>
        <v>43469</v>
      </c>
      <c r="F754" s="4" t="str">
        <f>IFERROR(__xludf.DUMMYFUNCTION("""COMPUTED_VALUE"""),"08:50:00Z")</f>
        <v>08:50:00Z</v>
      </c>
      <c r="G754" s="11" t="str">
        <f t="shared" si="1"/>
        <v>08:50:00</v>
      </c>
      <c r="H754" s="10">
        <f>IFERROR(__xludf.DUMMYFUNCTION("SPLIT(D754,""T"")"),43407.0)</f>
        <v>43407</v>
      </c>
      <c r="I754" s="4" t="str">
        <f>IFERROR(__xludf.DUMMYFUNCTION("""COMPUTED_VALUE"""),"21:28:00Z")</f>
        <v>21:28:00Z</v>
      </c>
      <c r="J754" s="4" t="str">
        <f t="shared" si="2"/>
        <v>21:28:00</v>
      </c>
      <c r="K754" s="4">
        <f t="shared" si="3"/>
        <v>62</v>
      </c>
      <c r="L754" s="4">
        <f t="shared" si="4"/>
        <v>-0.5263888889</v>
      </c>
      <c r="M754" s="4">
        <f t="shared" si="5"/>
        <v>61.47361111</v>
      </c>
    </row>
    <row r="755">
      <c r="A755" s="4" t="s">
        <v>54</v>
      </c>
      <c r="B755" s="4" t="s">
        <v>2793</v>
      </c>
      <c r="C755" s="4" t="s">
        <v>3017</v>
      </c>
      <c r="D755" s="4" t="s">
        <v>3018</v>
      </c>
      <c r="E755" s="10">
        <f>IFERROR(__xludf.DUMMYFUNCTION("SPLIT(B755,""T"")"),43469.0)</f>
        <v>43469</v>
      </c>
      <c r="F755" s="4" t="str">
        <f>IFERROR(__xludf.DUMMYFUNCTION("""COMPUTED_VALUE"""),"08:50:00Z")</f>
        <v>08:50:00Z</v>
      </c>
      <c r="G755" s="11" t="str">
        <f t="shared" si="1"/>
        <v>08:50:00</v>
      </c>
      <c r="H755" s="10">
        <f>IFERROR(__xludf.DUMMYFUNCTION("SPLIT(D755,""T"")"),43409.0)</f>
        <v>43409</v>
      </c>
      <c r="I755" s="4" t="str">
        <f>IFERROR(__xludf.DUMMYFUNCTION("""COMPUTED_VALUE"""),"10:17:00Z")</f>
        <v>10:17:00Z</v>
      </c>
      <c r="J755" s="4" t="str">
        <f t="shared" si="2"/>
        <v>10:17:00</v>
      </c>
      <c r="K755" s="4">
        <f t="shared" si="3"/>
        <v>60</v>
      </c>
      <c r="L755" s="4">
        <f t="shared" si="4"/>
        <v>-0.06041666667</v>
      </c>
      <c r="M755" s="4">
        <f t="shared" si="5"/>
        <v>59.93958333</v>
      </c>
    </row>
    <row r="756">
      <c r="A756" s="4" t="s">
        <v>94</v>
      </c>
      <c r="B756" s="4" t="s">
        <v>1309</v>
      </c>
      <c r="C756" s="4" t="s">
        <v>1731</v>
      </c>
      <c r="D756" s="4" t="s">
        <v>1732</v>
      </c>
      <c r="E756" s="10">
        <f>IFERROR(__xludf.DUMMYFUNCTION("SPLIT(B756,""T"")"),42723.0)</f>
        <v>42723</v>
      </c>
      <c r="F756" s="4" t="str">
        <f>IFERROR(__xludf.DUMMYFUNCTION("""COMPUTED_VALUE"""),"13:30:00Z")</f>
        <v>13:30:00Z</v>
      </c>
      <c r="G756" s="11" t="str">
        <f t="shared" si="1"/>
        <v>13:30:00</v>
      </c>
      <c r="H756" s="10">
        <f>IFERROR(__xludf.DUMMYFUNCTION("SPLIT(D756,""T"")"),42663.0)</f>
        <v>42663</v>
      </c>
      <c r="I756" s="4" t="str">
        <f>IFERROR(__xludf.DUMMYFUNCTION("""COMPUTED_VALUE"""),"17:00:00Z")</f>
        <v>17:00:00Z</v>
      </c>
      <c r="J756" s="4" t="str">
        <f t="shared" si="2"/>
        <v>17:00:00</v>
      </c>
      <c r="K756" s="4">
        <f t="shared" si="3"/>
        <v>60</v>
      </c>
      <c r="L756" s="4">
        <f t="shared" si="4"/>
        <v>-0.1458333333</v>
      </c>
      <c r="M756" s="4">
        <f t="shared" si="5"/>
        <v>59.85416667</v>
      </c>
    </row>
    <row r="757">
      <c r="A757" s="4" t="s">
        <v>874</v>
      </c>
      <c r="B757" s="4" t="s">
        <v>2043</v>
      </c>
      <c r="C757" s="4" t="s">
        <v>2044</v>
      </c>
      <c r="D757" s="4" t="s">
        <v>2045</v>
      </c>
      <c r="E757" s="10">
        <f>IFERROR(__xludf.DUMMYFUNCTION("SPLIT(B757,""T"")"),43109.0)</f>
        <v>43109</v>
      </c>
      <c r="F757" s="4" t="str">
        <f>IFERROR(__xludf.DUMMYFUNCTION("""COMPUTED_VALUE"""),"13:46:00Z")</f>
        <v>13:46:00Z</v>
      </c>
      <c r="G757" s="11" t="str">
        <f t="shared" si="1"/>
        <v>13:46:00</v>
      </c>
      <c r="H757" s="10">
        <f>IFERROR(__xludf.DUMMYFUNCTION("SPLIT(D757,""T"")"),43052.0)</f>
        <v>43052</v>
      </c>
      <c r="I757" s="4" t="str">
        <f>IFERROR(__xludf.DUMMYFUNCTION("""COMPUTED_VALUE"""),"11:28:00Z")</f>
        <v>11:28:00Z</v>
      </c>
      <c r="J757" s="4" t="str">
        <f t="shared" si="2"/>
        <v>11:28:00</v>
      </c>
      <c r="K757" s="4">
        <f t="shared" si="3"/>
        <v>57</v>
      </c>
      <c r="L757" s="4">
        <f t="shared" si="4"/>
        <v>0.09583333333</v>
      </c>
      <c r="M757" s="4">
        <f t="shared" si="5"/>
        <v>57.09583333</v>
      </c>
    </row>
    <row r="758">
      <c r="A758" s="4" t="s">
        <v>320</v>
      </c>
      <c r="B758" s="4" t="s">
        <v>2748</v>
      </c>
      <c r="C758" s="4" t="s">
        <v>2965</v>
      </c>
      <c r="D758" s="4" t="s">
        <v>2966</v>
      </c>
      <c r="E758" s="10">
        <f>IFERROR(__xludf.DUMMYFUNCTION("SPLIT(B758,""T"")"),43469.0)</f>
        <v>43469</v>
      </c>
      <c r="F758" s="4" t="str">
        <f>IFERROR(__xludf.DUMMYFUNCTION("""COMPUTED_VALUE"""),"08:47:00Z")</f>
        <v>08:47:00Z</v>
      </c>
      <c r="G758" s="11" t="str">
        <f t="shared" si="1"/>
        <v>08:47:00</v>
      </c>
      <c r="H758" s="10">
        <f>IFERROR(__xludf.DUMMYFUNCTION("SPLIT(D758,""T"")"),43412.0)</f>
        <v>43412</v>
      </c>
      <c r="I758" s="4" t="str">
        <f>IFERROR(__xludf.DUMMYFUNCTION("""COMPUTED_VALUE"""),"11:25:00Z")</f>
        <v>11:25:00Z</v>
      </c>
      <c r="J758" s="4" t="str">
        <f t="shared" si="2"/>
        <v>11:25:00</v>
      </c>
      <c r="K758" s="4">
        <f t="shared" si="3"/>
        <v>57</v>
      </c>
      <c r="L758" s="4">
        <f t="shared" si="4"/>
        <v>-0.1097222222</v>
      </c>
      <c r="M758" s="4">
        <f t="shared" si="5"/>
        <v>56.89027778</v>
      </c>
    </row>
    <row r="759">
      <c r="A759" s="4" t="s">
        <v>313</v>
      </c>
      <c r="B759" s="4" t="s">
        <v>3088</v>
      </c>
      <c r="C759" s="4" t="s">
        <v>3089</v>
      </c>
      <c r="D759" s="4" t="s">
        <v>3090</v>
      </c>
      <c r="E759" s="10">
        <f>IFERROR(__xludf.DUMMYFUNCTION("SPLIT(B759,""T"")"),43469.0)</f>
        <v>43469</v>
      </c>
      <c r="F759" s="4" t="str">
        <f>IFERROR(__xludf.DUMMYFUNCTION("""COMPUTED_VALUE"""),"08:49:00Z")</f>
        <v>08:49:00Z</v>
      </c>
      <c r="G759" s="11" t="str">
        <f t="shared" si="1"/>
        <v>08:49:00</v>
      </c>
      <c r="H759" s="10">
        <f>IFERROR(__xludf.DUMMYFUNCTION("SPLIT(D759,""T"")"),43412.0)</f>
        <v>43412</v>
      </c>
      <c r="I759" s="4" t="str">
        <f>IFERROR(__xludf.DUMMYFUNCTION("""COMPUTED_VALUE"""),"11:58:00Z")</f>
        <v>11:58:00Z</v>
      </c>
      <c r="J759" s="4" t="str">
        <f t="shared" si="2"/>
        <v>11:58:00</v>
      </c>
      <c r="K759" s="4">
        <f t="shared" si="3"/>
        <v>57</v>
      </c>
      <c r="L759" s="4">
        <f t="shared" si="4"/>
        <v>-0.13125</v>
      </c>
      <c r="M759" s="4">
        <f t="shared" si="5"/>
        <v>56.86875</v>
      </c>
    </row>
    <row r="760">
      <c r="A760" s="4" t="s">
        <v>278</v>
      </c>
      <c r="B760" s="4" t="s">
        <v>2748</v>
      </c>
      <c r="C760" s="4" t="s">
        <v>2749</v>
      </c>
      <c r="D760" s="4" t="s">
        <v>2750</v>
      </c>
      <c r="E760" s="10">
        <f>IFERROR(__xludf.DUMMYFUNCTION("SPLIT(B760,""T"")"),43469.0)</f>
        <v>43469</v>
      </c>
      <c r="F760" s="4" t="str">
        <f>IFERROR(__xludf.DUMMYFUNCTION("""COMPUTED_VALUE"""),"08:47:00Z")</f>
        <v>08:47:00Z</v>
      </c>
      <c r="G760" s="11" t="str">
        <f t="shared" si="1"/>
        <v>08:47:00</v>
      </c>
      <c r="H760" s="10">
        <f>IFERROR(__xludf.DUMMYFUNCTION("SPLIT(D760,""T"")"),43412.0)</f>
        <v>43412</v>
      </c>
      <c r="I760" s="4" t="str">
        <f>IFERROR(__xludf.DUMMYFUNCTION("""COMPUTED_VALUE"""),"13:28:00Z")</f>
        <v>13:28:00Z</v>
      </c>
      <c r="J760" s="4" t="str">
        <f t="shared" si="2"/>
        <v>13:28:00</v>
      </c>
      <c r="K760" s="4">
        <f t="shared" si="3"/>
        <v>57</v>
      </c>
      <c r="L760" s="4">
        <f t="shared" si="4"/>
        <v>-0.1951388889</v>
      </c>
      <c r="M760" s="4">
        <f t="shared" si="5"/>
        <v>56.80486111</v>
      </c>
    </row>
    <row r="761">
      <c r="A761" s="4" t="s">
        <v>35</v>
      </c>
      <c r="B761" s="4" t="s">
        <v>2699</v>
      </c>
      <c r="C761" s="4" t="s">
        <v>1914</v>
      </c>
      <c r="D761" s="4" t="s">
        <v>2700</v>
      </c>
      <c r="E761" s="10">
        <f>IFERROR(__xludf.DUMMYFUNCTION("SPLIT(B761,""T"")"),43469.0)</f>
        <v>43469</v>
      </c>
      <c r="F761" s="4" t="str">
        <f>IFERROR(__xludf.DUMMYFUNCTION("""COMPUTED_VALUE"""),"08:43:00Z")</f>
        <v>08:43:00Z</v>
      </c>
      <c r="G761" s="11" t="str">
        <f t="shared" si="1"/>
        <v>08:43:00</v>
      </c>
      <c r="H761" s="10">
        <f>IFERROR(__xludf.DUMMYFUNCTION("SPLIT(D761,""T"")"),43412.0)</f>
        <v>43412</v>
      </c>
      <c r="I761" s="4" t="str">
        <f>IFERROR(__xludf.DUMMYFUNCTION("""COMPUTED_VALUE"""),"14:03:00Z")</f>
        <v>14:03:00Z</v>
      </c>
      <c r="J761" s="4" t="str">
        <f t="shared" si="2"/>
        <v>14:03:00</v>
      </c>
      <c r="K761" s="4">
        <f t="shared" si="3"/>
        <v>57</v>
      </c>
      <c r="L761" s="4">
        <f t="shared" si="4"/>
        <v>-0.2222222222</v>
      </c>
      <c r="M761" s="4">
        <f t="shared" si="5"/>
        <v>56.77777778</v>
      </c>
    </row>
    <row r="762">
      <c r="A762" s="4" t="s">
        <v>23</v>
      </c>
      <c r="B762" s="4" t="s">
        <v>2653</v>
      </c>
      <c r="C762" s="4" t="s">
        <v>2654</v>
      </c>
      <c r="D762" s="4" t="s">
        <v>2655</v>
      </c>
      <c r="E762" s="10">
        <f>IFERROR(__xludf.DUMMYFUNCTION("SPLIT(B762,""T"")"),43469.0)</f>
        <v>43469</v>
      </c>
      <c r="F762" s="4" t="str">
        <f>IFERROR(__xludf.DUMMYFUNCTION("""COMPUTED_VALUE"""),"08:42:00Z")</f>
        <v>08:42:00Z</v>
      </c>
      <c r="G762" s="11" t="str">
        <f t="shared" si="1"/>
        <v>08:42:00</v>
      </c>
      <c r="H762" s="10">
        <f>IFERROR(__xludf.DUMMYFUNCTION("SPLIT(D762,""T"")"),43412.0)</f>
        <v>43412</v>
      </c>
      <c r="I762" s="4" t="str">
        <f>IFERROR(__xludf.DUMMYFUNCTION("""COMPUTED_VALUE"""),"14:24:00Z")</f>
        <v>14:24:00Z</v>
      </c>
      <c r="J762" s="4" t="str">
        <f t="shared" si="2"/>
        <v>14:24:00</v>
      </c>
      <c r="K762" s="4">
        <f t="shared" si="3"/>
        <v>57</v>
      </c>
      <c r="L762" s="4">
        <f t="shared" si="4"/>
        <v>-0.2375</v>
      </c>
      <c r="M762" s="4">
        <f t="shared" si="5"/>
        <v>56.7625</v>
      </c>
    </row>
    <row r="763">
      <c r="A763" s="4" t="s">
        <v>35</v>
      </c>
      <c r="B763" s="4" t="s">
        <v>2653</v>
      </c>
      <c r="C763" s="4" t="s">
        <v>2654</v>
      </c>
      <c r="D763" s="4" t="s">
        <v>2655</v>
      </c>
      <c r="E763" s="10">
        <f>IFERROR(__xludf.DUMMYFUNCTION("SPLIT(B763,""T"")"),43469.0)</f>
        <v>43469</v>
      </c>
      <c r="F763" s="4" t="str">
        <f>IFERROR(__xludf.DUMMYFUNCTION("""COMPUTED_VALUE"""),"08:42:00Z")</f>
        <v>08:42:00Z</v>
      </c>
      <c r="G763" s="11" t="str">
        <f t="shared" si="1"/>
        <v>08:42:00</v>
      </c>
      <c r="H763" s="10">
        <f>IFERROR(__xludf.DUMMYFUNCTION("SPLIT(D763,""T"")"),43412.0)</f>
        <v>43412</v>
      </c>
      <c r="I763" s="4" t="str">
        <f>IFERROR(__xludf.DUMMYFUNCTION("""COMPUTED_VALUE"""),"14:24:00Z")</f>
        <v>14:24:00Z</v>
      </c>
      <c r="J763" s="4" t="str">
        <f t="shared" si="2"/>
        <v>14:24:00</v>
      </c>
      <c r="K763" s="4">
        <f t="shared" si="3"/>
        <v>57</v>
      </c>
      <c r="L763" s="4">
        <f t="shared" si="4"/>
        <v>-0.2375</v>
      </c>
      <c r="M763" s="4">
        <f t="shared" si="5"/>
        <v>56.7625</v>
      </c>
    </row>
    <row r="764">
      <c r="A764" s="4" t="s">
        <v>1768</v>
      </c>
      <c r="B764" s="4" t="s">
        <v>3522</v>
      </c>
      <c r="C764" s="4" t="s">
        <v>2432</v>
      </c>
      <c r="D764" s="4" t="s">
        <v>3523</v>
      </c>
      <c r="E764" s="10">
        <f>IFERROR(__xludf.DUMMYFUNCTION("SPLIT(B764,""T"")"),43640.0)</f>
        <v>43640</v>
      </c>
      <c r="F764" s="4" t="str">
        <f>IFERROR(__xludf.DUMMYFUNCTION("""COMPUTED_VALUE"""),"11:45:00Z")</f>
        <v>11:45:00Z</v>
      </c>
      <c r="G764" s="11" t="str">
        <f t="shared" si="1"/>
        <v>11:45:00</v>
      </c>
      <c r="H764" s="10">
        <f>IFERROR(__xludf.DUMMYFUNCTION("SPLIT(D764,""T"")"),43583.0)</f>
        <v>43583</v>
      </c>
      <c r="I764" s="4" t="str">
        <f>IFERROR(__xludf.DUMMYFUNCTION("""COMPUTED_VALUE"""),"22:20:00Z")</f>
        <v>22:20:00Z</v>
      </c>
      <c r="J764" s="4" t="str">
        <f t="shared" si="2"/>
        <v>22:20:00</v>
      </c>
      <c r="K764" s="4">
        <f t="shared" si="3"/>
        <v>57</v>
      </c>
      <c r="L764" s="4">
        <f t="shared" si="4"/>
        <v>-0.4409722222</v>
      </c>
      <c r="M764" s="4">
        <f t="shared" si="5"/>
        <v>56.55902778</v>
      </c>
    </row>
    <row r="765">
      <c r="A765" s="4" t="s">
        <v>27</v>
      </c>
      <c r="B765" s="4" t="s">
        <v>2043</v>
      </c>
      <c r="C765" s="4" t="s">
        <v>2376</v>
      </c>
      <c r="D765" s="4" t="s">
        <v>2377</v>
      </c>
      <c r="E765" s="10">
        <f>IFERROR(__xludf.DUMMYFUNCTION("SPLIT(B765,""T"")"),43109.0)</f>
        <v>43109</v>
      </c>
      <c r="F765" s="4" t="str">
        <f>IFERROR(__xludf.DUMMYFUNCTION("""COMPUTED_VALUE"""),"13:46:00Z")</f>
        <v>13:46:00Z</v>
      </c>
      <c r="G765" s="11" t="str">
        <f t="shared" si="1"/>
        <v>13:46:00</v>
      </c>
      <c r="H765" s="10">
        <f>IFERROR(__xludf.DUMMYFUNCTION("SPLIT(D765,""T"")"),43053.0)</f>
        <v>43053</v>
      </c>
      <c r="I765" s="4" t="str">
        <f>IFERROR(__xludf.DUMMYFUNCTION("""COMPUTED_VALUE"""),"16:11:00Z")</f>
        <v>16:11:00Z</v>
      </c>
      <c r="J765" s="4" t="str">
        <f t="shared" si="2"/>
        <v>16:11:00</v>
      </c>
      <c r="K765" s="4">
        <f t="shared" si="3"/>
        <v>56</v>
      </c>
      <c r="L765" s="4">
        <f t="shared" si="4"/>
        <v>-0.1006944444</v>
      </c>
      <c r="M765" s="4">
        <f t="shared" si="5"/>
        <v>55.89930556</v>
      </c>
    </row>
    <row r="766">
      <c r="A766" s="4" t="s">
        <v>35</v>
      </c>
      <c r="B766" s="4" t="s">
        <v>2872</v>
      </c>
      <c r="C766" s="4" t="s">
        <v>1988</v>
      </c>
      <c r="D766" s="4" t="s">
        <v>2873</v>
      </c>
      <c r="E766" s="10">
        <f>IFERROR(__xludf.DUMMYFUNCTION("SPLIT(B766,""T"")"),43469.0)</f>
        <v>43469</v>
      </c>
      <c r="F766" s="4" t="str">
        <f>IFERROR(__xludf.DUMMYFUNCTION("""COMPUTED_VALUE"""),"08:46:00Z")</f>
        <v>08:46:00Z</v>
      </c>
      <c r="G766" s="11" t="str">
        <f t="shared" si="1"/>
        <v>08:46:00</v>
      </c>
      <c r="H766" s="10">
        <f>IFERROR(__xludf.DUMMYFUNCTION("SPLIT(D766,""T"")"),43416.0)</f>
        <v>43416</v>
      </c>
      <c r="I766" s="4" t="str">
        <f>IFERROR(__xludf.DUMMYFUNCTION("""COMPUTED_VALUE"""),"10:06:00Z")</f>
        <v>10:06:00Z</v>
      </c>
      <c r="J766" s="4" t="str">
        <f t="shared" si="2"/>
        <v>10:06:00</v>
      </c>
      <c r="K766" s="4">
        <f t="shared" si="3"/>
        <v>53</v>
      </c>
      <c r="L766" s="4">
        <f t="shared" si="4"/>
        <v>-0.05555555556</v>
      </c>
      <c r="M766" s="4">
        <f t="shared" si="5"/>
        <v>52.94444444</v>
      </c>
    </row>
    <row r="767">
      <c r="A767" s="4" t="s">
        <v>50</v>
      </c>
      <c r="B767" s="4" t="s">
        <v>2872</v>
      </c>
      <c r="C767" s="4" t="s">
        <v>3220</v>
      </c>
      <c r="D767" s="4" t="s">
        <v>3221</v>
      </c>
      <c r="E767" s="10">
        <f>IFERROR(__xludf.DUMMYFUNCTION("SPLIT(B767,""T"")"),43469.0)</f>
        <v>43469</v>
      </c>
      <c r="F767" s="4" t="str">
        <f>IFERROR(__xludf.DUMMYFUNCTION("""COMPUTED_VALUE"""),"08:46:00Z")</f>
        <v>08:46:00Z</v>
      </c>
      <c r="G767" s="11" t="str">
        <f t="shared" si="1"/>
        <v>08:46:00</v>
      </c>
      <c r="H767" s="10">
        <f>IFERROR(__xludf.DUMMYFUNCTION("SPLIT(D767,""T"")"),43416.0)</f>
        <v>43416</v>
      </c>
      <c r="I767" s="4" t="str">
        <f>IFERROR(__xludf.DUMMYFUNCTION("""COMPUTED_VALUE"""),"17:39:00Z")</f>
        <v>17:39:00Z</v>
      </c>
      <c r="J767" s="4" t="str">
        <f t="shared" si="2"/>
        <v>17:39:00</v>
      </c>
      <c r="K767" s="4">
        <f t="shared" si="3"/>
        <v>53</v>
      </c>
      <c r="L767" s="4">
        <f t="shared" si="4"/>
        <v>-0.3701388889</v>
      </c>
      <c r="M767" s="4">
        <f t="shared" si="5"/>
        <v>52.62986111</v>
      </c>
    </row>
    <row r="768">
      <c r="A768" s="4" t="s">
        <v>134</v>
      </c>
      <c r="B768" s="4" t="s">
        <v>2909</v>
      </c>
      <c r="C768" s="4" t="s">
        <v>223</v>
      </c>
      <c r="D768" s="4" t="s">
        <v>2910</v>
      </c>
      <c r="E768" s="10">
        <f>IFERROR(__xludf.DUMMYFUNCTION("SPLIT(B768,""T"")"),43469.0)</f>
        <v>43469</v>
      </c>
      <c r="F768" s="4" t="str">
        <f>IFERROR(__xludf.DUMMYFUNCTION("""COMPUTED_VALUE"""),"08:45:00Z")</f>
        <v>08:45:00Z</v>
      </c>
      <c r="G768" s="11" t="str">
        <f t="shared" si="1"/>
        <v>08:45:00</v>
      </c>
      <c r="H768" s="10">
        <f>IFERROR(__xludf.DUMMYFUNCTION("SPLIT(D768,""T"")"),43417.0)</f>
        <v>43417</v>
      </c>
      <c r="I768" s="4" t="str">
        <f>IFERROR(__xludf.DUMMYFUNCTION("""COMPUTED_VALUE"""),"08:19:00Z")</f>
        <v>08:19:00Z</v>
      </c>
      <c r="J768" s="4" t="str">
        <f t="shared" si="2"/>
        <v>08:19:00</v>
      </c>
      <c r="K768" s="4">
        <f t="shared" si="3"/>
        <v>52</v>
      </c>
      <c r="L768" s="4">
        <f t="shared" si="4"/>
        <v>0.01805555556</v>
      </c>
      <c r="M768" s="4">
        <f t="shared" si="5"/>
        <v>52.01805556</v>
      </c>
    </row>
    <row r="769">
      <c r="A769" s="4" t="s">
        <v>94</v>
      </c>
      <c r="B769" s="4" t="s">
        <v>1309</v>
      </c>
      <c r="C769" s="4" t="s">
        <v>569</v>
      </c>
      <c r="D769" s="4" t="s">
        <v>1310</v>
      </c>
      <c r="E769" s="10">
        <f>IFERROR(__xludf.DUMMYFUNCTION("SPLIT(B769,""T"")"),42723.0)</f>
        <v>42723</v>
      </c>
      <c r="F769" s="4" t="str">
        <f>IFERROR(__xludf.DUMMYFUNCTION("""COMPUTED_VALUE"""),"13:30:00Z")</f>
        <v>13:30:00Z</v>
      </c>
      <c r="G769" s="11" t="str">
        <f t="shared" si="1"/>
        <v>13:30:00</v>
      </c>
      <c r="H769" s="10">
        <f>IFERROR(__xludf.DUMMYFUNCTION("SPLIT(D769,""T"")"),42672.0)</f>
        <v>42672</v>
      </c>
      <c r="I769" s="4" t="str">
        <f>IFERROR(__xludf.DUMMYFUNCTION("""COMPUTED_VALUE"""),"11:15:00Z")</f>
        <v>11:15:00Z</v>
      </c>
      <c r="J769" s="4" t="str">
        <f t="shared" si="2"/>
        <v>11:15:00</v>
      </c>
      <c r="K769" s="4">
        <f t="shared" si="3"/>
        <v>51</v>
      </c>
      <c r="L769" s="4">
        <f t="shared" si="4"/>
        <v>0.09375</v>
      </c>
      <c r="M769" s="4">
        <f t="shared" si="5"/>
        <v>51.09375</v>
      </c>
    </row>
    <row r="770">
      <c r="A770" s="4" t="s">
        <v>205</v>
      </c>
      <c r="B770" s="4" t="s">
        <v>2909</v>
      </c>
      <c r="C770" s="4" t="s">
        <v>3149</v>
      </c>
      <c r="D770" s="4" t="s">
        <v>3150</v>
      </c>
      <c r="E770" s="10">
        <f>IFERROR(__xludf.DUMMYFUNCTION("SPLIT(B770,""T"")"),43469.0)</f>
        <v>43469</v>
      </c>
      <c r="F770" s="4" t="str">
        <f>IFERROR(__xludf.DUMMYFUNCTION("""COMPUTED_VALUE"""),"08:45:00Z")</f>
        <v>08:45:00Z</v>
      </c>
      <c r="G770" s="11" t="str">
        <f t="shared" si="1"/>
        <v>08:45:00</v>
      </c>
      <c r="H770" s="10">
        <f>IFERROR(__xludf.DUMMYFUNCTION("SPLIT(D770,""T"")"),43418.0)</f>
        <v>43418</v>
      </c>
      <c r="I770" s="4" t="str">
        <f>IFERROR(__xludf.DUMMYFUNCTION("""COMPUTED_VALUE"""),"14:56:00Z")</f>
        <v>14:56:00Z</v>
      </c>
      <c r="J770" s="4" t="str">
        <f t="shared" si="2"/>
        <v>14:56:00</v>
      </c>
      <c r="K770" s="4">
        <f t="shared" si="3"/>
        <v>51</v>
      </c>
      <c r="L770" s="4">
        <f t="shared" si="4"/>
        <v>-0.2576388889</v>
      </c>
      <c r="M770" s="4">
        <f t="shared" si="5"/>
        <v>50.74236111</v>
      </c>
    </row>
    <row r="771">
      <c r="A771" s="4" t="s">
        <v>35</v>
      </c>
      <c r="B771" s="4" t="s">
        <v>2904</v>
      </c>
      <c r="C771" s="4" t="s">
        <v>1444</v>
      </c>
      <c r="D771" s="4" t="s">
        <v>2905</v>
      </c>
      <c r="E771" s="10">
        <f>IFERROR(__xludf.DUMMYFUNCTION("SPLIT(B771,""T"")"),43469.0)</f>
        <v>43469</v>
      </c>
      <c r="F771" s="4" t="str">
        <f>IFERROR(__xludf.DUMMYFUNCTION("""COMPUTED_VALUE"""),"08:44:00Z")</f>
        <v>08:44:00Z</v>
      </c>
      <c r="G771" s="11" t="str">
        <f t="shared" si="1"/>
        <v>08:44:00</v>
      </c>
      <c r="H771" s="10">
        <f>IFERROR(__xludf.DUMMYFUNCTION("SPLIT(D771,""T"")"),43419.0)</f>
        <v>43419</v>
      </c>
      <c r="I771" s="4" t="str">
        <f>IFERROR(__xludf.DUMMYFUNCTION("""COMPUTED_VALUE"""),"01:39:00Z")</f>
        <v>01:39:00Z</v>
      </c>
      <c r="J771" s="4" t="str">
        <f t="shared" si="2"/>
        <v>01:39:00</v>
      </c>
      <c r="K771" s="4">
        <f t="shared" si="3"/>
        <v>50</v>
      </c>
      <c r="L771" s="4">
        <f t="shared" si="4"/>
        <v>0.2951388889</v>
      </c>
      <c r="M771" s="4">
        <f t="shared" si="5"/>
        <v>50.29513889</v>
      </c>
    </row>
    <row r="772">
      <c r="A772" s="4" t="s">
        <v>80</v>
      </c>
      <c r="B772" s="4" t="s">
        <v>2904</v>
      </c>
      <c r="C772" s="4" t="s">
        <v>82</v>
      </c>
      <c r="D772" s="4" t="s">
        <v>3148</v>
      </c>
      <c r="E772" s="10">
        <f>IFERROR(__xludf.DUMMYFUNCTION("SPLIT(B772,""T"")"),43469.0)</f>
        <v>43469</v>
      </c>
      <c r="F772" s="4" t="str">
        <f>IFERROR(__xludf.DUMMYFUNCTION("""COMPUTED_VALUE"""),"08:44:00Z")</f>
        <v>08:44:00Z</v>
      </c>
      <c r="G772" s="11" t="str">
        <f t="shared" si="1"/>
        <v>08:44:00</v>
      </c>
      <c r="H772" s="10">
        <f>IFERROR(__xludf.DUMMYFUNCTION("SPLIT(D772,""T"")"),43419.0)</f>
        <v>43419</v>
      </c>
      <c r="I772" s="4" t="str">
        <f>IFERROR(__xludf.DUMMYFUNCTION("""COMPUTED_VALUE"""),"13:31:00Z")</f>
        <v>13:31:00Z</v>
      </c>
      <c r="J772" s="4" t="str">
        <f t="shared" si="2"/>
        <v>13:31:00</v>
      </c>
      <c r="K772" s="4">
        <f t="shared" si="3"/>
        <v>50</v>
      </c>
      <c r="L772" s="4">
        <f t="shared" si="4"/>
        <v>-0.1993055556</v>
      </c>
      <c r="M772" s="4">
        <f t="shared" si="5"/>
        <v>49.80069444</v>
      </c>
    </row>
    <row r="773">
      <c r="A773" s="4" t="s">
        <v>2038</v>
      </c>
      <c r="B773" s="4" t="s">
        <v>2904</v>
      </c>
      <c r="C773" s="4" t="s">
        <v>2039</v>
      </c>
      <c r="D773" s="4" t="s">
        <v>3219</v>
      </c>
      <c r="E773" s="10">
        <f>IFERROR(__xludf.DUMMYFUNCTION("SPLIT(B773,""T"")"),43469.0)</f>
        <v>43469</v>
      </c>
      <c r="F773" s="4" t="str">
        <f>IFERROR(__xludf.DUMMYFUNCTION("""COMPUTED_VALUE"""),"08:44:00Z")</f>
        <v>08:44:00Z</v>
      </c>
      <c r="G773" s="11" t="str">
        <f t="shared" si="1"/>
        <v>08:44:00</v>
      </c>
      <c r="H773" s="10">
        <f>IFERROR(__xludf.DUMMYFUNCTION("SPLIT(D773,""T"")"),43420.0)</f>
        <v>43420</v>
      </c>
      <c r="I773" s="4" t="str">
        <f>IFERROR(__xludf.DUMMYFUNCTION("""COMPUTED_VALUE"""),"11:01:00Z")</f>
        <v>11:01:00Z</v>
      </c>
      <c r="J773" s="4" t="str">
        <f t="shared" si="2"/>
        <v>11:01:00</v>
      </c>
      <c r="K773" s="4">
        <f t="shared" si="3"/>
        <v>49</v>
      </c>
      <c r="L773" s="4">
        <f t="shared" si="4"/>
        <v>-0.09513888889</v>
      </c>
      <c r="M773" s="4">
        <f t="shared" si="5"/>
        <v>48.90486111</v>
      </c>
    </row>
    <row r="774">
      <c r="A774" s="4" t="s">
        <v>94</v>
      </c>
      <c r="B774" s="4" t="s">
        <v>875</v>
      </c>
      <c r="C774" s="4" t="s">
        <v>876</v>
      </c>
      <c r="D774" s="4" t="s">
        <v>877</v>
      </c>
      <c r="E774" s="10">
        <f>IFERROR(__xludf.DUMMYFUNCTION("SPLIT(B774,""T"")"),42252.0)</f>
        <v>42252</v>
      </c>
      <c r="F774" s="4" t="str">
        <f>IFERROR(__xludf.DUMMYFUNCTION("""COMPUTED_VALUE"""),"18:00:00Z")</f>
        <v>18:00:00Z</v>
      </c>
      <c r="G774" s="11" t="str">
        <f t="shared" si="1"/>
        <v>18:00:00</v>
      </c>
      <c r="H774" s="10">
        <f>IFERROR(__xludf.DUMMYFUNCTION("SPLIT(D774,""T"")"),42204.0)</f>
        <v>42204</v>
      </c>
      <c r="I774" s="4" t="str">
        <f>IFERROR(__xludf.DUMMYFUNCTION("""COMPUTED_VALUE"""),"08:00:00Z")</f>
        <v>08:00:00Z</v>
      </c>
      <c r="J774" s="4" t="str">
        <f t="shared" si="2"/>
        <v>08:00:00</v>
      </c>
      <c r="K774" s="4">
        <f t="shared" si="3"/>
        <v>48</v>
      </c>
      <c r="L774" s="4">
        <f t="shared" si="4"/>
        <v>0.4166666667</v>
      </c>
      <c r="M774" s="4">
        <f t="shared" si="5"/>
        <v>48.41666667</v>
      </c>
    </row>
    <row r="775">
      <c r="A775" s="4" t="s">
        <v>23</v>
      </c>
      <c r="B775" s="4" t="s">
        <v>2022</v>
      </c>
      <c r="C775" s="4" t="s">
        <v>2023</v>
      </c>
      <c r="D775" s="4" t="s">
        <v>2024</v>
      </c>
      <c r="E775" s="10">
        <f>IFERROR(__xludf.DUMMYFUNCTION("SPLIT(B775,""T"")"),43123.0)</f>
        <v>43123</v>
      </c>
      <c r="F775" s="4" t="str">
        <f>IFERROR(__xludf.DUMMYFUNCTION("""COMPUTED_VALUE"""),"08:11:00Z")</f>
        <v>08:11:00Z</v>
      </c>
      <c r="G775" s="11" t="str">
        <f t="shared" si="1"/>
        <v>08:11:00</v>
      </c>
      <c r="H775" s="10">
        <f>IFERROR(__xludf.DUMMYFUNCTION("SPLIT(D775,""T"")"),43075.0)</f>
        <v>43075</v>
      </c>
      <c r="I775" s="4" t="str">
        <f>IFERROR(__xludf.DUMMYFUNCTION("""COMPUTED_VALUE"""),"06:31:00Z")</f>
        <v>06:31:00Z</v>
      </c>
      <c r="J775" s="4" t="str">
        <f t="shared" si="2"/>
        <v>06:31:00</v>
      </c>
      <c r="K775" s="4">
        <f t="shared" si="3"/>
        <v>48</v>
      </c>
      <c r="L775" s="4">
        <f t="shared" si="4"/>
        <v>0.06944444444</v>
      </c>
      <c r="M775" s="4">
        <f t="shared" si="5"/>
        <v>48.06944444</v>
      </c>
    </row>
    <row r="776">
      <c r="A776" s="4" t="s">
        <v>69</v>
      </c>
      <c r="B776" s="4" t="s">
        <v>1275</v>
      </c>
      <c r="C776" s="4" t="s">
        <v>372</v>
      </c>
      <c r="D776" s="4" t="s">
        <v>1276</v>
      </c>
      <c r="E776" s="10">
        <f>IFERROR(__xludf.DUMMYFUNCTION("SPLIT(B776,""T"")"),42644.0)</f>
        <v>42644</v>
      </c>
      <c r="F776" s="4" t="str">
        <f>IFERROR(__xludf.DUMMYFUNCTION("""COMPUTED_VALUE"""),"06:00:00Z")</f>
        <v>06:00:00Z</v>
      </c>
      <c r="G776" s="11" t="str">
        <f t="shared" si="1"/>
        <v>06:00:00</v>
      </c>
      <c r="H776" s="10">
        <f>IFERROR(__xludf.DUMMYFUNCTION("SPLIT(D776,""T"")"),42598.0)</f>
        <v>42598</v>
      </c>
      <c r="I776" s="4" t="str">
        <f>IFERROR(__xludf.DUMMYFUNCTION("""COMPUTED_VALUE"""),"16:35:00Z")</f>
        <v>16:35:00Z</v>
      </c>
      <c r="J776" s="4" t="str">
        <f t="shared" si="2"/>
        <v>16:35:00</v>
      </c>
      <c r="K776" s="4">
        <f t="shared" si="3"/>
        <v>46</v>
      </c>
      <c r="L776" s="4">
        <f t="shared" si="4"/>
        <v>-0.4409722222</v>
      </c>
      <c r="M776" s="4">
        <f t="shared" si="5"/>
        <v>45.55902778</v>
      </c>
    </row>
    <row r="777">
      <c r="A777" s="4" t="s">
        <v>134</v>
      </c>
      <c r="B777" s="4" t="s">
        <v>854</v>
      </c>
      <c r="C777" s="4" t="s">
        <v>125</v>
      </c>
      <c r="D777" s="4" t="s">
        <v>855</v>
      </c>
      <c r="E777" s="10">
        <f>IFERROR(__xludf.DUMMYFUNCTION("SPLIT(B777,""T"")"),42217.0)</f>
        <v>42217</v>
      </c>
      <c r="F777" s="4" t="str">
        <f>IFERROR(__xludf.DUMMYFUNCTION("""COMPUTED_VALUE"""),"22:15:00Z")</f>
        <v>22:15:00Z</v>
      </c>
      <c r="G777" s="11" t="str">
        <f t="shared" si="1"/>
        <v>22:15:00</v>
      </c>
      <c r="H777" s="10">
        <f>IFERROR(__xludf.DUMMYFUNCTION("SPLIT(D777,""T"")"),42172.0)</f>
        <v>42172</v>
      </c>
      <c r="I777" s="4" t="str">
        <f>IFERROR(__xludf.DUMMYFUNCTION("""COMPUTED_VALUE"""),"15:52:00Z")</f>
        <v>15:52:00Z</v>
      </c>
      <c r="J777" s="4" t="str">
        <f t="shared" si="2"/>
        <v>15:52:00</v>
      </c>
      <c r="K777" s="4">
        <f t="shared" si="3"/>
        <v>45</v>
      </c>
      <c r="L777" s="4">
        <f t="shared" si="4"/>
        <v>0.2659722222</v>
      </c>
      <c r="M777" s="4">
        <f t="shared" si="5"/>
        <v>45.26597222</v>
      </c>
    </row>
    <row r="778">
      <c r="A778" s="4" t="s">
        <v>170</v>
      </c>
      <c r="B778" s="4" t="s">
        <v>2043</v>
      </c>
      <c r="C778" s="4" t="s">
        <v>2342</v>
      </c>
      <c r="D778" s="4" t="s">
        <v>2343</v>
      </c>
      <c r="E778" s="10">
        <f>IFERROR(__xludf.DUMMYFUNCTION("SPLIT(B778,""T"")"),43109.0)</f>
        <v>43109</v>
      </c>
      <c r="F778" s="4" t="str">
        <f>IFERROR(__xludf.DUMMYFUNCTION("""COMPUTED_VALUE"""),"13:46:00Z")</f>
        <v>13:46:00Z</v>
      </c>
      <c r="G778" s="11" t="str">
        <f t="shared" si="1"/>
        <v>13:46:00</v>
      </c>
      <c r="H778" s="10">
        <f>IFERROR(__xludf.DUMMYFUNCTION("SPLIT(D778,""T"")"),43064.0)</f>
        <v>43064</v>
      </c>
      <c r="I778" s="4" t="str">
        <f>IFERROR(__xludf.DUMMYFUNCTION("""COMPUTED_VALUE"""),"16:46:00Z")</f>
        <v>16:46:00Z</v>
      </c>
      <c r="J778" s="4" t="str">
        <f t="shared" si="2"/>
        <v>16:46:00</v>
      </c>
      <c r="K778" s="4">
        <f t="shared" si="3"/>
        <v>45</v>
      </c>
      <c r="L778" s="4">
        <f t="shared" si="4"/>
        <v>-0.125</v>
      </c>
      <c r="M778" s="4">
        <f t="shared" si="5"/>
        <v>44.875</v>
      </c>
    </row>
    <row r="779">
      <c r="A779" s="4" t="s">
        <v>23</v>
      </c>
      <c r="B779" s="4" t="s">
        <v>1843</v>
      </c>
      <c r="C779" s="4" t="s">
        <v>1844</v>
      </c>
      <c r="D779" s="4" t="s">
        <v>1845</v>
      </c>
      <c r="E779" s="10">
        <f>IFERROR(__xludf.DUMMYFUNCTION("SPLIT(B779,""T"")"),43118.0)</f>
        <v>43118</v>
      </c>
      <c r="F779" s="4" t="str">
        <f>IFERROR(__xludf.DUMMYFUNCTION("""COMPUTED_VALUE"""),"09:58:00Z")</f>
        <v>09:58:00Z</v>
      </c>
      <c r="G779" s="11" t="str">
        <f t="shared" si="1"/>
        <v>09:58:00</v>
      </c>
      <c r="H779" s="10">
        <f>IFERROR(__xludf.DUMMYFUNCTION("SPLIT(D779,""T"")"),43074.0)</f>
        <v>43074</v>
      </c>
      <c r="I779" s="4" t="str">
        <f>IFERROR(__xludf.DUMMYFUNCTION("""COMPUTED_VALUE"""),"11:31:00Z")</f>
        <v>11:31:00Z</v>
      </c>
      <c r="J779" s="4" t="str">
        <f t="shared" si="2"/>
        <v>11:31:00</v>
      </c>
      <c r="K779" s="4">
        <f t="shared" si="3"/>
        <v>44</v>
      </c>
      <c r="L779" s="4">
        <f t="shared" si="4"/>
        <v>-0.06458333333</v>
      </c>
      <c r="M779" s="4">
        <f t="shared" si="5"/>
        <v>43.93541667</v>
      </c>
    </row>
    <row r="780">
      <c r="A780" s="4" t="s">
        <v>313</v>
      </c>
      <c r="B780" s="4" t="s">
        <v>550</v>
      </c>
      <c r="C780" s="4" t="s">
        <v>551</v>
      </c>
      <c r="D780" s="4" t="s">
        <v>552</v>
      </c>
      <c r="E780" s="10">
        <f>IFERROR(__xludf.DUMMYFUNCTION("SPLIT(B780,""T"")"),41891.0)</f>
        <v>41891</v>
      </c>
      <c r="F780" s="4" t="str">
        <f>IFERROR(__xludf.DUMMYFUNCTION("""COMPUTED_VALUE"""),"19:30:00Z")</f>
        <v>19:30:00Z</v>
      </c>
      <c r="G780" s="11" t="str">
        <f t="shared" si="1"/>
        <v>19:30:00</v>
      </c>
      <c r="H780" s="10">
        <f>IFERROR(__xludf.DUMMYFUNCTION("SPLIT(D780,""T"")"),41850.0)</f>
        <v>41850</v>
      </c>
      <c r="I780" s="4" t="str">
        <f>IFERROR(__xludf.DUMMYFUNCTION("""COMPUTED_VALUE"""),"06:27:00Z")</f>
        <v>06:27:00Z</v>
      </c>
      <c r="J780" s="4" t="str">
        <f t="shared" si="2"/>
        <v>06:27:00</v>
      </c>
      <c r="K780" s="4">
        <f t="shared" si="3"/>
        <v>41</v>
      </c>
      <c r="L780" s="4">
        <f t="shared" si="4"/>
        <v>0.54375</v>
      </c>
      <c r="M780" s="4">
        <f t="shared" si="5"/>
        <v>41.54375</v>
      </c>
    </row>
    <row r="781">
      <c r="A781" s="4" t="s">
        <v>134</v>
      </c>
      <c r="B781" s="4" t="s">
        <v>2043</v>
      </c>
      <c r="C781" s="4" t="s">
        <v>730</v>
      </c>
      <c r="D781" s="4" t="s">
        <v>2209</v>
      </c>
      <c r="E781" s="10">
        <f>IFERROR(__xludf.DUMMYFUNCTION("SPLIT(B781,""T"")"),43109.0)</f>
        <v>43109</v>
      </c>
      <c r="F781" s="4" t="str">
        <f>IFERROR(__xludf.DUMMYFUNCTION("""COMPUTED_VALUE"""),"13:46:00Z")</f>
        <v>13:46:00Z</v>
      </c>
      <c r="G781" s="11" t="str">
        <f t="shared" si="1"/>
        <v>13:46:00</v>
      </c>
      <c r="H781" s="10">
        <f>IFERROR(__xludf.DUMMYFUNCTION("SPLIT(D781,""T"")"),43068.0)</f>
        <v>43068</v>
      </c>
      <c r="I781" s="4" t="str">
        <f>IFERROR(__xludf.DUMMYFUNCTION("""COMPUTED_VALUE"""),"12:19:00Z")</f>
        <v>12:19:00Z</v>
      </c>
      <c r="J781" s="4" t="str">
        <f t="shared" si="2"/>
        <v>12:19:00</v>
      </c>
      <c r="K781" s="4">
        <f t="shared" si="3"/>
        <v>41</v>
      </c>
      <c r="L781" s="4">
        <f t="shared" si="4"/>
        <v>0.06041666667</v>
      </c>
      <c r="M781" s="4">
        <f t="shared" si="5"/>
        <v>41.06041667</v>
      </c>
    </row>
    <row r="782">
      <c r="A782" s="4" t="s">
        <v>27</v>
      </c>
      <c r="B782" s="4" t="s">
        <v>1863</v>
      </c>
      <c r="C782" s="4" t="s">
        <v>2374</v>
      </c>
      <c r="D782" s="4" t="s">
        <v>2375</v>
      </c>
      <c r="E782" s="10">
        <f>IFERROR(__xludf.DUMMYFUNCTION("SPLIT(B782,""T"")"),43109.0)</f>
        <v>43109</v>
      </c>
      <c r="F782" s="4" t="str">
        <f>IFERROR(__xludf.DUMMYFUNCTION("""COMPUTED_VALUE"""),"13:47:00Z")</f>
        <v>13:47:00Z</v>
      </c>
      <c r="G782" s="11" t="str">
        <f t="shared" si="1"/>
        <v>13:47:00</v>
      </c>
      <c r="H782" s="10">
        <f>IFERROR(__xludf.DUMMYFUNCTION("SPLIT(D782,""T"")"),43073.0)</f>
        <v>43073</v>
      </c>
      <c r="I782" s="4" t="str">
        <f>IFERROR(__xludf.DUMMYFUNCTION("""COMPUTED_VALUE"""),"12:26:00Z")</f>
        <v>12:26:00Z</v>
      </c>
      <c r="J782" s="4" t="str">
        <f t="shared" si="2"/>
        <v>12:26:00</v>
      </c>
      <c r="K782" s="4">
        <f t="shared" si="3"/>
        <v>36</v>
      </c>
      <c r="L782" s="4">
        <f t="shared" si="4"/>
        <v>0.05625</v>
      </c>
      <c r="M782" s="4">
        <f t="shared" si="5"/>
        <v>36.05625</v>
      </c>
    </row>
    <row r="783">
      <c r="A783" s="4" t="s">
        <v>87</v>
      </c>
      <c r="B783" s="4" t="s">
        <v>2653</v>
      </c>
      <c r="C783" s="4" t="s">
        <v>3246</v>
      </c>
      <c r="D783" s="4" t="s">
        <v>3247</v>
      </c>
      <c r="E783" s="10">
        <f>IFERROR(__xludf.DUMMYFUNCTION("SPLIT(B783,""T"")"),43469.0)</f>
        <v>43469</v>
      </c>
      <c r="F783" s="4" t="str">
        <f>IFERROR(__xludf.DUMMYFUNCTION("""COMPUTED_VALUE"""),"08:42:00Z")</f>
        <v>08:42:00Z</v>
      </c>
      <c r="G783" s="11" t="str">
        <f t="shared" si="1"/>
        <v>08:42:00</v>
      </c>
      <c r="H783" s="10">
        <f>IFERROR(__xludf.DUMMYFUNCTION("SPLIT(D783,""T"")"),43433.0)</f>
        <v>43433</v>
      </c>
      <c r="I783" s="4" t="str">
        <f>IFERROR(__xludf.DUMMYFUNCTION("""COMPUTED_VALUE"""),"23:30:00Z")</f>
        <v>23:30:00Z</v>
      </c>
      <c r="J783" s="4" t="str">
        <f t="shared" si="2"/>
        <v>23:30:00</v>
      </c>
      <c r="K783" s="4">
        <f t="shared" si="3"/>
        <v>36</v>
      </c>
      <c r="L783" s="4">
        <f t="shared" si="4"/>
        <v>-0.6166666667</v>
      </c>
      <c r="M783" s="4">
        <f t="shared" si="5"/>
        <v>35.38333333</v>
      </c>
    </row>
    <row r="784">
      <c r="A784" s="4" t="s">
        <v>134</v>
      </c>
      <c r="B784" s="4" t="s">
        <v>1863</v>
      </c>
      <c r="C784" s="4" t="s">
        <v>2413</v>
      </c>
      <c r="D784" s="4" t="s">
        <v>2414</v>
      </c>
      <c r="E784" s="10">
        <f>IFERROR(__xludf.DUMMYFUNCTION("SPLIT(B784,""T"")"),43109.0)</f>
        <v>43109</v>
      </c>
      <c r="F784" s="4" t="str">
        <f>IFERROR(__xludf.DUMMYFUNCTION("""COMPUTED_VALUE"""),"13:47:00Z")</f>
        <v>13:47:00Z</v>
      </c>
      <c r="G784" s="11" t="str">
        <f t="shared" si="1"/>
        <v>13:47:00</v>
      </c>
      <c r="H784" s="10">
        <f>IFERROR(__xludf.DUMMYFUNCTION("SPLIT(D784,""T"")"),43074.0)</f>
        <v>43074</v>
      </c>
      <c r="I784" s="4" t="str">
        <f>IFERROR(__xludf.DUMMYFUNCTION("""COMPUTED_VALUE"""),"13:28:00Z")</f>
        <v>13:28:00Z</v>
      </c>
      <c r="J784" s="4" t="str">
        <f t="shared" si="2"/>
        <v>13:28:00</v>
      </c>
      <c r="K784" s="4">
        <f t="shared" si="3"/>
        <v>35</v>
      </c>
      <c r="L784" s="4">
        <f t="shared" si="4"/>
        <v>0.01319444444</v>
      </c>
      <c r="M784" s="4">
        <f t="shared" si="5"/>
        <v>35.01319444</v>
      </c>
    </row>
    <row r="785">
      <c r="A785" s="4" t="s">
        <v>134</v>
      </c>
      <c r="B785" s="4" t="s">
        <v>1863</v>
      </c>
      <c r="C785" s="4" t="s">
        <v>2067</v>
      </c>
      <c r="D785" s="4" t="s">
        <v>2068</v>
      </c>
      <c r="E785" s="10">
        <f>IFERROR(__xludf.DUMMYFUNCTION("SPLIT(B785,""T"")"),43109.0)</f>
        <v>43109</v>
      </c>
      <c r="F785" s="4" t="str">
        <f>IFERROR(__xludf.DUMMYFUNCTION("""COMPUTED_VALUE"""),"13:47:00Z")</f>
        <v>13:47:00Z</v>
      </c>
      <c r="G785" s="11" t="str">
        <f t="shared" si="1"/>
        <v>13:47:00</v>
      </c>
      <c r="H785" s="10">
        <f>IFERROR(__xludf.DUMMYFUNCTION("SPLIT(D785,""T"")"),43074.0)</f>
        <v>43074</v>
      </c>
      <c r="I785" s="4" t="str">
        <f>IFERROR(__xludf.DUMMYFUNCTION("""COMPUTED_VALUE"""),"13:35:00Z")</f>
        <v>13:35:00Z</v>
      </c>
      <c r="J785" s="4" t="str">
        <f t="shared" si="2"/>
        <v>13:35:00</v>
      </c>
      <c r="K785" s="4">
        <f t="shared" si="3"/>
        <v>35</v>
      </c>
      <c r="L785" s="4">
        <f t="shared" si="4"/>
        <v>0.008333333333</v>
      </c>
      <c r="M785" s="4">
        <f t="shared" si="5"/>
        <v>35.00833333</v>
      </c>
    </row>
    <row r="786">
      <c r="A786" s="4" t="s">
        <v>101</v>
      </c>
      <c r="B786" s="4" t="s">
        <v>611</v>
      </c>
      <c r="C786" s="4" t="s">
        <v>612</v>
      </c>
      <c r="D786" s="4" t="s">
        <v>613</v>
      </c>
      <c r="E786" s="10">
        <f>IFERROR(__xludf.DUMMYFUNCTION("SPLIT(B786,""T"")"),41871.0)</f>
        <v>41871</v>
      </c>
      <c r="F786" s="4" t="str">
        <f>IFERROR(__xludf.DUMMYFUNCTION("""COMPUTED_VALUE"""),"19:00:00Z")</f>
        <v>19:00:00Z</v>
      </c>
      <c r="G786" s="11" t="str">
        <f t="shared" si="1"/>
        <v>19:00:00</v>
      </c>
      <c r="H786" s="10">
        <f>IFERROR(__xludf.DUMMYFUNCTION("SPLIT(D786,""T"")"),41837.0)</f>
        <v>41837</v>
      </c>
      <c r="I786" s="4" t="str">
        <f>IFERROR(__xludf.DUMMYFUNCTION("""COMPUTED_VALUE"""),"01:00:00Z")</f>
        <v>01:00:00Z</v>
      </c>
      <c r="J786" s="4" t="str">
        <f t="shared" si="2"/>
        <v>01:00:00</v>
      </c>
      <c r="K786" s="4">
        <f t="shared" si="3"/>
        <v>34</v>
      </c>
      <c r="L786" s="4">
        <f t="shared" si="4"/>
        <v>0.75</v>
      </c>
      <c r="M786" s="4">
        <f t="shared" si="5"/>
        <v>34.75</v>
      </c>
    </row>
    <row r="787">
      <c r="A787" s="4" t="s">
        <v>46</v>
      </c>
      <c r="B787" s="4" t="s">
        <v>532</v>
      </c>
      <c r="C787" s="4" t="s">
        <v>533</v>
      </c>
      <c r="D787" s="4" t="s">
        <v>534</v>
      </c>
      <c r="E787" s="10">
        <f>IFERROR(__xludf.DUMMYFUNCTION("SPLIT(B787,""T"")"),41884.0)</f>
        <v>41884</v>
      </c>
      <c r="F787" s="4" t="str">
        <f>IFERROR(__xludf.DUMMYFUNCTION("""COMPUTED_VALUE"""),"13:00:00Z")</f>
        <v>13:00:00Z</v>
      </c>
      <c r="G787" s="11" t="str">
        <f t="shared" si="1"/>
        <v>13:00:00</v>
      </c>
      <c r="H787" s="10">
        <f>IFERROR(__xludf.DUMMYFUNCTION("SPLIT(D787,""T"")"),41850.0)</f>
        <v>41850</v>
      </c>
      <c r="I787" s="4" t="str">
        <f>IFERROR(__xludf.DUMMYFUNCTION("""COMPUTED_VALUE"""),"00:00:00Z")</f>
        <v>00:00:00Z</v>
      </c>
      <c r="J787" s="4" t="str">
        <f t="shared" si="2"/>
        <v>00:00:00</v>
      </c>
      <c r="K787" s="4">
        <f t="shared" si="3"/>
        <v>34</v>
      </c>
      <c r="L787" s="4">
        <f t="shared" si="4"/>
        <v>0.5416666667</v>
      </c>
      <c r="M787" s="4">
        <f t="shared" si="5"/>
        <v>34.54166667</v>
      </c>
    </row>
    <row r="788">
      <c r="A788" s="4" t="s">
        <v>62</v>
      </c>
      <c r="B788" s="4" t="s">
        <v>1863</v>
      </c>
      <c r="C788" s="4" t="s">
        <v>1864</v>
      </c>
      <c r="D788" s="4" t="s">
        <v>1865</v>
      </c>
      <c r="E788" s="10">
        <f>IFERROR(__xludf.DUMMYFUNCTION("SPLIT(B788,""T"")"),43109.0)</f>
        <v>43109</v>
      </c>
      <c r="F788" s="4" t="str">
        <f>IFERROR(__xludf.DUMMYFUNCTION("""COMPUTED_VALUE"""),"13:47:00Z")</f>
        <v>13:47:00Z</v>
      </c>
      <c r="G788" s="11" t="str">
        <f t="shared" si="1"/>
        <v>13:47:00</v>
      </c>
      <c r="H788" s="10">
        <f>IFERROR(__xludf.DUMMYFUNCTION("SPLIT(D788,""T"")"),43076.0)</f>
        <v>43076</v>
      </c>
      <c r="I788" s="4" t="str">
        <f>IFERROR(__xludf.DUMMYFUNCTION("""COMPUTED_VALUE"""),"11:15:00Z")</f>
        <v>11:15:00Z</v>
      </c>
      <c r="J788" s="4" t="str">
        <f t="shared" si="2"/>
        <v>11:15:00</v>
      </c>
      <c r="K788" s="4">
        <f t="shared" si="3"/>
        <v>33</v>
      </c>
      <c r="L788" s="4">
        <f t="shared" si="4"/>
        <v>0.1055555556</v>
      </c>
      <c r="M788" s="4">
        <f t="shared" si="5"/>
        <v>33.10555556</v>
      </c>
    </row>
    <row r="789">
      <c r="A789" s="4" t="s">
        <v>27</v>
      </c>
      <c r="B789" s="4" t="s">
        <v>1863</v>
      </c>
      <c r="C789" s="4" t="s">
        <v>2062</v>
      </c>
      <c r="D789" s="4" t="s">
        <v>2063</v>
      </c>
      <c r="E789" s="10">
        <f>IFERROR(__xludf.DUMMYFUNCTION("SPLIT(B789,""T"")"),43109.0)</f>
        <v>43109</v>
      </c>
      <c r="F789" s="4" t="str">
        <f>IFERROR(__xludf.DUMMYFUNCTION("""COMPUTED_VALUE"""),"13:47:00Z")</f>
        <v>13:47:00Z</v>
      </c>
      <c r="G789" s="11" t="str">
        <f t="shared" si="1"/>
        <v>13:47:00</v>
      </c>
      <c r="H789" s="10">
        <f>IFERROR(__xludf.DUMMYFUNCTION("SPLIT(D789,""T"")"),43076.0)</f>
        <v>43076</v>
      </c>
      <c r="I789" s="4" t="str">
        <f>IFERROR(__xludf.DUMMYFUNCTION("""COMPUTED_VALUE"""),"13:14:00Z")</f>
        <v>13:14:00Z</v>
      </c>
      <c r="J789" s="4" t="str">
        <f t="shared" si="2"/>
        <v>13:14:00</v>
      </c>
      <c r="K789" s="4">
        <f t="shared" si="3"/>
        <v>33</v>
      </c>
      <c r="L789" s="4">
        <f t="shared" si="4"/>
        <v>0.02291666667</v>
      </c>
      <c r="M789" s="4">
        <f t="shared" si="5"/>
        <v>33.02291667</v>
      </c>
    </row>
    <row r="790">
      <c r="A790" s="4" t="s">
        <v>94</v>
      </c>
      <c r="B790" s="4" t="s">
        <v>40</v>
      </c>
      <c r="C790" s="4" t="s">
        <v>95</v>
      </c>
      <c r="D790" s="4" t="s">
        <v>96</v>
      </c>
      <c r="E790" s="10">
        <f>IFERROR(__xludf.DUMMYFUNCTION("SPLIT(B790,""T"")"),41541.0)</f>
        <v>41541</v>
      </c>
      <c r="F790" s="4" t="str">
        <f>IFERROR(__xludf.DUMMYFUNCTION("""COMPUTED_VALUE"""),"20:15:00Z")</f>
        <v>20:15:00Z</v>
      </c>
      <c r="G790" s="11" t="str">
        <f t="shared" si="1"/>
        <v>20:15:00</v>
      </c>
      <c r="H790" s="10">
        <f>IFERROR(__xludf.DUMMYFUNCTION("SPLIT(D790,""T"")"),41510.0)</f>
        <v>41510</v>
      </c>
      <c r="I790" s="4" t="str">
        <f>IFERROR(__xludf.DUMMYFUNCTION("""COMPUTED_VALUE"""),"14:31:00Z")</f>
        <v>14:31:00Z</v>
      </c>
      <c r="J790" s="4" t="str">
        <f t="shared" si="2"/>
        <v>14:31:00</v>
      </c>
      <c r="K790" s="4">
        <f t="shared" si="3"/>
        <v>31</v>
      </c>
      <c r="L790" s="4">
        <f t="shared" si="4"/>
        <v>0.2388888889</v>
      </c>
      <c r="M790" s="4">
        <f t="shared" si="5"/>
        <v>31.23888889</v>
      </c>
    </row>
    <row r="791">
      <c r="A791" s="4" t="s">
        <v>46</v>
      </c>
      <c r="B791" s="4" t="s">
        <v>47</v>
      </c>
      <c r="C791" s="4" t="s">
        <v>48</v>
      </c>
      <c r="D791" s="4" t="s">
        <v>49</v>
      </c>
      <c r="E791" s="10">
        <f>IFERROR(__xludf.DUMMYFUNCTION("SPLIT(B791,""T"")"),41517.0)</f>
        <v>41517</v>
      </c>
      <c r="F791" s="4" t="str">
        <f>IFERROR(__xludf.DUMMYFUNCTION("""COMPUTED_VALUE"""),"06:45:00Z")</f>
        <v>06:45:00Z</v>
      </c>
      <c r="G791" s="11" t="str">
        <f t="shared" si="1"/>
        <v>06:45:00</v>
      </c>
      <c r="H791" s="10">
        <f>IFERROR(__xludf.DUMMYFUNCTION("SPLIT(D791,""T"")"),41486.0)</f>
        <v>41486</v>
      </c>
      <c r="I791" s="4" t="str">
        <f>IFERROR(__xludf.DUMMYFUNCTION("""COMPUTED_VALUE"""),"22:00:00Z")</f>
        <v>22:00:00Z</v>
      </c>
      <c r="J791" s="4" t="str">
        <f t="shared" si="2"/>
        <v>22:00:00</v>
      </c>
      <c r="K791" s="4">
        <f t="shared" si="3"/>
        <v>31</v>
      </c>
      <c r="L791" s="4">
        <f t="shared" si="4"/>
        <v>-0.6354166667</v>
      </c>
      <c r="M791" s="4">
        <f t="shared" si="5"/>
        <v>30.36458333</v>
      </c>
    </row>
    <row r="792">
      <c r="A792" s="4" t="s">
        <v>97</v>
      </c>
      <c r="B792" s="4" t="s">
        <v>1272</v>
      </c>
      <c r="C792" s="4" t="s">
        <v>1273</v>
      </c>
      <c r="D792" s="4" t="s">
        <v>1274</v>
      </c>
      <c r="E792" s="10">
        <f>IFERROR(__xludf.DUMMYFUNCTION("SPLIT(B792,""T"")"),42628.0)</f>
        <v>42628</v>
      </c>
      <c r="F792" s="4" t="str">
        <f>IFERROR(__xludf.DUMMYFUNCTION("""COMPUTED_VALUE"""),"15:20:00Z")</f>
        <v>15:20:00Z</v>
      </c>
      <c r="G792" s="11" t="str">
        <f t="shared" si="1"/>
        <v>15:20:00</v>
      </c>
      <c r="H792" s="10">
        <f>IFERROR(__xludf.DUMMYFUNCTION("SPLIT(D792,""T"")"),42600.0)</f>
        <v>42600</v>
      </c>
      <c r="I792" s="4" t="str">
        <f>IFERROR(__xludf.DUMMYFUNCTION("""COMPUTED_VALUE"""),"17:57:00Z")</f>
        <v>17:57:00Z</v>
      </c>
      <c r="J792" s="4" t="str">
        <f t="shared" si="2"/>
        <v>17:57:00</v>
      </c>
      <c r="K792" s="4">
        <f t="shared" si="3"/>
        <v>28</v>
      </c>
      <c r="L792" s="4">
        <f t="shared" si="4"/>
        <v>-0.1090277778</v>
      </c>
      <c r="M792" s="4">
        <f t="shared" si="5"/>
        <v>27.89097222</v>
      </c>
    </row>
    <row r="793">
      <c r="A793" s="4" t="s">
        <v>97</v>
      </c>
      <c r="B793" s="4" t="s">
        <v>1285</v>
      </c>
      <c r="C793" s="4" t="s">
        <v>1286</v>
      </c>
      <c r="D793" s="4" t="s">
        <v>1287</v>
      </c>
      <c r="E793" s="10">
        <f>IFERROR(__xludf.DUMMYFUNCTION("SPLIT(B793,""T"")"),42563.0)</f>
        <v>42563</v>
      </c>
      <c r="F793" s="4" t="str">
        <f>IFERROR(__xludf.DUMMYFUNCTION("""COMPUTED_VALUE"""),"14:30:00Z")</f>
        <v>14:30:00Z</v>
      </c>
      <c r="G793" s="11" t="str">
        <f t="shared" si="1"/>
        <v>14:30:00</v>
      </c>
      <c r="H793" s="10">
        <f>IFERROR(__xludf.DUMMYFUNCTION("SPLIT(D793,""T"")"),42536.0)</f>
        <v>42536</v>
      </c>
      <c r="I793" s="4" t="str">
        <f>IFERROR(__xludf.DUMMYFUNCTION("""COMPUTED_VALUE"""),"15:21:00Z")</f>
        <v>15:21:00Z</v>
      </c>
      <c r="J793" s="4" t="str">
        <f t="shared" si="2"/>
        <v>15:21:00</v>
      </c>
      <c r="K793" s="4">
        <f t="shared" si="3"/>
        <v>27</v>
      </c>
      <c r="L793" s="4">
        <f t="shared" si="4"/>
        <v>-0.03541666667</v>
      </c>
      <c r="M793" s="4">
        <f t="shared" si="5"/>
        <v>26.96458333</v>
      </c>
    </row>
    <row r="794">
      <c r="A794" s="4" t="s">
        <v>27</v>
      </c>
      <c r="B794" s="4" t="s">
        <v>2235</v>
      </c>
      <c r="C794" s="4" t="s">
        <v>2517</v>
      </c>
      <c r="D794" s="4" t="s">
        <v>2518</v>
      </c>
      <c r="E794" s="10">
        <f>IFERROR(__xludf.DUMMYFUNCTION("SPLIT(B794,""T"")"),43109.0)</f>
        <v>43109</v>
      </c>
      <c r="F794" s="4" t="str">
        <f>IFERROR(__xludf.DUMMYFUNCTION("""COMPUTED_VALUE"""),"13:49:00Z")</f>
        <v>13:49:00Z</v>
      </c>
      <c r="G794" s="11" t="str">
        <f t="shared" si="1"/>
        <v>13:49:00</v>
      </c>
      <c r="H794" s="10">
        <f>IFERROR(__xludf.DUMMYFUNCTION("SPLIT(D794,""T"")"),43082.0)</f>
        <v>43082</v>
      </c>
      <c r="I794" s="4" t="str">
        <f>IFERROR(__xludf.DUMMYFUNCTION("""COMPUTED_VALUE"""),"15:27:00Z")</f>
        <v>15:27:00Z</v>
      </c>
      <c r="J794" s="4" t="str">
        <f t="shared" si="2"/>
        <v>15:27:00</v>
      </c>
      <c r="K794" s="4">
        <f t="shared" si="3"/>
        <v>27</v>
      </c>
      <c r="L794" s="4">
        <f t="shared" si="4"/>
        <v>-0.06805555556</v>
      </c>
      <c r="M794" s="4">
        <f t="shared" si="5"/>
        <v>26.93194444</v>
      </c>
    </row>
    <row r="795">
      <c r="A795" s="4" t="s">
        <v>46</v>
      </c>
      <c r="B795" s="4" t="s">
        <v>634</v>
      </c>
      <c r="C795" s="4" t="s">
        <v>635</v>
      </c>
      <c r="D795" s="4" t="s">
        <v>636</v>
      </c>
      <c r="E795" s="10">
        <f>IFERROR(__xludf.DUMMYFUNCTION("SPLIT(B795,""T"")"),41923.0)</f>
        <v>41923</v>
      </c>
      <c r="F795" s="4" t="str">
        <f>IFERROR(__xludf.DUMMYFUNCTION("""COMPUTED_VALUE"""),"18:50:00Z")</f>
        <v>18:50:00Z</v>
      </c>
      <c r="G795" s="11" t="str">
        <f t="shared" si="1"/>
        <v>18:50:00</v>
      </c>
      <c r="H795" s="10">
        <f>IFERROR(__xludf.DUMMYFUNCTION("SPLIT(D795,""T"")"),41897.0)</f>
        <v>41897</v>
      </c>
      <c r="I795" s="4" t="str">
        <f>IFERROR(__xludf.DUMMYFUNCTION("""COMPUTED_VALUE"""),"13:38:00Z")</f>
        <v>13:38:00Z</v>
      </c>
      <c r="J795" s="4" t="str">
        <f t="shared" si="2"/>
        <v>13:38:00</v>
      </c>
      <c r="K795" s="4">
        <f t="shared" si="3"/>
        <v>26</v>
      </c>
      <c r="L795" s="4">
        <f t="shared" si="4"/>
        <v>0.2166666667</v>
      </c>
      <c r="M795" s="4">
        <f t="shared" si="5"/>
        <v>26.21666667</v>
      </c>
    </row>
    <row r="796">
      <c r="A796" s="4" t="s">
        <v>97</v>
      </c>
      <c r="B796" s="4" t="s">
        <v>2235</v>
      </c>
      <c r="C796" s="4" t="s">
        <v>2562</v>
      </c>
      <c r="D796" s="4" t="s">
        <v>2563</v>
      </c>
      <c r="E796" s="10">
        <f>IFERROR(__xludf.DUMMYFUNCTION("SPLIT(B796,""T"")"),43109.0)</f>
        <v>43109</v>
      </c>
      <c r="F796" s="4" t="str">
        <f>IFERROR(__xludf.DUMMYFUNCTION("""COMPUTED_VALUE"""),"13:49:00Z")</f>
        <v>13:49:00Z</v>
      </c>
      <c r="G796" s="11" t="str">
        <f t="shared" si="1"/>
        <v>13:49:00</v>
      </c>
      <c r="H796" s="10">
        <f>IFERROR(__xludf.DUMMYFUNCTION("SPLIT(D796,""T"")"),43083.0)</f>
        <v>43083</v>
      </c>
      <c r="I796" s="4" t="str">
        <f>IFERROR(__xludf.DUMMYFUNCTION("""COMPUTED_VALUE"""),"12:59:00Z")</f>
        <v>12:59:00Z</v>
      </c>
      <c r="J796" s="4" t="str">
        <f t="shared" si="2"/>
        <v>12:59:00</v>
      </c>
      <c r="K796" s="4">
        <f t="shared" si="3"/>
        <v>26</v>
      </c>
      <c r="L796" s="4">
        <f t="shared" si="4"/>
        <v>0.03472222222</v>
      </c>
      <c r="M796" s="4">
        <f t="shared" si="5"/>
        <v>26.03472222</v>
      </c>
    </row>
    <row r="797">
      <c r="A797" s="4" t="s">
        <v>130</v>
      </c>
      <c r="B797" s="4" t="s">
        <v>520</v>
      </c>
      <c r="C797" s="4" t="s">
        <v>521</v>
      </c>
      <c r="D797" s="4" t="s">
        <v>522</v>
      </c>
      <c r="E797" s="10">
        <f>IFERROR(__xludf.DUMMYFUNCTION("SPLIT(B797,""T"")"),41921.0)</f>
        <v>41921</v>
      </c>
      <c r="F797" s="4" t="str">
        <f>IFERROR(__xludf.DUMMYFUNCTION("""COMPUTED_VALUE"""),"17:20:00Z")</f>
        <v>17:20:00Z</v>
      </c>
      <c r="G797" s="11" t="str">
        <f t="shared" si="1"/>
        <v>17:20:00</v>
      </c>
      <c r="H797" s="10">
        <f>IFERROR(__xludf.DUMMYFUNCTION("SPLIT(D797,""T"")"),41895.0)</f>
        <v>41895</v>
      </c>
      <c r="I797" s="4" t="str">
        <f>IFERROR(__xludf.DUMMYFUNCTION("""COMPUTED_VALUE"""),"16:32:00Z")</f>
        <v>16:32:00Z</v>
      </c>
      <c r="J797" s="4" t="str">
        <f t="shared" si="2"/>
        <v>16:32:00</v>
      </c>
      <c r="K797" s="4">
        <f t="shared" si="3"/>
        <v>26</v>
      </c>
      <c r="L797" s="4">
        <f t="shared" si="4"/>
        <v>0.03333333333</v>
      </c>
      <c r="M797" s="4">
        <f t="shared" si="5"/>
        <v>26.03333333</v>
      </c>
    </row>
    <row r="798">
      <c r="A798" s="4" t="s">
        <v>145</v>
      </c>
      <c r="B798" s="4" t="s">
        <v>1257</v>
      </c>
      <c r="C798" s="4" t="s">
        <v>1329</v>
      </c>
      <c r="D798" s="4" t="s">
        <v>1330</v>
      </c>
      <c r="E798" s="10">
        <f>IFERROR(__xludf.DUMMYFUNCTION("SPLIT(B798,""T"")"),42656.0)</f>
        <v>42656</v>
      </c>
      <c r="F798" s="4" t="str">
        <f>IFERROR(__xludf.DUMMYFUNCTION("""COMPUTED_VALUE"""),"11:30:00Z")</f>
        <v>11:30:00Z</v>
      </c>
      <c r="G798" s="11" t="str">
        <f t="shared" si="1"/>
        <v>11:30:00</v>
      </c>
      <c r="H798" s="10">
        <f>IFERROR(__xludf.DUMMYFUNCTION("SPLIT(D798,""T"")"),42630.0)</f>
        <v>42630</v>
      </c>
      <c r="I798" s="4" t="str">
        <f>IFERROR(__xludf.DUMMYFUNCTION("""COMPUTED_VALUE"""),"14:37:00Z")</f>
        <v>14:37:00Z</v>
      </c>
      <c r="J798" s="4" t="str">
        <f t="shared" si="2"/>
        <v>14:37:00</v>
      </c>
      <c r="K798" s="4">
        <f t="shared" si="3"/>
        <v>26</v>
      </c>
      <c r="L798" s="4">
        <f t="shared" si="4"/>
        <v>-0.1298611111</v>
      </c>
      <c r="M798" s="4">
        <f t="shared" si="5"/>
        <v>25.87013889</v>
      </c>
    </row>
    <row r="799">
      <c r="A799" s="4" t="s">
        <v>27</v>
      </c>
      <c r="B799" s="4" t="s">
        <v>3667</v>
      </c>
      <c r="C799" s="4" t="s">
        <v>2558</v>
      </c>
      <c r="D799" s="4" t="s">
        <v>3668</v>
      </c>
      <c r="E799" s="10">
        <f>IFERROR(__xludf.DUMMYFUNCTION("SPLIT(B799,""T"")"),43640.0)</f>
        <v>43640</v>
      </c>
      <c r="F799" s="4" t="str">
        <f>IFERROR(__xludf.DUMMYFUNCTION("""COMPUTED_VALUE"""),"11:46:00Z")</f>
        <v>11:46:00Z</v>
      </c>
      <c r="G799" s="11" t="str">
        <f t="shared" si="1"/>
        <v>11:46:00</v>
      </c>
      <c r="H799" s="10">
        <f>IFERROR(__xludf.DUMMYFUNCTION("SPLIT(D799,""T"")"),43614.0)</f>
        <v>43614</v>
      </c>
      <c r="I799" s="4" t="str">
        <f>IFERROR(__xludf.DUMMYFUNCTION("""COMPUTED_VALUE"""),"21:06:00Z")</f>
        <v>21:06:00Z</v>
      </c>
      <c r="J799" s="4" t="str">
        <f t="shared" si="2"/>
        <v>21:06:00</v>
      </c>
      <c r="K799" s="4">
        <f t="shared" si="3"/>
        <v>26</v>
      </c>
      <c r="L799" s="4">
        <f t="shared" si="4"/>
        <v>-0.3888888889</v>
      </c>
      <c r="M799" s="4">
        <f t="shared" si="5"/>
        <v>25.61111111</v>
      </c>
    </row>
    <row r="800">
      <c r="A800" s="4" t="s">
        <v>58</v>
      </c>
      <c r="B800" s="4" t="s">
        <v>535</v>
      </c>
      <c r="C800" s="4" t="s">
        <v>536</v>
      </c>
      <c r="D800" s="4" t="s">
        <v>537</v>
      </c>
      <c r="E800" s="10">
        <f>IFERROR(__xludf.DUMMYFUNCTION("SPLIT(B800,""T"")"),41876.0)</f>
        <v>41876</v>
      </c>
      <c r="F800" s="4" t="str">
        <f>IFERROR(__xludf.DUMMYFUNCTION("""COMPUTED_VALUE"""),"10:00:00Z")</f>
        <v>10:00:00Z</v>
      </c>
      <c r="G800" s="11" t="str">
        <f t="shared" si="1"/>
        <v>10:00:00</v>
      </c>
      <c r="H800" s="10">
        <f>IFERROR(__xludf.DUMMYFUNCTION("SPLIT(D800,""T"")"),41851.0)</f>
        <v>41851</v>
      </c>
      <c r="I800" s="4" t="str">
        <f>IFERROR(__xludf.DUMMYFUNCTION("""COMPUTED_VALUE"""),"18:04:00Z")</f>
        <v>18:04:00Z</v>
      </c>
      <c r="J800" s="4" t="str">
        <f t="shared" si="2"/>
        <v>18:04:00</v>
      </c>
      <c r="K800" s="4">
        <f t="shared" si="3"/>
        <v>25</v>
      </c>
      <c r="L800" s="4">
        <f t="shared" si="4"/>
        <v>-0.3361111111</v>
      </c>
      <c r="M800" s="4">
        <f t="shared" si="5"/>
        <v>24.66388889</v>
      </c>
    </row>
    <row r="801">
      <c r="A801" s="4" t="s">
        <v>630</v>
      </c>
      <c r="B801" s="4" t="s">
        <v>851</v>
      </c>
      <c r="C801" s="4" t="s">
        <v>852</v>
      </c>
      <c r="D801" s="4" t="s">
        <v>853</v>
      </c>
      <c r="E801" s="10">
        <f>IFERROR(__xludf.DUMMYFUNCTION("SPLIT(B801,""T"")"),42240.0)</f>
        <v>42240</v>
      </c>
      <c r="F801" s="4" t="str">
        <f>IFERROR(__xludf.DUMMYFUNCTION("""COMPUTED_VALUE"""),"10:00:00Z")</f>
        <v>10:00:00Z</v>
      </c>
      <c r="G801" s="11" t="str">
        <f t="shared" si="1"/>
        <v>10:00:00</v>
      </c>
      <c r="H801" s="10">
        <f>IFERROR(__xludf.DUMMYFUNCTION("SPLIT(D801,""T"")"),42215.0)</f>
        <v>42215</v>
      </c>
      <c r="I801" s="4" t="str">
        <f>IFERROR(__xludf.DUMMYFUNCTION("""COMPUTED_VALUE"""),"21:30:00Z")</f>
        <v>21:30:00Z</v>
      </c>
      <c r="J801" s="4" t="str">
        <f t="shared" si="2"/>
        <v>21:30:00</v>
      </c>
      <c r="K801" s="4">
        <f t="shared" si="3"/>
        <v>25</v>
      </c>
      <c r="L801" s="4">
        <f t="shared" si="4"/>
        <v>-0.4791666667</v>
      </c>
      <c r="M801" s="4">
        <f t="shared" si="5"/>
        <v>24.52083333</v>
      </c>
    </row>
    <row r="802">
      <c r="A802" s="4" t="s">
        <v>97</v>
      </c>
      <c r="B802" s="4" t="s">
        <v>2235</v>
      </c>
      <c r="C802" s="4" t="s">
        <v>2560</v>
      </c>
      <c r="D802" s="4" t="s">
        <v>2561</v>
      </c>
      <c r="E802" s="10">
        <f>IFERROR(__xludf.DUMMYFUNCTION("SPLIT(B802,""T"")"),43109.0)</f>
        <v>43109</v>
      </c>
      <c r="F802" s="4" t="str">
        <f>IFERROR(__xludf.DUMMYFUNCTION("""COMPUTED_VALUE"""),"13:49:00Z")</f>
        <v>13:49:00Z</v>
      </c>
      <c r="G802" s="11" t="str">
        <f t="shared" si="1"/>
        <v>13:49:00</v>
      </c>
      <c r="H802" s="10">
        <f>IFERROR(__xludf.DUMMYFUNCTION("SPLIT(D802,""T"")"),43085.0)</f>
        <v>43085</v>
      </c>
      <c r="I802" s="4" t="str">
        <f>IFERROR(__xludf.DUMMYFUNCTION("""COMPUTED_VALUE"""),"12:21:00Z")</f>
        <v>12:21:00Z</v>
      </c>
      <c r="J802" s="4" t="str">
        <f t="shared" si="2"/>
        <v>12:21:00</v>
      </c>
      <c r="K802" s="4">
        <f t="shared" si="3"/>
        <v>24</v>
      </c>
      <c r="L802" s="4">
        <f t="shared" si="4"/>
        <v>0.06111111111</v>
      </c>
      <c r="M802" s="4">
        <f t="shared" si="5"/>
        <v>24.06111111</v>
      </c>
    </row>
    <row r="803">
      <c r="A803" s="4" t="s">
        <v>149</v>
      </c>
      <c r="B803" s="4" t="s">
        <v>1263</v>
      </c>
      <c r="C803" s="4" t="s">
        <v>1264</v>
      </c>
      <c r="D803" s="4" t="s">
        <v>1265</v>
      </c>
      <c r="E803" s="10">
        <f>IFERROR(__xludf.DUMMYFUNCTION("SPLIT(B803,""T"")"),42619.0)</f>
        <v>42619</v>
      </c>
      <c r="F803" s="4" t="str">
        <f>IFERROR(__xludf.DUMMYFUNCTION("""COMPUTED_VALUE"""),"07:30:00Z")</f>
        <v>07:30:00Z</v>
      </c>
      <c r="G803" s="11" t="str">
        <f t="shared" si="1"/>
        <v>07:30:00</v>
      </c>
      <c r="H803" s="10">
        <f>IFERROR(__xludf.DUMMYFUNCTION("SPLIT(D803,""T"")"),42595.0)</f>
        <v>42595</v>
      </c>
      <c r="I803" s="4" t="str">
        <f>IFERROR(__xludf.DUMMYFUNCTION("""COMPUTED_VALUE"""),"16:03:00Z")</f>
        <v>16:03:00Z</v>
      </c>
      <c r="J803" s="4" t="str">
        <f t="shared" si="2"/>
        <v>16:03:00</v>
      </c>
      <c r="K803" s="4">
        <f t="shared" si="3"/>
        <v>24</v>
      </c>
      <c r="L803" s="4">
        <f t="shared" si="4"/>
        <v>-0.35625</v>
      </c>
      <c r="M803" s="4">
        <f t="shared" si="5"/>
        <v>23.64375</v>
      </c>
    </row>
    <row r="804">
      <c r="A804" s="4" t="s">
        <v>23</v>
      </c>
      <c r="B804" s="4" t="s">
        <v>3324</v>
      </c>
      <c r="C804" s="4" t="s">
        <v>3325</v>
      </c>
      <c r="D804" s="4" t="s">
        <v>3326</v>
      </c>
      <c r="E804" s="10">
        <f>IFERROR(__xludf.DUMMYFUNCTION("SPLIT(B804,""T"")"),43769.0)</f>
        <v>43769</v>
      </c>
      <c r="F804" s="4" t="str">
        <f>IFERROR(__xludf.DUMMYFUNCTION("""COMPUTED_VALUE"""),"09:10:00Z")</f>
        <v>09:10:00Z</v>
      </c>
      <c r="G804" s="11" t="str">
        <f t="shared" si="1"/>
        <v>09:10:00</v>
      </c>
      <c r="H804" s="10">
        <f>IFERROR(__xludf.DUMMYFUNCTION("SPLIT(D804,""T"")"),43748.0)</f>
        <v>43748</v>
      </c>
      <c r="I804" s="4" t="str">
        <f>IFERROR(__xludf.DUMMYFUNCTION("""COMPUTED_VALUE"""),"21:02:00Z")</f>
        <v>21:02:00Z</v>
      </c>
      <c r="J804" s="4" t="str">
        <f t="shared" si="2"/>
        <v>21:02:00</v>
      </c>
      <c r="K804" s="4">
        <f t="shared" si="3"/>
        <v>21</v>
      </c>
      <c r="L804" s="4">
        <f t="shared" si="4"/>
        <v>-0.4944444444</v>
      </c>
      <c r="M804" s="4">
        <f t="shared" si="5"/>
        <v>20.50555556</v>
      </c>
    </row>
    <row r="805">
      <c r="A805" s="4" t="s">
        <v>50</v>
      </c>
      <c r="B805" s="4" t="s">
        <v>881</v>
      </c>
      <c r="C805" s="4" t="s">
        <v>882</v>
      </c>
      <c r="D805" s="4" t="s">
        <v>883</v>
      </c>
      <c r="E805" s="10">
        <f>IFERROR(__xludf.DUMMYFUNCTION("SPLIT(B805,""T"")"),42235.0)</f>
        <v>42235</v>
      </c>
      <c r="F805" s="4" t="str">
        <f>IFERROR(__xludf.DUMMYFUNCTION("""COMPUTED_VALUE"""),"19:15:00Z")</f>
        <v>19:15:00Z</v>
      </c>
      <c r="G805" s="11" t="str">
        <f t="shared" si="1"/>
        <v>19:15:00</v>
      </c>
      <c r="H805" s="10">
        <f>IFERROR(__xludf.DUMMYFUNCTION("SPLIT(D805,""T"")"),42215.0)</f>
        <v>42215</v>
      </c>
      <c r="I805" s="4" t="str">
        <f>IFERROR(__xludf.DUMMYFUNCTION("""COMPUTED_VALUE"""),"16:02:00Z")</f>
        <v>16:02:00Z</v>
      </c>
      <c r="J805" s="4" t="str">
        <f t="shared" si="2"/>
        <v>16:02:00</v>
      </c>
      <c r="K805" s="4">
        <f t="shared" si="3"/>
        <v>20</v>
      </c>
      <c r="L805" s="4">
        <f t="shared" si="4"/>
        <v>0.1340277778</v>
      </c>
      <c r="M805" s="4">
        <f t="shared" si="5"/>
        <v>20.13402778</v>
      </c>
    </row>
    <row r="806">
      <c r="A806" s="4" t="s">
        <v>19</v>
      </c>
      <c r="B806" s="4" t="s">
        <v>20</v>
      </c>
      <c r="C806" s="4" t="s">
        <v>21</v>
      </c>
      <c r="D806" s="4" t="s">
        <v>22</v>
      </c>
      <c r="E806" s="10">
        <f>IFERROR(__xludf.DUMMYFUNCTION("SPLIT(B806,""T"")"),41523.0)</f>
        <v>41523</v>
      </c>
      <c r="F806" s="4" t="str">
        <f>IFERROR(__xludf.DUMMYFUNCTION("""COMPUTED_VALUE"""),"18:30:00Z")</f>
        <v>18:30:00Z</v>
      </c>
      <c r="G806" s="11" t="str">
        <f t="shared" si="1"/>
        <v>18:30:00</v>
      </c>
      <c r="H806" s="10">
        <f>IFERROR(__xludf.DUMMYFUNCTION("SPLIT(D806,""T"")"),41503.0)</f>
        <v>41503</v>
      </c>
      <c r="I806" s="4" t="str">
        <f>IFERROR(__xludf.DUMMYFUNCTION("""COMPUTED_VALUE"""),"15:25:00Z")</f>
        <v>15:25:00Z</v>
      </c>
      <c r="J806" s="4" t="str">
        <f t="shared" si="2"/>
        <v>15:25:00</v>
      </c>
      <c r="K806" s="4">
        <f t="shared" si="3"/>
        <v>20</v>
      </c>
      <c r="L806" s="4">
        <f t="shared" si="4"/>
        <v>0.1284722222</v>
      </c>
      <c r="M806" s="4">
        <f t="shared" si="5"/>
        <v>20.12847222</v>
      </c>
    </row>
    <row r="807">
      <c r="A807" s="4" t="s">
        <v>130</v>
      </c>
      <c r="B807" s="4" t="s">
        <v>1294</v>
      </c>
      <c r="C807" s="4" t="s">
        <v>1295</v>
      </c>
      <c r="D807" s="4" t="s">
        <v>1296</v>
      </c>
      <c r="E807" s="10">
        <f>IFERROR(__xludf.DUMMYFUNCTION("SPLIT(B807,""T"")"),42569.0)</f>
        <v>42569</v>
      </c>
      <c r="F807" s="4" t="str">
        <f>IFERROR(__xludf.DUMMYFUNCTION("""COMPUTED_VALUE"""),"09:50:00Z")</f>
        <v>09:50:00Z</v>
      </c>
      <c r="G807" s="11" t="str">
        <f t="shared" si="1"/>
        <v>09:50:00</v>
      </c>
      <c r="H807" s="10">
        <f>IFERROR(__xludf.DUMMYFUNCTION("SPLIT(D807,""T"")"),42549.0)</f>
        <v>42549</v>
      </c>
      <c r="I807" s="4" t="str">
        <f>IFERROR(__xludf.DUMMYFUNCTION("""COMPUTED_VALUE"""),"13:55:00Z")</f>
        <v>13:55:00Z</v>
      </c>
      <c r="J807" s="4" t="str">
        <f t="shared" si="2"/>
        <v>13:55:00</v>
      </c>
      <c r="K807" s="4">
        <f t="shared" si="3"/>
        <v>20</v>
      </c>
      <c r="L807" s="4">
        <f t="shared" si="4"/>
        <v>-0.1701388889</v>
      </c>
      <c r="M807" s="4">
        <f t="shared" si="5"/>
        <v>19.82986111</v>
      </c>
    </row>
    <row r="808">
      <c r="A808" s="4" t="s">
        <v>31</v>
      </c>
      <c r="B808" s="4" t="s">
        <v>1294</v>
      </c>
      <c r="C808" s="4" t="s">
        <v>1295</v>
      </c>
      <c r="D808" s="4" t="s">
        <v>1296</v>
      </c>
      <c r="E808" s="10">
        <f>IFERROR(__xludf.DUMMYFUNCTION("SPLIT(B808,""T"")"),42569.0)</f>
        <v>42569</v>
      </c>
      <c r="F808" s="4" t="str">
        <f>IFERROR(__xludf.DUMMYFUNCTION("""COMPUTED_VALUE"""),"09:50:00Z")</f>
        <v>09:50:00Z</v>
      </c>
      <c r="G808" s="11" t="str">
        <f t="shared" si="1"/>
        <v>09:50:00</v>
      </c>
      <c r="H808" s="10">
        <f>IFERROR(__xludf.DUMMYFUNCTION("SPLIT(D808,""T"")"),42549.0)</f>
        <v>42549</v>
      </c>
      <c r="I808" s="4" t="str">
        <f>IFERROR(__xludf.DUMMYFUNCTION("""COMPUTED_VALUE"""),"13:55:00Z")</f>
        <v>13:55:00Z</v>
      </c>
      <c r="J808" s="4" t="str">
        <f t="shared" si="2"/>
        <v>13:55:00</v>
      </c>
      <c r="K808" s="4">
        <f t="shared" si="3"/>
        <v>20</v>
      </c>
      <c r="L808" s="4">
        <f t="shared" si="4"/>
        <v>-0.1701388889</v>
      </c>
      <c r="M808" s="4">
        <f t="shared" si="5"/>
        <v>19.82986111</v>
      </c>
    </row>
    <row r="809">
      <c r="A809" s="4" t="s">
        <v>31</v>
      </c>
      <c r="B809" s="4" t="s">
        <v>32</v>
      </c>
      <c r="C809" s="4" t="s">
        <v>33</v>
      </c>
      <c r="D809" s="4" t="s">
        <v>34</v>
      </c>
      <c r="E809" s="10">
        <f>IFERROR(__xludf.DUMMYFUNCTION("SPLIT(B809,""T"")"),41516.0)</f>
        <v>41516</v>
      </c>
      <c r="F809" s="4" t="str">
        <f>IFERROR(__xludf.DUMMYFUNCTION("""COMPUTED_VALUE"""),"08:00:00Z")</f>
        <v>08:00:00Z</v>
      </c>
      <c r="G809" s="11" t="str">
        <f t="shared" si="1"/>
        <v>08:00:00</v>
      </c>
      <c r="H809" s="10">
        <f>IFERROR(__xludf.DUMMYFUNCTION("SPLIT(D809,""T"")"),41496.0)</f>
        <v>41496</v>
      </c>
      <c r="I809" s="4" t="str">
        <f>IFERROR(__xludf.DUMMYFUNCTION("""COMPUTED_VALUE"""),"16:30:00Z")</f>
        <v>16:30:00Z</v>
      </c>
      <c r="J809" s="4" t="str">
        <f t="shared" si="2"/>
        <v>16:30:00</v>
      </c>
      <c r="K809" s="4">
        <f t="shared" si="3"/>
        <v>20</v>
      </c>
      <c r="L809" s="4">
        <f t="shared" si="4"/>
        <v>-0.3541666667</v>
      </c>
      <c r="M809" s="4">
        <f t="shared" si="5"/>
        <v>19.64583333</v>
      </c>
    </row>
    <row r="810">
      <c r="A810" s="4" t="s">
        <v>145</v>
      </c>
      <c r="B810" s="4" t="s">
        <v>40</v>
      </c>
      <c r="C810" s="4" t="s">
        <v>316</v>
      </c>
      <c r="D810" s="4" t="s">
        <v>317</v>
      </c>
      <c r="E810" s="10">
        <f>IFERROR(__xludf.DUMMYFUNCTION("SPLIT(B810,""T"")"),41541.0)</f>
        <v>41541</v>
      </c>
      <c r="F810" s="4" t="str">
        <f>IFERROR(__xludf.DUMMYFUNCTION("""COMPUTED_VALUE"""),"20:15:00Z")</f>
        <v>20:15:00Z</v>
      </c>
      <c r="G810" s="11" t="str">
        <f t="shared" si="1"/>
        <v>20:15:00</v>
      </c>
      <c r="H810" s="10">
        <f>IFERROR(__xludf.DUMMYFUNCTION("SPLIT(D810,""T"")"),41522.0)</f>
        <v>41522</v>
      </c>
      <c r="I810" s="4" t="str">
        <f>IFERROR(__xludf.DUMMYFUNCTION("""COMPUTED_VALUE"""),"15:57:00Z")</f>
        <v>15:57:00Z</v>
      </c>
      <c r="J810" s="4" t="str">
        <f t="shared" si="2"/>
        <v>15:57:00</v>
      </c>
      <c r="K810" s="4">
        <f t="shared" si="3"/>
        <v>19</v>
      </c>
      <c r="L810" s="4">
        <f t="shared" si="4"/>
        <v>0.1791666667</v>
      </c>
      <c r="M810" s="4">
        <f t="shared" si="5"/>
        <v>19.17916667</v>
      </c>
    </row>
    <row r="811">
      <c r="A811" s="4" t="s">
        <v>134</v>
      </c>
      <c r="B811" s="4" t="s">
        <v>1136</v>
      </c>
      <c r="C811" s="4" t="s">
        <v>78</v>
      </c>
      <c r="D811" s="4" t="s">
        <v>1137</v>
      </c>
      <c r="E811" s="10">
        <f>IFERROR(__xludf.DUMMYFUNCTION("SPLIT(B811,""T"")"),42258.0)</f>
        <v>42258</v>
      </c>
      <c r="F811" s="4" t="str">
        <f>IFERROR(__xludf.DUMMYFUNCTION("""COMPUTED_VALUE"""),"15:00:00Z")</f>
        <v>15:00:00Z</v>
      </c>
      <c r="G811" s="11" t="str">
        <f t="shared" si="1"/>
        <v>15:00:00</v>
      </c>
      <c r="H811" s="10">
        <f>IFERROR(__xludf.DUMMYFUNCTION("SPLIT(D811,""T"")"),42239.0)</f>
        <v>42239</v>
      </c>
      <c r="I811" s="4" t="str">
        <f>IFERROR(__xludf.DUMMYFUNCTION("""COMPUTED_VALUE"""),"12:25:00Z")</f>
        <v>12:25:00Z</v>
      </c>
      <c r="J811" s="4" t="str">
        <f t="shared" si="2"/>
        <v>12:25:00</v>
      </c>
      <c r="K811" s="4">
        <f t="shared" si="3"/>
        <v>19</v>
      </c>
      <c r="L811" s="4">
        <f t="shared" si="4"/>
        <v>0.1076388889</v>
      </c>
      <c r="M811" s="4">
        <f t="shared" si="5"/>
        <v>19.10763889</v>
      </c>
    </row>
    <row r="812">
      <c r="A812" s="4" t="s">
        <v>27</v>
      </c>
      <c r="B812" s="4" t="s">
        <v>2235</v>
      </c>
      <c r="C812" s="4" t="s">
        <v>2350</v>
      </c>
      <c r="D812" s="4" t="s">
        <v>2351</v>
      </c>
      <c r="E812" s="10">
        <f>IFERROR(__xludf.DUMMYFUNCTION("SPLIT(B812,""T"")"),43109.0)</f>
        <v>43109</v>
      </c>
      <c r="F812" s="4" t="str">
        <f>IFERROR(__xludf.DUMMYFUNCTION("""COMPUTED_VALUE"""),"13:49:00Z")</f>
        <v>13:49:00Z</v>
      </c>
      <c r="G812" s="11" t="str">
        <f t="shared" si="1"/>
        <v>13:49:00</v>
      </c>
      <c r="H812" s="10">
        <f>IFERROR(__xludf.DUMMYFUNCTION("SPLIT(D812,""T"")"),43090.0)</f>
        <v>43090</v>
      </c>
      <c r="I812" s="4" t="str">
        <f>IFERROR(__xludf.DUMMYFUNCTION("""COMPUTED_VALUE"""),"11:16:00Z")</f>
        <v>11:16:00Z</v>
      </c>
      <c r="J812" s="4" t="str">
        <f t="shared" si="2"/>
        <v>11:16:00</v>
      </c>
      <c r="K812" s="4">
        <f t="shared" si="3"/>
        <v>19</v>
      </c>
      <c r="L812" s="4">
        <f t="shared" si="4"/>
        <v>0.10625</v>
      </c>
      <c r="M812" s="4">
        <f t="shared" si="5"/>
        <v>19.10625</v>
      </c>
    </row>
    <row r="813">
      <c r="A813" s="4" t="s">
        <v>46</v>
      </c>
      <c r="B813" s="4" t="s">
        <v>3465</v>
      </c>
      <c r="C813" s="4" t="s">
        <v>3466</v>
      </c>
      <c r="D813" s="4" t="s">
        <v>3467</v>
      </c>
      <c r="E813" s="10">
        <f>IFERROR(__xludf.DUMMYFUNCTION("SPLIT(B813,""T"")"),43734.0)</f>
        <v>43734</v>
      </c>
      <c r="F813" s="4" t="str">
        <f>IFERROR(__xludf.DUMMYFUNCTION("""COMPUTED_VALUE"""),"08:00:00Z")</f>
        <v>08:00:00Z</v>
      </c>
      <c r="G813" s="11" t="str">
        <f t="shared" si="1"/>
        <v>08:00:00</v>
      </c>
      <c r="H813" s="10">
        <f>IFERROR(__xludf.DUMMYFUNCTION("SPLIT(D813,""T"")"),43715.0)</f>
        <v>43715</v>
      </c>
      <c r="I813" s="4" t="str">
        <f>IFERROR(__xludf.DUMMYFUNCTION("""COMPUTED_VALUE"""),"08:47:46Z")</f>
        <v>08:47:46Z</v>
      </c>
      <c r="J813" s="4" t="str">
        <f t="shared" si="2"/>
        <v>08:47:46</v>
      </c>
      <c r="K813" s="4">
        <f t="shared" si="3"/>
        <v>19</v>
      </c>
      <c r="L813" s="4">
        <f t="shared" si="4"/>
        <v>-0.0331712963</v>
      </c>
      <c r="M813" s="4">
        <f t="shared" si="5"/>
        <v>18.9668287</v>
      </c>
    </row>
    <row r="814">
      <c r="A814" s="4" t="s">
        <v>156</v>
      </c>
      <c r="B814" s="4" t="s">
        <v>878</v>
      </c>
      <c r="C814" s="4" t="s">
        <v>879</v>
      </c>
      <c r="D814" s="4" t="s">
        <v>880</v>
      </c>
      <c r="E814" s="10">
        <f>IFERROR(__xludf.DUMMYFUNCTION("SPLIT(B814,""T"")"),42229.0)</f>
        <v>42229</v>
      </c>
      <c r="F814" s="4" t="str">
        <f>IFERROR(__xludf.DUMMYFUNCTION("""COMPUTED_VALUE"""),"10:30:00Z")</f>
        <v>10:30:00Z</v>
      </c>
      <c r="G814" s="11" t="str">
        <f t="shared" si="1"/>
        <v>10:30:00</v>
      </c>
      <c r="H814" s="10">
        <f>IFERROR(__xludf.DUMMYFUNCTION("SPLIT(D814,""T"")"),42210.0)</f>
        <v>42210</v>
      </c>
      <c r="I814" s="4" t="str">
        <f>IFERROR(__xludf.DUMMYFUNCTION("""COMPUTED_VALUE"""),"14:30:00Z")</f>
        <v>14:30:00Z</v>
      </c>
      <c r="J814" s="4" t="str">
        <f t="shared" si="2"/>
        <v>14:30:00</v>
      </c>
      <c r="K814" s="4">
        <f t="shared" si="3"/>
        <v>19</v>
      </c>
      <c r="L814" s="4">
        <f t="shared" si="4"/>
        <v>-0.1666666667</v>
      </c>
      <c r="M814" s="4">
        <f t="shared" si="5"/>
        <v>18.83333333</v>
      </c>
    </row>
    <row r="815">
      <c r="A815" s="4" t="s">
        <v>630</v>
      </c>
      <c r="B815" s="4" t="s">
        <v>908</v>
      </c>
      <c r="C815" s="4" t="s">
        <v>909</v>
      </c>
      <c r="D815" s="4" t="s">
        <v>910</v>
      </c>
      <c r="E815" s="10">
        <f>IFERROR(__xludf.DUMMYFUNCTION("SPLIT(B815,""T"")"),42184.0)</f>
        <v>42184</v>
      </c>
      <c r="F815" s="4" t="str">
        <f>IFERROR(__xludf.DUMMYFUNCTION("""COMPUTED_VALUE"""),"09:00:00Z")</f>
        <v>09:00:00Z</v>
      </c>
      <c r="G815" s="11" t="str">
        <f t="shared" si="1"/>
        <v>09:00:00</v>
      </c>
      <c r="H815" s="10">
        <f>IFERROR(__xludf.DUMMYFUNCTION("SPLIT(D815,""T"")"),42165.0)</f>
        <v>42165</v>
      </c>
      <c r="I815" s="4" t="str">
        <f>IFERROR(__xludf.DUMMYFUNCTION("""COMPUTED_VALUE"""),"15:00:00Z")</f>
        <v>15:00:00Z</v>
      </c>
      <c r="J815" s="4" t="str">
        <f t="shared" si="2"/>
        <v>15:00:00</v>
      </c>
      <c r="K815" s="4">
        <f t="shared" si="3"/>
        <v>19</v>
      </c>
      <c r="L815" s="4">
        <f t="shared" si="4"/>
        <v>-0.25</v>
      </c>
      <c r="M815" s="4">
        <f t="shared" si="5"/>
        <v>18.75</v>
      </c>
    </row>
    <row r="816">
      <c r="A816" s="4" t="s">
        <v>97</v>
      </c>
      <c r="B816" s="4" t="s">
        <v>3341</v>
      </c>
      <c r="C816" s="4" t="s">
        <v>3342</v>
      </c>
      <c r="D816" s="4" t="s">
        <v>3343</v>
      </c>
      <c r="E816" s="10">
        <f>IFERROR(__xludf.DUMMYFUNCTION("SPLIT(B816,""T"")"),43813.0)</f>
        <v>43813</v>
      </c>
      <c r="F816" s="4" t="str">
        <f>IFERROR(__xludf.DUMMYFUNCTION("""COMPUTED_VALUE"""),"08:22:00Z")</f>
        <v>08:22:00Z</v>
      </c>
      <c r="G816" s="11" t="str">
        <f t="shared" si="1"/>
        <v>08:22:00</v>
      </c>
      <c r="H816" s="10">
        <f>IFERROR(__xludf.DUMMYFUNCTION("SPLIT(D816,""T"")"),43794.0)</f>
        <v>43794</v>
      </c>
      <c r="I816" s="4" t="str">
        <f>IFERROR(__xludf.DUMMYFUNCTION("""COMPUTED_VALUE"""),"19:59:12Z")</f>
        <v>19:59:12Z</v>
      </c>
      <c r="J816" s="4" t="str">
        <f t="shared" si="2"/>
        <v>19:59:12</v>
      </c>
      <c r="K816" s="4">
        <f t="shared" si="3"/>
        <v>19</v>
      </c>
      <c r="L816" s="4">
        <f t="shared" si="4"/>
        <v>-0.4841666667</v>
      </c>
      <c r="M816" s="4">
        <f t="shared" si="5"/>
        <v>18.51583333</v>
      </c>
    </row>
    <row r="817">
      <c r="A817" s="4" t="s">
        <v>46</v>
      </c>
      <c r="B817" s="4" t="s">
        <v>529</v>
      </c>
      <c r="C817" s="4" t="s">
        <v>530</v>
      </c>
      <c r="D817" s="4" t="s">
        <v>531</v>
      </c>
      <c r="E817" s="10">
        <f>IFERROR(__xludf.DUMMYFUNCTION("SPLIT(B817,""T"")"),41869.0)</f>
        <v>41869</v>
      </c>
      <c r="F817" s="4" t="str">
        <f>IFERROR(__xludf.DUMMYFUNCTION("""COMPUTED_VALUE"""),"09:45:00Z")</f>
        <v>09:45:00Z</v>
      </c>
      <c r="G817" s="11" t="str">
        <f t="shared" si="1"/>
        <v>09:45:00</v>
      </c>
      <c r="H817" s="10">
        <f>IFERROR(__xludf.DUMMYFUNCTION("SPLIT(D817,""T"")"),41850.0)</f>
        <v>41850</v>
      </c>
      <c r="I817" s="4" t="str">
        <f>IFERROR(__xludf.DUMMYFUNCTION("""COMPUTED_VALUE"""),"23:00:00Z")</f>
        <v>23:00:00Z</v>
      </c>
      <c r="J817" s="4" t="str">
        <f t="shared" si="2"/>
        <v>23:00:00</v>
      </c>
      <c r="K817" s="4">
        <f t="shared" si="3"/>
        <v>19</v>
      </c>
      <c r="L817" s="4">
        <f t="shared" si="4"/>
        <v>-0.5520833333</v>
      </c>
      <c r="M817" s="4">
        <f t="shared" si="5"/>
        <v>18.44791667</v>
      </c>
    </row>
    <row r="818">
      <c r="A818" s="4" t="s">
        <v>388</v>
      </c>
      <c r="B818" s="4" t="s">
        <v>899</v>
      </c>
      <c r="C818" s="4" t="s">
        <v>900</v>
      </c>
      <c r="D818" s="4" t="s">
        <v>901</v>
      </c>
      <c r="E818" s="10">
        <f>IFERROR(__xludf.DUMMYFUNCTION("SPLIT(B818,""T"")"),42228.0)</f>
        <v>42228</v>
      </c>
      <c r="F818" s="4" t="str">
        <f>IFERROR(__xludf.DUMMYFUNCTION("""COMPUTED_VALUE"""),"19:15:00Z")</f>
        <v>19:15:00Z</v>
      </c>
      <c r="G818" s="11" t="str">
        <f t="shared" si="1"/>
        <v>19:15:00</v>
      </c>
      <c r="H818" s="10">
        <f>IFERROR(__xludf.DUMMYFUNCTION("SPLIT(D818,""T"")"),42210.0)</f>
        <v>42210</v>
      </c>
      <c r="I818" s="4" t="str">
        <f>IFERROR(__xludf.DUMMYFUNCTION("""COMPUTED_VALUE"""),"14:37:00Z")</f>
        <v>14:37:00Z</v>
      </c>
      <c r="J818" s="4" t="str">
        <f t="shared" si="2"/>
        <v>14:37:00</v>
      </c>
      <c r="K818" s="4">
        <f t="shared" si="3"/>
        <v>18</v>
      </c>
      <c r="L818" s="4">
        <f t="shared" si="4"/>
        <v>0.1930555556</v>
      </c>
      <c r="M818" s="4">
        <f t="shared" si="5"/>
        <v>18.19305556</v>
      </c>
    </row>
    <row r="819">
      <c r="A819" s="4" t="s">
        <v>23</v>
      </c>
      <c r="B819" s="4" t="s">
        <v>1736</v>
      </c>
      <c r="C819" s="4" t="s">
        <v>578</v>
      </c>
      <c r="D819" s="4" t="s">
        <v>1737</v>
      </c>
      <c r="E819" s="10">
        <f>IFERROR(__xludf.DUMMYFUNCTION("SPLIT(B819,""T"")"),42591.0)</f>
        <v>42591</v>
      </c>
      <c r="F819" s="4" t="str">
        <f>IFERROR(__xludf.DUMMYFUNCTION("""COMPUTED_VALUE"""),"17:15:00Z")</f>
        <v>17:15:00Z</v>
      </c>
      <c r="G819" s="11" t="str">
        <f t="shared" si="1"/>
        <v>17:15:00</v>
      </c>
      <c r="H819" s="10">
        <f>IFERROR(__xludf.DUMMYFUNCTION("SPLIT(D819,""T"")"),42573.0)</f>
        <v>42573</v>
      </c>
      <c r="I819" s="4" t="str">
        <f>IFERROR(__xludf.DUMMYFUNCTION("""COMPUTED_VALUE"""),"14:11:00Z")</f>
        <v>14:11:00Z</v>
      </c>
      <c r="J819" s="4" t="str">
        <f t="shared" si="2"/>
        <v>14:11:00</v>
      </c>
      <c r="K819" s="4">
        <f t="shared" si="3"/>
        <v>18</v>
      </c>
      <c r="L819" s="4">
        <f t="shared" si="4"/>
        <v>0.1277777778</v>
      </c>
      <c r="M819" s="4">
        <f t="shared" si="5"/>
        <v>18.12777778</v>
      </c>
    </row>
    <row r="820">
      <c r="A820" s="4" t="s">
        <v>94</v>
      </c>
      <c r="B820" s="4" t="s">
        <v>1742</v>
      </c>
      <c r="C820" s="4" t="s">
        <v>1264</v>
      </c>
      <c r="D820" s="4" t="s">
        <v>1743</v>
      </c>
      <c r="E820" s="10">
        <f>IFERROR(__xludf.DUMMYFUNCTION("SPLIT(B820,""T"")"),42540.0)</f>
        <v>42540</v>
      </c>
      <c r="F820" s="4" t="str">
        <f>IFERROR(__xludf.DUMMYFUNCTION("""COMPUTED_VALUE"""),"18:00:00Z")</f>
        <v>18:00:00Z</v>
      </c>
      <c r="G820" s="11" t="str">
        <f t="shared" si="1"/>
        <v>18:00:00</v>
      </c>
      <c r="H820" s="10">
        <f>IFERROR(__xludf.DUMMYFUNCTION("SPLIT(D820,""T"")"),42522.0)</f>
        <v>42522</v>
      </c>
      <c r="I820" s="4" t="str">
        <f>IFERROR(__xludf.DUMMYFUNCTION("""COMPUTED_VALUE"""),"15:35:00Z")</f>
        <v>15:35:00Z</v>
      </c>
      <c r="J820" s="4" t="str">
        <f t="shared" si="2"/>
        <v>15:35:00</v>
      </c>
      <c r="K820" s="4">
        <f t="shared" si="3"/>
        <v>18</v>
      </c>
      <c r="L820" s="4">
        <f t="shared" si="4"/>
        <v>0.1006944444</v>
      </c>
      <c r="M820" s="4">
        <f t="shared" si="5"/>
        <v>18.10069444</v>
      </c>
    </row>
    <row r="821">
      <c r="A821" s="4" t="s">
        <v>69</v>
      </c>
      <c r="B821" s="4" t="s">
        <v>1260</v>
      </c>
      <c r="C821" s="4" t="s">
        <v>1261</v>
      </c>
      <c r="D821" s="4" t="s">
        <v>1262</v>
      </c>
      <c r="E821" s="10">
        <f>IFERROR(__xludf.DUMMYFUNCTION("SPLIT(B821,""T"")"),42562.0)</f>
        <v>42562</v>
      </c>
      <c r="F821" s="4" t="str">
        <f>IFERROR(__xludf.DUMMYFUNCTION("""COMPUTED_VALUE"""),"09:40:00Z")</f>
        <v>09:40:00Z</v>
      </c>
      <c r="G821" s="11" t="str">
        <f t="shared" si="1"/>
        <v>09:40:00</v>
      </c>
      <c r="H821" s="10">
        <f>IFERROR(__xludf.DUMMYFUNCTION("SPLIT(D821,""T"")"),42544.0)</f>
        <v>42544</v>
      </c>
      <c r="I821" s="4" t="str">
        <f>IFERROR(__xludf.DUMMYFUNCTION("""COMPUTED_VALUE"""),"15:51:00Z")</f>
        <v>15:51:00Z</v>
      </c>
      <c r="J821" s="4" t="str">
        <f t="shared" si="2"/>
        <v>15:51:00</v>
      </c>
      <c r="K821" s="4">
        <f t="shared" si="3"/>
        <v>18</v>
      </c>
      <c r="L821" s="4">
        <f t="shared" si="4"/>
        <v>-0.2576388889</v>
      </c>
      <c r="M821" s="4">
        <f t="shared" si="5"/>
        <v>17.74236111</v>
      </c>
    </row>
    <row r="822">
      <c r="A822" s="4" t="s">
        <v>46</v>
      </c>
      <c r="B822" s="4" t="s">
        <v>559</v>
      </c>
      <c r="C822" s="4" t="s">
        <v>560</v>
      </c>
      <c r="D822" s="4" t="s">
        <v>561</v>
      </c>
      <c r="E822" s="10">
        <f>IFERROR(__xludf.DUMMYFUNCTION("SPLIT(B822,""T"")"),41869.0)</f>
        <v>41869</v>
      </c>
      <c r="F822" s="4" t="str">
        <f>IFERROR(__xludf.DUMMYFUNCTION("""COMPUTED_VALUE"""),"10:00:00Z")</f>
        <v>10:00:00Z</v>
      </c>
      <c r="G822" s="11" t="str">
        <f t="shared" si="1"/>
        <v>10:00:00</v>
      </c>
      <c r="H822" s="10">
        <f>IFERROR(__xludf.DUMMYFUNCTION("SPLIT(D822,""T"")"),41851.0)</f>
        <v>41851</v>
      </c>
      <c r="I822" s="4" t="str">
        <f>IFERROR(__xludf.DUMMYFUNCTION("""COMPUTED_VALUE"""),"17:45:00Z")</f>
        <v>17:45:00Z</v>
      </c>
      <c r="J822" s="4" t="str">
        <f t="shared" si="2"/>
        <v>17:45:00</v>
      </c>
      <c r="K822" s="4">
        <f t="shared" si="3"/>
        <v>18</v>
      </c>
      <c r="L822" s="4">
        <f t="shared" si="4"/>
        <v>-0.3229166667</v>
      </c>
      <c r="M822" s="4">
        <f t="shared" si="5"/>
        <v>17.67708333</v>
      </c>
    </row>
    <row r="823">
      <c r="A823" s="4" t="s">
        <v>23</v>
      </c>
      <c r="B823" s="4" t="s">
        <v>995</v>
      </c>
      <c r="C823" s="4" t="s">
        <v>834</v>
      </c>
      <c r="D823" s="4" t="s">
        <v>996</v>
      </c>
      <c r="E823" s="10">
        <f>IFERROR(__xludf.DUMMYFUNCTION("SPLIT(B823,""T"")"),42220.0)</f>
        <v>42220</v>
      </c>
      <c r="F823" s="4" t="str">
        <f>IFERROR(__xludf.DUMMYFUNCTION("""COMPUTED_VALUE"""),"08:15:00Z")</f>
        <v>08:15:00Z</v>
      </c>
      <c r="G823" s="11" t="str">
        <f t="shared" si="1"/>
        <v>08:15:00</v>
      </c>
      <c r="H823" s="10">
        <f>IFERROR(__xludf.DUMMYFUNCTION("SPLIT(D823,""T"")"),42202.0)</f>
        <v>42202</v>
      </c>
      <c r="I823" s="4" t="str">
        <f>IFERROR(__xludf.DUMMYFUNCTION("""COMPUTED_VALUE"""),"21:30:00Z")</f>
        <v>21:30:00Z</v>
      </c>
      <c r="J823" s="4" t="str">
        <f t="shared" si="2"/>
        <v>21:30:00</v>
      </c>
      <c r="K823" s="4">
        <f t="shared" si="3"/>
        <v>18</v>
      </c>
      <c r="L823" s="4">
        <f t="shared" si="4"/>
        <v>-0.5520833333</v>
      </c>
      <c r="M823" s="4">
        <f t="shared" si="5"/>
        <v>17.44791667</v>
      </c>
    </row>
    <row r="824">
      <c r="A824" s="4" t="s">
        <v>87</v>
      </c>
      <c r="B824" s="4" t="s">
        <v>2651</v>
      </c>
      <c r="C824" s="4" t="s">
        <v>2082</v>
      </c>
      <c r="D824" s="4" t="s">
        <v>2652</v>
      </c>
      <c r="E824" s="10">
        <f>IFERROR(__xludf.DUMMYFUNCTION("SPLIT(B824,""T"")"),43429.0)</f>
        <v>43429</v>
      </c>
      <c r="F824" s="4" t="str">
        <f>IFERROR(__xludf.DUMMYFUNCTION("""COMPUTED_VALUE"""),"08:00:00Z")</f>
        <v>08:00:00Z</v>
      </c>
      <c r="G824" s="11" t="str">
        <f t="shared" si="1"/>
        <v>08:00:00</v>
      </c>
      <c r="H824" s="10">
        <f>IFERROR(__xludf.DUMMYFUNCTION("SPLIT(D824,""T"")"),43412.0)</f>
        <v>43412</v>
      </c>
      <c r="I824" s="4" t="str">
        <f>IFERROR(__xludf.DUMMYFUNCTION("""COMPUTED_VALUE"""),"06:33:00Z")</f>
        <v>06:33:00Z</v>
      </c>
      <c r="J824" s="4" t="str">
        <f t="shared" si="2"/>
        <v>06:33:00</v>
      </c>
      <c r="K824" s="4">
        <f t="shared" si="3"/>
        <v>17</v>
      </c>
      <c r="L824" s="4">
        <f t="shared" si="4"/>
        <v>0.06041666667</v>
      </c>
      <c r="M824" s="4">
        <f t="shared" si="5"/>
        <v>17.06041667</v>
      </c>
    </row>
    <row r="825">
      <c r="A825" s="4" t="s">
        <v>94</v>
      </c>
      <c r="B825" s="4" t="s">
        <v>40</v>
      </c>
      <c r="C825" s="4" t="s">
        <v>273</v>
      </c>
      <c r="D825" s="4" t="s">
        <v>274</v>
      </c>
      <c r="E825" s="10">
        <f>IFERROR(__xludf.DUMMYFUNCTION("SPLIT(B825,""T"")"),41541.0)</f>
        <v>41541</v>
      </c>
      <c r="F825" s="4" t="str">
        <f>IFERROR(__xludf.DUMMYFUNCTION("""COMPUTED_VALUE"""),"20:15:00Z")</f>
        <v>20:15:00Z</v>
      </c>
      <c r="G825" s="11" t="str">
        <f t="shared" si="1"/>
        <v>20:15:00</v>
      </c>
      <c r="H825" s="10">
        <f>IFERROR(__xludf.DUMMYFUNCTION("SPLIT(D825,""T"")"),41525.0)</f>
        <v>41525</v>
      </c>
      <c r="I825" s="4" t="str">
        <f>IFERROR(__xludf.DUMMYFUNCTION("""COMPUTED_VALUE"""),"11:53:00Z")</f>
        <v>11:53:00Z</v>
      </c>
      <c r="J825" s="4" t="str">
        <f t="shared" si="2"/>
        <v>11:53:00</v>
      </c>
      <c r="K825" s="4">
        <f t="shared" si="3"/>
        <v>16</v>
      </c>
      <c r="L825" s="4">
        <f t="shared" si="4"/>
        <v>0.3486111111</v>
      </c>
      <c r="M825" s="4">
        <f t="shared" si="5"/>
        <v>16.34861111</v>
      </c>
    </row>
    <row r="826">
      <c r="A826" s="4" t="s">
        <v>186</v>
      </c>
      <c r="B826" s="4" t="s">
        <v>848</v>
      </c>
      <c r="C826" s="4" t="s">
        <v>849</v>
      </c>
      <c r="D826" s="4" t="s">
        <v>850</v>
      </c>
      <c r="E826" s="10">
        <f>IFERROR(__xludf.DUMMYFUNCTION("SPLIT(B826,""T"")"),42230.0)</f>
        <v>42230</v>
      </c>
      <c r="F826" s="4" t="str">
        <f>IFERROR(__xludf.DUMMYFUNCTION("""COMPUTED_VALUE"""),"18:15:00Z")</f>
        <v>18:15:00Z</v>
      </c>
      <c r="G826" s="11" t="str">
        <f t="shared" si="1"/>
        <v>18:15:00</v>
      </c>
      <c r="H826" s="10">
        <f>IFERROR(__xludf.DUMMYFUNCTION("SPLIT(D826,""T"")"),42214.0)</f>
        <v>42214</v>
      </c>
      <c r="I826" s="4" t="str">
        <f>IFERROR(__xludf.DUMMYFUNCTION("""COMPUTED_VALUE"""),"15:29:00Z")</f>
        <v>15:29:00Z</v>
      </c>
      <c r="J826" s="4" t="str">
        <f t="shared" si="2"/>
        <v>15:29:00</v>
      </c>
      <c r="K826" s="4">
        <f t="shared" si="3"/>
        <v>16</v>
      </c>
      <c r="L826" s="4">
        <f t="shared" si="4"/>
        <v>0.1152777778</v>
      </c>
      <c r="M826" s="4">
        <f t="shared" si="5"/>
        <v>16.11527778</v>
      </c>
    </row>
    <row r="827">
      <c r="A827" s="4" t="s">
        <v>114</v>
      </c>
      <c r="B827" s="4" t="s">
        <v>1334</v>
      </c>
      <c r="C827" s="4" t="s">
        <v>1335</v>
      </c>
      <c r="D827" s="4" t="s">
        <v>1336</v>
      </c>
      <c r="E827" s="10">
        <f>IFERROR(__xludf.DUMMYFUNCTION("SPLIT(B827,""T"")"),42541.0)</f>
        <v>42541</v>
      </c>
      <c r="F827" s="4" t="str">
        <f>IFERROR(__xludf.DUMMYFUNCTION("""COMPUTED_VALUE"""),"08:30:00Z")</f>
        <v>08:30:00Z</v>
      </c>
      <c r="G827" s="11" t="str">
        <f t="shared" si="1"/>
        <v>08:30:00</v>
      </c>
      <c r="H827" s="10">
        <f>IFERROR(__xludf.DUMMYFUNCTION("SPLIT(D827,""T"")"),42525.0)</f>
        <v>42525</v>
      </c>
      <c r="I827" s="4" t="str">
        <f>IFERROR(__xludf.DUMMYFUNCTION("""COMPUTED_VALUE"""),"14:33:00Z")</f>
        <v>14:33:00Z</v>
      </c>
      <c r="J827" s="4" t="str">
        <f t="shared" si="2"/>
        <v>14:33:00</v>
      </c>
      <c r="K827" s="4">
        <f t="shared" si="3"/>
        <v>16</v>
      </c>
      <c r="L827" s="4">
        <f t="shared" si="4"/>
        <v>-0.2520833333</v>
      </c>
      <c r="M827" s="4">
        <f t="shared" si="5"/>
        <v>15.74791667</v>
      </c>
    </row>
    <row r="828">
      <c r="A828" s="4" t="s">
        <v>58</v>
      </c>
      <c r="B828" s="4" t="s">
        <v>526</v>
      </c>
      <c r="C828" s="4" t="s">
        <v>527</v>
      </c>
      <c r="D828" s="4" t="s">
        <v>528</v>
      </c>
      <c r="E828" s="10">
        <f>IFERROR(__xludf.DUMMYFUNCTION("SPLIT(B828,""T"")"),41866.0)</f>
        <v>41866</v>
      </c>
      <c r="F828" s="4" t="str">
        <f>IFERROR(__xludf.DUMMYFUNCTION("""COMPUTED_VALUE"""),"14:00:00Z")</f>
        <v>14:00:00Z</v>
      </c>
      <c r="G828" s="11" t="str">
        <f t="shared" si="1"/>
        <v>14:00:00</v>
      </c>
      <c r="H828" s="10">
        <f>IFERROR(__xludf.DUMMYFUNCTION("SPLIT(D828,""T"")"),41850.0)</f>
        <v>41850</v>
      </c>
      <c r="I828" s="4" t="str">
        <f>IFERROR(__xludf.DUMMYFUNCTION("""COMPUTED_VALUE"""),"20:15:00Z")</f>
        <v>20:15:00Z</v>
      </c>
      <c r="J828" s="4" t="str">
        <f t="shared" si="2"/>
        <v>20:15:00</v>
      </c>
      <c r="K828" s="4">
        <f t="shared" si="3"/>
        <v>16</v>
      </c>
      <c r="L828" s="4">
        <f t="shared" si="4"/>
        <v>-0.2604166667</v>
      </c>
      <c r="M828" s="4">
        <f t="shared" si="5"/>
        <v>15.73958333</v>
      </c>
    </row>
    <row r="829">
      <c r="A829" s="4" t="s">
        <v>186</v>
      </c>
      <c r="B829" s="4" t="s">
        <v>863</v>
      </c>
      <c r="C829" s="4" t="s">
        <v>864</v>
      </c>
      <c r="D829" s="4" t="s">
        <v>865</v>
      </c>
      <c r="E829" s="10">
        <f>IFERROR(__xludf.DUMMYFUNCTION("SPLIT(B829,""T"")"),42241.0)</f>
        <v>42241</v>
      </c>
      <c r="F829" s="4" t="str">
        <f>IFERROR(__xludf.DUMMYFUNCTION("""COMPUTED_VALUE"""),"06:45:00Z")</f>
        <v>06:45:00Z</v>
      </c>
      <c r="G829" s="11" t="str">
        <f t="shared" si="1"/>
        <v>06:45:00</v>
      </c>
      <c r="H829" s="10">
        <f>IFERROR(__xludf.DUMMYFUNCTION("SPLIT(D829,""T"")"),42225.0)</f>
        <v>42225</v>
      </c>
      <c r="I829" s="4" t="str">
        <f>IFERROR(__xludf.DUMMYFUNCTION("""COMPUTED_VALUE"""),"15:34:00Z")</f>
        <v>15:34:00Z</v>
      </c>
      <c r="J829" s="4" t="str">
        <f t="shared" si="2"/>
        <v>15:34:00</v>
      </c>
      <c r="K829" s="4">
        <f t="shared" si="3"/>
        <v>16</v>
      </c>
      <c r="L829" s="4">
        <f t="shared" si="4"/>
        <v>-0.3673611111</v>
      </c>
      <c r="M829" s="4">
        <f t="shared" si="5"/>
        <v>15.63263889</v>
      </c>
    </row>
    <row r="830">
      <c r="A830" s="4" t="s">
        <v>166</v>
      </c>
      <c r="B830" s="4" t="s">
        <v>863</v>
      </c>
      <c r="C830" s="4" t="s">
        <v>864</v>
      </c>
      <c r="D830" s="4" t="s">
        <v>865</v>
      </c>
      <c r="E830" s="10">
        <f>IFERROR(__xludf.DUMMYFUNCTION("SPLIT(B830,""T"")"),42241.0)</f>
        <v>42241</v>
      </c>
      <c r="F830" s="4" t="str">
        <f>IFERROR(__xludf.DUMMYFUNCTION("""COMPUTED_VALUE"""),"06:45:00Z")</f>
        <v>06:45:00Z</v>
      </c>
      <c r="G830" s="11" t="str">
        <f t="shared" si="1"/>
        <v>06:45:00</v>
      </c>
      <c r="H830" s="10">
        <f>IFERROR(__xludf.DUMMYFUNCTION("SPLIT(D830,""T"")"),42225.0)</f>
        <v>42225</v>
      </c>
      <c r="I830" s="4" t="str">
        <f>IFERROR(__xludf.DUMMYFUNCTION("""COMPUTED_VALUE"""),"15:34:00Z")</f>
        <v>15:34:00Z</v>
      </c>
      <c r="J830" s="4" t="str">
        <f t="shared" si="2"/>
        <v>15:34:00</v>
      </c>
      <c r="K830" s="4">
        <f t="shared" si="3"/>
        <v>16</v>
      </c>
      <c r="L830" s="4">
        <f t="shared" si="4"/>
        <v>-0.3673611111</v>
      </c>
      <c r="M830" s="4">
        <f t="shared" si="5"/>
        <v>15.63263889</v>
      </c>
    </row>
    <row r="831">
      <c r="A831" s="4" t="s">
        <v>58</v>
      </c>
      <c r="B831" s="4" t="s">
        <v>547</v>
      </c>
      <c r="C831" s="4" t="s">
        <v>548</v>
      </c>
      <c r="D831" s="4" t="s">
        <v>549</v>
      </c>
      <c r="E831" s="10">
        <f>IFERROR(__xludf.DUMMYFUNCTION("SPLIT(B831,""T"")"),41846.0)</f>
        <v>41846</v>
      </c>
      <c r="F831" s="4" t="str">
        <f>IFERROR(__xludf.DUMMYFUNCTION("""COMPUTED_VALUE"""),"20:00:00Z")</f>
        <v>20:00:00Z</v>
      </c>
      <c r="G831" s="11" t="str">
        <f t="shared" si="1"/>
        <v>20:00:00</v>
      </c>
      <c r="H831" s="10">
        <f>IFERROR(__xludf.DUMMYFUNCTION("SPLIT(D831,""T"")"),41831.0)</f>
        <v>41831</v>
      </c>
      <c r="I831" s="4" t="str">
        <f>IFERROR(__xludf.DUMMYFUNCTION("""COMPUTED_VALUE"""),"15:37:00Z")</f>
        <v>15:37:00Z</v>
      </c>
      <c r="J831" s="4" t="str">
        <f t="shared" si="2"/>
        <v>15:37:00</v>
      </c>
      <c r="K831" s="4">
        <f t="shared" si="3"/>
        <v>15</v>
      </c>
      <c r="L831" s="4">
        <f t="shared" si="4"/>
        <v>0.1826388889</v>
      </c>
      <c r="M831" s="4">
        <f t="shared" si="5"/>
        <v>15.18263889</v>
      </c>
    </row>
    <row r="832">
      <c r="A832" s="4" t="s">
        <v>27</v>
      </c>
      <c r="B832" s="4" t="s">
        <v>28</v>
      </c>
      <c r="C832" s="4" t="s">
        <v>29</v>
      </c>
      <c r="D832" s="4" t="s">
        <v>30</v>
      </c>
      <c r="E832" s="10">
        <f>IFERROR(__xludf.DUMMYFUNCTION("SPLIT(B832,""T"")"),41485.0)</f>
        <v>41485</v>
      </c>
      <c r="F832" s="4" t="str">
        <f>IFERROR(__xludf.DUMMYFUNCTION("""COMPUTED_VALUE"""),"18:00:00Z")</f>
        <v>18:00:00Z</v>
      </c>
      <c r="G832" s="11" t="str">
        <f t="shared" si="1"/>
        <v>18:00:00</v>
      </c>
      <c r="H832" s="10">
        <f>IFERROR(__xludf.DUMMYFUNCTION("SPLIT(D832,""T"")"),41470.0)</f>
        <v>41470</v>
      </c>
      <c r="I832" s="4" t="str">
        <f>IFERROR(__xludf.DUMMYFUNCTION("""COMPUTED_VALUE"""),"13:43:00Z")</f>
        <v>13:43:00Z</v>
      </c>
      <c r="J832" s="4" t="str">
        <f t="shared" si="2"/>
        <v>13:43:00</v>
      </c>
      <c r="K832" s="4">
        <f t="shared" si="3"/>
        <v>15</v>
      </c>
      <c r="L832" s="4">
        <f t="shared" si="4"/>
        <v>0.1784722222</v>
      </c>
      <c r="M832" s="4">
        <f t="shared" si="5"/>
        <v>15.17847222</v>
      </c>
    </row>
    <row r="833">
      <c r="A833" s="4" t="s">
        <v>101</v>
      </c>
      <c r="B833" s="4" t="s">
        <v>571</v>
      </c>
      <c r="C833" s="4" t="s">
        <v>572</v>
      </c>
      <c r="D833" s="4" t="s">
        <v>573</v>
      </c>
      <c r="E833" s="10">
        <f>IFERROR(__xludf.DUMMYFUNCTION("SPLIT(B833,""T"")"),41861.0)</f>
        <v>41861</v>
      </c>
      <c r="F833" s="4" t="str">
        <f>IFERROR(__xludf.DUMMYFUNCTION("""COMPUTED_VALUE"""),"08:15:00Z")</f>
        <v>08:15:00Z</v>
      </c>
      <c r="G833" s="11" t="str">
        <f t="shared" si="1"/>
        <v>08:15:00</v>
      </c>
      <c r="H833" s="10">
        <f>IFERROR(__xludf.DUMMYFUNCTION("SPLIT(D833,""T"")"),41846.0)</f>
        <v>41846</v>
      </c>
      <c r="I833" s="4" t="str">
        <f>IFERROR(__xludf.DUMMYFUNCTION("""COMPUTED_VALUE"""),"17:00:00Z")</f>
        <v>17:00:00Z</v>
      </c>
      <c r="J833" s="4" t="str">
        <f t="shared" si="2"/>
        <v>17:00:00</v>
      </c>
      <c r="K833" s="4">
        <f t="shared" si="3"/>
        <v>15</v>
      </c>
      <c r="L833" s="4">
        <f t="shared" si="4"/>
        <v>-0.3645833333</v>
      </c>
      <c r="M833" s="4">
        <f t="shared" si="5"/>
        <v>14.63541667</v>
      </c>
    </row>
    <row r="834">
      <c r="A834" s="4" t="s">
        <v>149</v>
      </c>
      <c r="B834" s="4" t="s">
        <v>1738</v>
      </c>
      <c r="C834" s="4" t="s">
        <v>1231</v>
      </c>
      <c r="D834" s="4" t="s">
        <v>1739</v>
      </c>
      <c r="E834" s="10">
        <f>IFERROR(__xludf.DUMMYFUNCTION("SPLIT(B834,""T"")"),42540.0)</f>
        <v>42540</v>
      </c>
      <c r="F834" s="4" t="str">
        <f>IFERROR(__xludf.DUMMYFUNCTION("""COMPUTED_VALUE"""),"08:30:00Z")</f>
        <v>08:30:00Z</v>
      </c>
      <c r="G834" s="11" t="str">
        <f t="shared" si="1"/>
        <v>08:30:00</v>
      </c>
      <c r="H834" s="10">
        <f>IFERROR(__xludf.DUMMYFUNCTION("SPLIT(D834,""T"")"),42525.0)</f>
        <v>42525</v>
      </c>
      <c r="I834" s="4" t="str">
        <f>IFERROR(__xludf.DUMMYFUNCTION("""COMPUTED_VALUE"""),"17:46:00Z")</f>
        <v>17:46:00Z</v>
      </c>
      <c r="J834" s="4" t="str">
        <f t="shared" si="2"/>
        <v>17:46:00</v>
      </c>
      <c r="K834" s="4">
        <f t="shared" si="3"/>
        <v>15</v>
      </c>
      <c r="L834" s="4">
        <f t="shared" si="4"/>
        <v>-0.3861111111</v>
      </c>
      <c r="M834" s="4">
        <f t="shared" si="5"/>
        <v>14.61388889</v>
      </c>
    </row>
    <row r="835">
      <c r="A835" s="4" t="s">
        <v>874</v>
      </c>
      <c r="B835" s="4" t="s">
        <v>937</v>
      </c>
      <c r="C835" s="4" t="s">
        <v>938</v>
      </c>
      <c r="D835" s="4" t="s">
        <v>939</v>
      </c>
      <c r="E835" s="10">
        <f>IFERROR(__xludf.DUMMYFUNCTION("SPLIT(B835,""T"")"),42055.0)</f>
        <v>42055</v>
      </c>
      <c r="F835" s="4" t="str">
        <f>IFERROR(__xludf.DUMMYFUNCTION("""COMPUTED_VALUE"""),"19:00:00Z")</f>
        <v>19:00:00Z</v>
      </c>
      <c r="G835" s="11" t="str">
        <f t="shared" si="1"/>
        <v>19:00:00</v>
      </c>
      <c r="H835" s="10">
        <f>IFERROR(__xludf.DUMMYFUNCTION("SPLIT(D835,""T"")"),42041.0)</f>
        <v>42041</v>
      </c>
      <c r="I835" s="4" t="str">
        <f>IFERROR(__xludf.DUMMYFUNCTION("""COMPUTED_VALUE"""),"16:52:00Z")</f>
        <v>16:52:00Z</v>
      </c>
      <c r="J835" s="4" t="str">
        <f t="shared" si="2"/>
        <v>16:52:00</v>
      </c>
      <c r="K835" s="4">
        <f t="shared" si="3"/>
        <v>14</v>
      </c>
      <c r="L835" s="4">
        <f t="shared" si="4"/>
        <v>0.08888888889</v>
      </c>
      <c r="M835" s="4">
        <f t="shared" si="5"/>
        <v>14.08888889</v>
      </c>
    </row>
    <row r="836">
      <c r="A836" s="4" t="s">
        <v>874</v>
      </c>
      <c r="B836" s="4" t="s">
        <v>1368</v>
      </c>
      <c r="C836" s="4" t="s">
        <v>1369</v>
      </c>
      <c r="D836" s="4" t="s">
        <v>1370</v>
      </c>
      <c r="E836" s="10">
        <f>IFERROR(__xludf.DUMMYFUNCTION("SPLIT(B836,""T"")"),42560.0)</f>
        <v>42560</v>
      </c>
      <c r="F836" s="4" t="str">
        <f>IFERROR(__xludf.DUMMYFUNCTION("""COMPUTED_VALUE"""),"08:30:00Z")</f>
        <v>08:30:00Z</v>
      </c>
      <c r="G836" s="11" t="str">
        <f t="shared" si="1"/>
        <v>08:30:00</v>
      </c>
      <c r="H836" s="10">
        <f>IFERROR(__xludf.DUMMYFUNCTION("SPLIT(D836,""T"")"),42546.0)</f>
        <v>42546</v>
      </c>
      <c r="I836" s="4" t="str">
        <f>IFERROR(__xludf.DUMMYFUNCTION("""COMPUTED_VALUE"""),"06:30:00Z")</f>
        <v>06:30:00Z</v>
      </c>
      <c r="J836" s="4" t="str">
        <f t="shared" si="2"/>
        <v>06:30:00</v>
      </c>
      <c r="K836" s="4">
        <f t="shared" si="3"/>
        <v>14</v>
      </c>
      <c r="L836" s="4">
        <f t="shared" si="4"/>
        <v>0.08333333333</v>
      </c>
      <c r="M836" s="4">
        <f t="shared" si="5"/>
        <v>14.08333333</v>
      </c>
    </row>
    <row r="837">
      <c r="A837" s="4" t="s">
        <v>31</v>
      </c>
      <c r="B837" s="4" t="s">
        <v>3648</v>
      </c>
      <c r="C837" s="4" t="s">
        <v>3649</v>
      </c>
      <c r="D837" s="4" t="s">
        <v>3650</v>
      </c>
      <c r="E837" s="10">
        <f>IFERROR(__xludf.DUMMYFUNCTION("SPLIT(B837,""T"")"),43609.0)</f>
        <v>43609</v>
      </c>
      <c r="F837" s="4" t="str">
        <f>IFERROR(__xludf.DUMMYFUNCTION("""COMPUTED_VALUE"""),"14:28:00Z")</f>
        <v>14:28:00Z</v>
      </c>
      <c r="G837" s="11" t="str">
        <f t="shared" si="1"/>
        <v>14:28:00</v>
      </c>
      <c r="H837" s="10">
        <f>IFERROR(__xludf.DUMMYFUNCTION("SPLIT(D837,""T"")"),43595.0)</f>
        <v>43595</v>
      </c>
      <c r="I837" s="4" t="str">
        <f>IFERROR(__xludf.DUMMYFUNCTION("""COMPUTED_VALUE"""),"14:14:00Z")</f>
        <v>14:14:00Z</v>
      </c>
      <c r="J837" s="4" t="str">
        <f t="shared" si="2"/>
        <v>14:14:00</v>
      </c>
      <c r="K837" s="4">
        <f t="shared" si="3"/>
        <v>14</v>
      </c>
      <c r="L837" s="4">
        <f t="shared" si="4"/>
        <v>0.009722222222</v>
      </c>
      <c r="M837" s="4">
        <f t="shared" si="5"/>
        <v>14.00972222</v>
      </c>
    </row>
    <row r="838">
      <c r="A838" s="4" t="s">
        <v>73</v>
      </c>
      <c r="B838" s="4" t="s">
        <v>3309</v>
      </c>
      <c r="C838" s="4" t="s">
        <v>3310</v>
      </c>
      <c r="D838" s="4" t="s">
        <v>3311</v>
      </c>
      <c r="E838" s="10">
        <f>IFERROR(__xludf.DUMMYFUNCTION("SPLIT(B838,""T"")"),43775.0)</f>
        <v>43775</v>
      </c>
      <c r="F838" s="4" t="str">
        <f>IFERROR(__xludf.DUMMYFUNCTION("""COMPUTED_VALUE"""),"19:00:00Z")</f>
        <v>19:00:00Z</v>
      </c>
      <c r="G838" s="11" t="str">
        <f t="shared" si="1"/>
        <v>19:00:00</v>
      </c>
      <c r="H838" s="10">
        <f>IFERROR(__xludf.DUMMYFUNCTION("SPLIT(D838,""T"")"),43761.0)</f>
        <v>43761</v>
      </c>
      <c r="I838" s="4" t="str">
        <f>IFERROR(__xludf.DUMMYFUNCTION("""COMPUTED_VALUE"""),"21:27:00Z")</f>
        <v>21:27:00Z</v>
      </c>
      <c r="J838" s="4" t="str">
        <f t="shared" si="2"/>
        <v>21:27:00</v>
      </c>
      <c r="K838" s="4">
        <f t="shared" si="3"/>
        <v>14</v>
      </c>
      <c r="L838" s="4">
        <f t="shared" si="4"/>
        <v>-0.1020833333</v>
      </c>
      <c r="M838" s="4">
        <f t="shared" si="5"/>
        <v>13.89791667</v>
      </c>
    </row>
    <row r="839">
      <c r="A839" s="4" t="s">
        <v>62</v>
      </c>
      <c r="B839" s="4" t="s">
        <v>3815</v>
      </c>
      <c r="C839" s="4" t="s">
        <v>3816</v>
      </c>
      <c r="D839" s="4" t="s">
        <v>3817</v>
      </c>
      <c r="E839" s="10">
        <f>IFERROR(__xludf.DUMMYFUNCTION("SPLIT(B839,""T"")"),43640.0)</f>
        <v>43640</v>
      </c>
      <c r="F839" s="4" t="str">
        <f>IFERROR(__xludf.DUMMYFUNCTION("""COMPUTED_VALUE"""),"11:44:00Z")</f>
        <v>11:44:00Z</v>
      </c>
      <c r="G839" s="11" t="str">
        <f t="shared" si="1"/>
        <v>11:44:00</v>
      </c>
      <c r="H839" s="10">
        <f>IFERROR(__xludf.DUMMYFUNCTION("SPLIT(D839,""T"")"),43626.0)</f>
        <v>43626</v>
      </c>
      <c r="I839" s="4" t="str">
        <f>IFERROR(__xludf.DUMMYFUNCTION("""COMPUTED_VALUE"""),"14:25:00Z")</f>
        <v>14:25:00Z</v>
      </c>
      <c r="J839" s="4" t="str">
        <f t="shared" si="2"/>
        <v>14:25:00</v>
      </c>
      <c r="K839" s="4">
        <f t="shared" si="3"/>
        <v>14</v>
      </c>
      <c r="L839" s="4">
        <f t="shared" si="4"/>
        <v>-0.1118055556</v>
      </c>
      <c r="M839" s="4">
        <f t="shared" si="5"/>
        <v>13.88819444</v>
      </c>
    </row>
    <row r="840">
      <c r="A840" s="4" t="s">
        <v>50</v>
      </c>
      <c r="B840" s="4" t="s">
        <v>3737</v>
      </c>
      <c r="C840" s="4" t="s">
        <v>1281</v>
      </c>
      <c r="D840" s="4" t="s">
        <v>3738</v>
      </c>
      <c r="E840" s="10">
        <f>IFERROR(__xludf.DUMMYFUNCTION("SPLIT(B840,""T"")"),43480.0)</f>
        <v>43480</v>
      </c>
      <c r="F840" s="4" t="str">
        <f>IFERROR(__xludf.DUMMYFUNCTION("""COMPUTED_VALUE"""),"10:38:00Z")</f>
        <v>10:38:00Z</v>
      </c>
      <c r="G840" s="11" t="str">
        <f t="shared" si="1"/>
        <v>10:38:00</v>
      </c>
      <c r="H840" s="10">
        <f>IFERROR(__xludf.DUMMYFUNCTION("SPLIT(D840,""T"")"),43466.0)</f>
        <v>43466</v>
      </c>
      <c r="I840" s="4" t="str">
        <f>IFERROR(__xludf.DUMMYFUNCTION("""COMPUTED_VALUE"""),"14:14:00Z")</f>
        <v>14:14:00Z</v>
      </c>
      <c r="J840" s="4" t="str">
        <f t="shared" si="2"/>
        <v>14:14:00</v>
      </c>
      <c r="K840" s="4">
        <f t="shared" si="3"/>
        <v>14</v>
      </c>
      <c r="L840" s="4">
        <f t="shared" si="4"/>
        <v>-0.15</v>
      </c>
      <c r="M840" s="4">
        <f t="shared" si="5"/>
        <v>13.85</v>
      </c>
    </row>
    <row r="841">
      <c r="A841" s="4" t="s">
        <v>145</v>
      </c>
      <c r="B841" s="4" t="s">
        <v>3313</v>
      </c>
      <c r="C841" s="4" t="s">
        <v>3314</v>
      </c>
      <c r="D841" s="4" t="s">
        <v>3315</v>
      </c>
      <c r="E841" s="10">
        <f>IFERROR(__xludf.DUMMYFUNCTION("SPLIT(B841,""T"")"),43688.0)</f>
        <v>43688</v>
      </c>
      <c r="F841" s="4" t="str">
        <f>IFERROR(__xludf.DUMMYFUNCTION("""COMPUTED_VALUE"""),"12:16:00Z")</f>
        <v>12:16:00Z</v>
      </c>
      <c r="G841" s="11" t="str">
        <f t="shared" si="1"/>
        <v>12:16:00</v>
      </c>
      <c r="H841" s="10">
        <f>IFERROR(__xludf.DUMMYFUNCTION("SPLIT(D841,""T"")"),43674.0)</f>
        <v>43674</v>
      </c>
      <c r="I841" s="4" t="str">
        <f>IFERROR(__xludf.DUMMYFUNCTION("""COMPUTED_VALUE"""),"15:58:00Z")</f>
        <v>15:58:00Z</v>
      </c>
      <c r="J841" s="4" t="str">
        <f t="shared" si="2"/>
        <v>15:58:00</v>
      </c>
      <c r="K841" s="4">
        <f t="shared" si="3"/>
        <v>14</v>
      </c>
      <c r="L841" s="4">
        <f t="shared" si="4"/>
        <v>-0.1541666667</v>
      </c>
      <c r="M841" s="4">
        <f t="shared" si="5"/>
        <v>13.84583333</v>
      </c>
    </row>
    <row r="842">
      <c r="A842" s="4" t="s">
        <v>145</v>
      </c>
      <c r="B842" s="4" t="s">
        <v>544</v>
      </c>
      <c r="C842" s="4" t="s">
        <v>545</v>
      </c>
      <c r="D842" s="4" t="s">
        <v>546</v>
      </c>
      <c r="E842" s="10">
        <f>IFERROR(__xludf.DUMMYFUNCTION("SPLIT(B842,""T"")"),41864.0)</f>
        <v>41864</v>
      </c>
      <c r="F842" s="4" t="str">
        <f>IFERROR(__xludf.DUMMYFUNCTION("""COMPUTED_VALUE"""),"07:00:00Z")</f>
        <v>07:00:00Z</v>
      </c>
      <c r="G842" s="11" t="str">
        <f t="shared" si="1"/>
        <v>07:00:00</v>
      </c>
      <c r="H842" s="10">
        <f>IFERROR(__xludf.DUMMYFUNCTION("SPLIT(D842,""T"")"),41850.0)</f>
        <v>41850</v>
      </c>
      <c r="I842" s="4" t="str">
        <f>IFERROR(__xludf.DUMMYFUNCTION("""COMPUTED_VALUE"""),"19:01:00Z")</f>
        <v>19:01:00Z</v>
      </c>
      <c r="J842" s="4" t="str">
        <f t="shared" si="2"/>
        <v>19:01:00</v>
      </c>
      <c r="K842" s="4">
        <f t="shared" si="3"/>
        <v>14</v>
      </c>
      <c r="L842" s="4">
        <f t="shared" si="4"/>
        <v>-0.5006944444</v>
      </c>
      <c r="M842" s="4">
        <f t="shared" si="5"/>
        <v>13.49930556</v>
      </c>
    </row>
    <row r="843">
      <c r="A843" s="4" t="s">
        <v>630</v>
      </c>
      <c r="B843" s="4" t="s">
        <v>3459</v>
      </c>
      <c r="C843" s="4" t="s">
        <v>3460</v>
      </c>
      <c r="D843" s="4" t="s">
        <v>3461</v>
      </c>
      <c r="E843" s="10">
        <f>IFERROR(__xludf.DUMMYFUNCTION("SPLIT(B843,""T"")"),43726.0)</f>
        <v>43726</v>
      </c>
      <c r="F843" s="4" t="str">
        <f>IFERROR(__xludf.DUMMYFUNCTION("""COMPUTED_VALUE"""),"12:17:00Z")</f>
        <v>12:17:00Z</v>
      </c>
      <c r="G843" s="11" t="str">
        <f t="shared" si="1"/>
        <v>12:17:00</v>
      </c>
      <c r="H843" s="10">
        <f>IFERROR(__xludf.DUMMYFUNCTION("SPLIT(D843,""T"")"),43713.0)</f>
        <v>43713</v>
      </c>
      <c r="I843" s="4" t="str">
        <f>IFERROR(__xludf.DUMMYFUNCTION("""COMPUTED_VALUE"""),"09:25:00Z")</f>
        <v>09:25:00Z</v>
      </c>
      <c r="J843" s="4" t="str">
        <f t="shared" si="2"/>
        <v>09:25:00</v>
      </c>
      <c r="K843" s="4">
        <f t="shared" si="3"/>
        <v>13</v>
      </c>
      <c r="L843" s="4">
        <f t="shared" si="4"/>
        <v>0.1194444444</v>
      </c>
      <c r="M843" s="4">
        <f t="shared" si="5"/>
        <v>13.11944444</v>
      </c>
    </row>
    <row r="844">
      <c r="A844" s="4" t="s">
        <v>186</v>
      </c>
      <c r="B844" s="4" t="s">
        <v>1311</v>
      </c>
      <c r="C844" s="4" t="s">
        <v>1312</v>
      </c>
      <c r="D844" s="4" t="s">
        <v>1313</v>
      </c>
      <c r="E844" s="10">
        <f>IFERROR(__xludf.DUMMYFUNCTION("SPLIT(B844,""T"")"),42608.0)</f>
        <v>42608</v>
      </c>
      <c r="F844" s="4" t="str">
        <f>IFERROR(__xludf.DUMMYFUNCTION("""COMPUTED_VALUE"""),"18:00:00Z")</f>
        <v>18:00:00Z</v>
      </c>
      <c r="G844" s="11" t="str">
        <f t="shared" si="1"/>
        <v>18:00:00</v>
      </c>
      <c r="H844" s="10">
        <f>IFERROR(__xludf.DUMMYFUNCTION("SPLIT(D844,""T"")"),42595.0)</f>
        <v>42595</v>
      </c>
      <c r="I844" s="4" t="str">
        <f>IFERROR(__xludf.DUMMYFUNCTION("""COMPUTED_VALUE"""),"18:03:00Z")</f>
        <v>18:03:00Z</v>
      </c>
      <c r="J844" s="4" t="str">
        <f t="shared" si="2"/>
        <v>18:03:00</v>
      </c>
      <c r="K844" s="4">
        <f t="shared" si="3"/>
        <v>13</v>
      </c>
      <c r="L844" s="4">
        <f t="shared" si="4"/>
        <v>-0.002083333333</v>
      </c>
      <c r="M844" s="4">
        <f t="shared" si="5"/>
        <v>12.99791667</v>
      </c>
    </row>
    <row r="845">
      <c r="A845" s="4" t="s">
        <v>114</v>
      </c>
      <c r="B845" s="4" t="s">
        <v>3442</v>
      </c>
      <c r="C845" s="4" t="s">
        <v>1589</v>
      </c>
      <c r="D845" s="4" t="s">
        <v>3443</v>
      </c>
      <c r="E845" s="10">
        <f>IFERROR(__xludf.DUMMYFUNCTION("SPLIT(B845,""T"")"),43689.0)</f>
        <v>43689</v>
      </c>
      <c r="F845" s="4" t="str">
        <f>IFERROR(__xludf.DUMMYFUNCTION("""COMPUTED_VALUE"""),"08:20:00Z")</f>
        <v>08:20:00Z</v>
      </c>
      <c r="G845" s="11" t="str">
        <f t="shared" si="1"/>
        <v>08:20:00</v>
      </c>
      <c r="H845" s="10">
        <f>IFERROR(__xludf.DUMMYFUNCTION("SPLIT(D845,""T"")"),43676.0)</f>
        <v>43676</v>
      </c>
      <c r="I845" s="4" t="str">
        <f>IFERROR(__xludf.DUMMYFUNCTION("""COMPUTED_VALUE"""),"13:28:17Z")</f>
        <v>13:28:17Z</v>
      </c>
      <c r="J845" s="4" t="str">
        <f t="shared" si="2"/>
        <v>13:28:17</v>
      </c>
      <c r="K845" s="4">
        <f t="shared" si="3"/>
        <v>13</v>
      </c>
      <c r="L845" s="4">
        <f t="shared" si="4"/>
        <v>-0.2140856481</v>
      </c>
      <c r="M845" s="4">
        <f t="shared" si="5"/>
        <v>12.78591435</v>
      </c>
    </row>
    <row r="846">
      <c r="A846" s="4" t="s">
        <v>50</v>
      </c>
      <c r="B846" s="4" t="s">
        <v>1371</v>
      </c>
      <c r="C846" s="4" t="s">
        <v>1372</v>
      </c>
      <c r="D846" s="4" t="s">
        <v>1373</v>
      </c>
      <c r="E846" s="10">
        <f>IFERROR(__xludf.DUMMYFUNCTION("SPLIT(B846,""T"")"),42617.0)</f>
        <v>42617</v>
      </c>
      <c r="F846" s="4" t="str">
        <f>IFERROR(__xludf.DUMMYFUNCTION("""COMPUTED_VALUE"""),"06:55:00Z")</f>
        <v>06:55:00Z</v>
      </c>
      <c r="G846" s="11" t="str">
        <f t="shared" si="1"/>
        <v>06:55:00</v>
      </c>
      <c r="H846" s="10">
        <f>IFERROR(__xludf.DUMMYFUNCTION("SPLIT(D846,""T"")"),42604.0)</f>
        <v>42604</v>
      </c>
      <c r="I846" s="4" t="str">
        <f>IFERROR(__xludf.DUMMYFUNCTION("""COMPUTED_VALUE"""),"16:03:00Z")</f>
        <v>16:03:00Z</v>
      </c>
      <c r="J846" s="4" t="str">
        <f t="shared" si="2"/>
        <v>16:03:00</v>
      </c>
      <c r="K846" s="4">
        <f t="shared" si="3"/>
        <v>13</v>
      </c>
      <c r="L846" s="4">
        <f t="shared" si="4"/>
        <v>-0.3805555556</v>
      </c>
      <c r="M846" s="4">
        <f t="shared" si="5"/>
        <v>12.61944444</v>
      </c>
    </row>
    <row r="847">
      <c r="A847" s="4" t="s">
        <v>149</v>
      </c>
      <c r="B847" s="4" t="s">
        <v>896</v>
      </c>
      <c r="C847" s="4" t="s">
        <v>897</v>
      </c>
      <c r="D847" s="4" t="s">
        <v>898</v>
      </c>
      <c r="E847" s="10">
        <f>IFERROR(__xludf.DUMMYFUNCTION("SPLIT(B847,""T"")"),42244.0)</f>
        <v>42244</v>
      </c>
      <c r="F847" s="4" t="str">
        <f>IFERROR(__xludf.DUMMYFUNCTION("""COMPUTED_VALUE"""),"18:15:00Z")</f>
        <v>18:15:00Z</v>
      </c>
      <c r="G847" s="11" t="str">
        <f t="shared" si="1"/>
        <v>18:15:00</v>
      </c>
      <c r="H847" s="10">
        <f>IFERROR(__xludf.DUMMYFUNCTION("SPLIT(D847,""T"")"),42232.0)</f>
        <v>42232</v>
      </c>
      <c r="I847" s="4" t="str">
        <f>IFERROR(__xludf.DUMMYFUNCTION("""COMPUTED_VALUE"""),"18:13:00Z")</f>
        <v>18:13:00Z</v>
      </c>
      <c r="J847" s="4" t="str">
        <f t="shared" si="2"/>
        <v>18:13:00</v>
      </c>
      <c r="K847" s="4">
        <f t="shared" si="3"/>
        <v>12</v>
      </c>
      <c r="L847" s="4">
        <f t="shared" si="4"/>
        <v>0.001388888889</v>
      </c>
      <c r="M847" s="4">
        <f t="shared" si="5"/>
        <v>12.00138889</v>
      </c>
    </row>
    <row r="848">
      <c r="A848" s="4" t="s">
        <v>1253</v>
      </c>
      <c r="B848" s="4" t="s">
        <v>1733</v>
      </c>
      <c r="C848" s="4" t="s">
        <v>1734</v>
      </c>
      <c r="D848" s="4" t="s">
        <v>1735</v>
      </c>
      <c r="E848" s="10">
        <f>IFERROR(__xludf.DUMMYFUNCTION("SPLIT(B848,""T"")"),42612.0)</f>
        <v>42612</v>
      </c>
      <c r="F848" s="4" t="str">
        <f>IFERROR(__xludf.DUMMYFUNCTION("""COMPUTED_VALUE"""),"12:05:00Z")</f>
        <v>12:05:00Z</v>
      </c>
      <c r="G848" s="11" t="str">
        <f t="shared" si="1"/>
        <v>12:05:00</v>
      </c>
      <c r="H848" s="10">
        <f>IFERROR(__xludf.DUMMYFUNCTION("SPLIT(D848,""T"")"),42600.0)</f>
        <v>42600</v>
      </c>
      <c r="I848" s="4" t="str">
        <f>IFERROR(__xludf.DUMMYFUNCTION("""COMPUTED_VALUE"""),"12:05:00Z")</f>
        <v>12:05:00Z</v>
      </c>
      <c r="J848" s="4" t="str">
        <f t="shared" si="2"/>
        <v>12:05:00</v>
      </c>
      <c r="K848" s="4">
        <f t="shared" si="3"/>
        <v>12</v>
      </c>
      <c r="L848" s="4">
        <f t="shared" si="4"/>
        <v>0</v>
      </c>
      <c r="M848" s="4">
        <f t="shared" si="5"/>
        <v>12</v>
      </c>
    </row>
    <row r="849">
      <c r="A849" s="4" t="s">
        <v>401</v>
      </c>
      <c r="B849" s="4" t="s">
        <v>3541</v>
      </c>
      <c r="C849" s="4" t="s">
        <v>1278</v>
      </c>
      <c r="D849" s="4" t="s">
        <v>3542</v>
      </c>
      <c r="E849" s="10">
        <f>IFERROR(__xludf.DUMMYFUNCTION("SPLIT(B849,""T"")"),43627.0)</f>
        <v>43627</v>
      </c>
      <c r="F849" s="4" t="str">
        <f>IFERROR(__xludf.DUMMYFUNCTION("""COMPUTED_VALUE"""),"14:40:00Z")</f>
        <v>14:40:00Z</v>
      </c>
      <c r="G849" s="11" t="str">
        <f t="shared" si="1"/>
        <v>14:40:00</v>
      </c>
      <c r="H849" s="10">
        <f>IFERROR(__xludf.DUMMYFUNCTION("SPLIT(D849,""T"")"),43615.0)</f>
        <v>43615</v>
      </c>
      <c r="I849" s="4" t="str">
        <f>IFERROR(__xludf.DUMMYFUNCTION("""COMPUTED_VALUE"""),"16:19:00Z")</f>
        <v>16:19:00Z</v>
      </c>
      <c r="J849" s="4" t="str">
        <f t="shared" si="2"/>
        <v>16:19:00</v>
      </c>
      <c r="K849" s="4">
        <f t="shared" si="3"/>
        <v>12</v>
      </c>
      <c r="L849" s="4">
        <f t="shared" si="4"/>
        <v>-0.06875</v>
      </c>
      <c r="M849" s="4">
        <f t="shared" si="5"/>
        <v>11.93125</v>
      </c>
    </row>
    <row r="850">
      <c r="A850" s="4" t="s">
        <v>149</v>
      </c>
      <c r="B850" s="4" t="s">
        <v>3363</v>
      </c>
      <c r="C850" s="4" t="s">
        <v>3364</v>
      </c>
      <c r="D850" s="4" t="s">
        <v>3365</v>
      </c>
      <c r="E850" s="10">
        <f>IFERROR(__xludf.DUMMYFUNCTION("SPLIT(B850,""T"")"),43640.0)</f>
        <v>43640</v>
      </c>
      <c r="F850" s="4" t="str">
        <f>IFERROR(__xludf.DUMMYFUNCTION("""COMPUTED_VALUE"""),"10:25:00Z")</f>
        <v>10:25:00Z</v>
      </c>
      <c r="G850" s="11" t="str">
        <f t="shared" si="1"/>
        <v>10:25:00</v>
      </c>
      <c r="H850" s="10">
        <f>IFERROR(__xludf.DUMMYFUNCTION("SPLIT(D850,""T"")"),43628.0)</f>
        <v>43628</v>
      </c>
      <c r="I850" s="4" t="str">
        <f>IFERROR(__xludf.DUMMYFUNCTION("""COMPUTED_VALUE"""),"12:48:00Z")</f>
        <v>12:48:00Z</v>
      </c>
      <c r="J850" s="4" t="str">
        <f t="shared" si="2"/>
        <v>12:48:00</v>
      </c>
      <c r="K850" s="4">
        <f t="shared" si="3"/>
        <v>12</v>
      </c>
      <c r="L850" s="4">
        <f t="shared" si="4"/>
        <v>-0.09930555556</v>
      </c>
      <c r="M850" s="4">
        <f t="shared" si="5"/>
        <v>11.90069444</v>
      </c>
    </row>
    <row r="851">
      <c r="A851" s="4" t="s">
        <v>130</v>
      </c>
      <c r="B851" s="4" t="s">
        <v>2235</v>
      </c>
      <c r="C851" s="4" t="s">
        <v>2236</v>
      </c>
      <c r="D851" s="4" t="s">
        <v>2237</v>
      </c>
      <c r="E851" s="10">
        <f>IFERROR(__xludf.DUMMYFUNCTION("SPLIT(B851,""T"")"),43109.0)</f>
        <v>43109</v>
      </c>
      <c r="F851" s="4" t="str">
        <f>IFERROR(__xludf.DUMMYFUNCTION("""COMPUTED_VALUE"""),"13:49:00Z")</f>
        <v>13:49:00Z</v>
      </c>
      <c r="G851" s="11" t="str">
        <f t="shared" si="1"/>
        <v>13:49:00</v>
      </c>
      <c r="H851" s="10">
        <f>IFERROR(__xludf.DUMMYFUNCTION("SPLIT(D851,""T"")"),43097.0)</f>
        <v>43097</v>
      </c>
      <c r="I851" s="4" t="str">
        <f>IFERROR(__xludf.DUMMYFUNCTION("""COMPUTED_VALUE"""),"20:51:00Z")</f>
        <v>20:51:00Z</v>
      </c>
      <c r="J851" s="4" t="str">
        <f t="shared" si="2"/>
        <v>20:51:00</v>
      </c>
      <c r="K851" s="4">
        <f t="shared" si="3"/>
        <v>12</v>
      </c>
      <c r="L851" s="4">
        <f t="shared" si="4"/>
        <v>-0.2930555556</v>
      </c>
      <c r="M851" s="4">
        <f t="shared" si="5"/>
        <v>11.70694444</v>
      </c>
    </row>
    <row r="852">
      <c r="A852" s="4" t="s">
        <v>62</v>
      </c>
      <c r="B852" s="4" t="s">
        <v>1283</v>
      </c>
      <c r="C852" s="4" t="s">
        <v>311</v>
      </c>
      <c r="D852" s="4" t="s">
        <v>1284</v>
      </c>
      <c r="E852" s="10">
        <f>IFERROR(__xludf.DUMMYFUNCTION("SPLIT(B852,""T"")"),42551.0)</f>
        <v>42551</v>
      </c>
      <c r="F852" s="4" t="str">
        <f>IFERROR(__xludf.DUMMYFUNCTION("""COMPUTED_VALUE"""),"18:30:00Z")</f>
        <v>18:30:00Z</v>
      </c>
      <c r="G852" s="11" t="str">
        <f t="shared" si="1"/>
        <v>18:30:00</v>
      </c>
      <c r="H852" s="10">
        <f>IFERROR(__xludf.DUMMYFUNCTION("SPLIT(D852,""T"")"),42540.0)</f>
        <v>42540</v>
      </c>
      <c r="I852" s="4" t="str">
        <f>IFERROR(__xludf.DUMMYFUNCTION("""COMPUTED_VALUE"""),"11:03:00Z")</f>
        <v>11:03:00Z</v>
      </c>
      <c r="J852" s="4" t="str">
        <f t="shared" si="2"/>
        <v>11:03:00</v>
      </c>
      <c r="K852" s="4">
        <f t="shared" si="3"/>
        <v>11</v>
      </c>
      <c r="L852" s="4">
        <f t="shared" si="4"/>
        <v>0.3104166667</v>
      </c>
      <c r="M852" s="4">
        <f t="shared" si="5"/>
        <v>11.31041667</v>
      </c>
    </row>
    <row r="853">
      <c r="A853" s="4" t="s">
        <v>97</v>
      </c>
      <c r="B853" s="4" t="s">
        <v>842</v>
      </c>
      <c r="C853" s="4" t="s">
        <v>1236</v>
      </c>
      <c r="D853" s="4" t="s">
        <v>1237</v>
      </c>
      <c r="E853" s="10">
        <f>IFERROR(__xludf.DUMMYFUNCTION("SPLIT(B853,""T"")"),42317.0)</f>
        <v>42317</v>
      </c>
      <c r="F853" s="4" t="str">
        <f>IFERROR(__xludf.DUMMYFUNCTION("""COMPUTED_VALUE"""),"12:00:00Z")</f>
        <v>12:00:00Z</v>
      </c>
      <c r="G853" s="11" t="str">
        <f t="shared" si="1"/>
        <v>12:00:00</v>
      </c>
      <c r="H853" s="10">
        <f>IFERROR(__xludf.DUMMYFUNCTION("SPLIT(D853,""T"")"),42306.0)</f>
        <v>42306</v>
      </c>
      <c r="I853" s="4" t="str">
        <f>IFERROR(__xludf.DUMMYFUNCTION("""COMPUTED_VALUE"""),"05:30:00Z")</f>
        <v>05:30:00Z</v>
      </c>
      <c r="J853" s="4" t="str">
        <f t="shared" si="2"/>
        <v>05:30:00</v>
      </c>
      <c r="K853" s="4">
        <f t="shared" si="3"/>
        <v>11</v>
      </c>
      <c r="L853" s="4">
        <f t="shared" si="4"/>
        <v>0.2708333333</v>
      </c>
      <c r="M853" s="4">
        <f t="shared" si="5"/>
        <v>11.27083333</v>
      </c>
    </row>
    <row r="854">
      <c r="A854" s="4" t="s">
        <v>23</v>
      </c>
      <c r="B854" s="4" t="s">
        <v>591</v>
      </c>
      <c r="C854" s="4" t="s">
        <v>592</v>
      </c>
      <c r="D854" s="4" t="s">
        <v>593</v>
      </c>
      <c r="E854" s="10">
        <f>IFERROR(__xludf.DUMMYFUNCTION("SPLIT(B854,""T"")"),41666.0)</f>
        <v>41666</v>
      </c>
      <c r="F854" s="4" t="str">
        <f>IFERROR(__xludf.DUMMYFUNCTION("""COMPUTED_VALUE"""),"10:00:00Z")</f>
        <v>10:00:00Z</v>
      </c>
      <c r="G854" s="11" t="str">
        <f t="shared" si="1"/>
        <v>10:00:00</v>
      </c>
      <c r="H854" s="10">
        <f>IFERROR(__xludf.DUMMYFUNCTION("SPLIT(D854,""T"")"),41655.0)</f>
        <v>41655</v>
      </c>
      <c r="I854" s="4" t="str">
        <f>IFERROR(__xludf.DUMMYFUNCTION("""COMPUTED_VALUE"""),"05:50:00Z")</f>
        <v>05:50:00Z</v>
      </c>
      <c r="J854" s="4" t="str">
        <f t="shared" si="2"/>
        <v>05:50:00</v>
      </c>
      <c r="K854" s="4">
        <f t="shared" si="3"/>
        <v>11</v>
      </c>
      <c r="L854" s="4">
        <f t="shared" si="4"/>
        <v>0.1736111111</v>
      </c>
      <c r="M854" s="4">
        <f t="shared" si="5"/>
        <v>11.17361111</v>
      </c>
    </row>
    <row r="855">
      <c r="A855" s="4" t="s">
        <v>54</v>
      </c>
      <c r="B855" s="4" t="s">
        <v>3346</v>
      </c>
      <c r="C855" s="4" t="s">
        <v>758</v>
      </c>
      <c r="D855" s="4" t="s">
        <v>3347</v>
      </c>
      <c r="E855" s="10">
        <f>IFERROR(__xludf.DUMMYFUNCTION("SPLIT(B855,""T"")"),43783.0)</f>
        <v>43783</v>
      </c>
      <c r="F855" s="4" t="str">
        <f>IFERROR(__xludf.DUMMYFUNCTION("""COMPUTED_VALUE"""),"18:02:00Z")</f>
        <v>18:02:00Z</v>
      </c>
      <c r="G855" s="11" t="str">
        <f t="shared" si="1"/>
        <v>18:02:00</v>
      </c>
      <c r="H855" s="10">
        <f>IFERROR(__xludf.DUMMYFUNCTION("SPLIT(D855,""T"")"),43772.0)</f>
        <v>43772</v>
      </c>
      <c r="I855" s="4" t="str">
        <f>IFERROR(__xludf.DUMMYFUNCTION("""COMPUTED_VALUE"""),"14:16:17Z")</f>
        <v>14:16:17Z</v>
      </c>
      <c r="J855" s="4" t="str">
        <f t="shared" si="2"/>
        <v>14:16:17</v>
      </c>
      <c r="K855" s="4">
        <f t="shared" si="3"/>
        <v>11</v>
      </c>
      <c r="L855" s="4">
        <f t="shared" si="4"/>
        <v>0.1567476852</v>
      </c>
      <c r="M855" s="4">
        <f t="shared" si="5"/>
        <v>11.15674769</v>
      </c>
    </row>
    <row r="856">
      <c r="A856" s="4" t="s">
        <v>320</v>
      </c>
      <c r="B856" s="4" t="s">
        <v>1331</v>
      </c>
      <c r="C856" s="4" t="s">
        <v>1332</v>
      </c>
      <c r="D856" s="4" t="s">
        <v>1333</v>
      </c>
      <c r="E856" s="10">
        <f>IFERROR(__xludf.DUMMYFUNCTION("SPLIT(B856,""T"")"),42635.0)</f>
        <v>42635</v>
      </c>
      <c r="F856" s="4" t="str">
        <f>IFERROR(__xludf.DUMMYFUNCTION("""COMPUTED_VALUE"""),"07:00:00Z")</f>
        <v>07:00:00Z</v>
      </c>
      <c r="G856" s="11" t="str">
        <f t="shared" si="1"/>
        <v>07:00:00</v>
      </c>
      <c r="H856" s="10">
        <f>IFERROR(__xludf.DUMMYFUNCTION("SPLIT(D856,""T"")"),42624.0)</f>
        <v>42624</v>
      </c>
      <c r="I856" s="4" t="str">
        <f>IFERROR(__xludf.DUMMYFUNCTION("""COMPUTED_VALUE"""),"11:33:00Z")</f>
        <v>11:33:00Z</v>
      </c>
      <c r="J856" s="4" t="str">
        <f t="shared" si="2"/>
        <v>11:33:00</v>
      </c>
      <c r="K856" s="4">
        <f t="shared" si="3"/>
        <v>11</v>
      </c>
      <c r="L856" s="4">
        <f t="shared" si="4"/>
        <v>-0.1895833333</v>
      </c>
      <c r="M856" s="4">
        <f t="shared" si="5"/>
        <v>10.81041667</v>
      </c>
    </row>
    <row r="857">
      <c r="A857" s="4" t="s">
        <v>50</v>
      </c>
      <c r="B857" s="4" t="s">
        <v>1033</v>
      </c>
      <c r="C857" s="4" t="s">
        <v>1034</v>
      </c>
      <c r="D857" s="4" t="s">
        <v>1035</v>
      </c>
      <c r="E857" s="10">
        <f>IFERROR(__xludf.DUMMYFUNCTION("SPLIT(B857,""T"")"),42245.0)</f>
        <v>42245</v>
      </c>
      <c r="F857" s="4" t="str">
        <f>IFERROR(__xludf.DUMMYFUNCTION("""COMPUTED_VALUE"""),"07:00:00Z")</f>
        <v>07:00:00Z</v>
      </c>
      <c r="G857" s="11" t="str">
        <f t="shared" si="1"/>
        <v>07:00:00</v>
      </c>
      <c r="H857" s="10">
        <f>IFERROR(__xludf.DUMMYFUNCTION("SPLIT(D857,""T"")"),42234.0)</f>
        <v>42234</v>
      </c>
      <c r="I857" s="4" t="str">
        <f>IFERROR(__xludf.DUMMYFUNCTION("""COMPUTED_VALUE"""),"18:30:00Z")</f>
        <v>18:30:00Z</v>
      </c>
      <c r="J857" s="4" t="str">
        <f t="shared" si="2"/>
        <v>18:30:00</v>
      </c>
      <c r="K857" s="4">
        <f t="shared" si="3"/>
        <v>11</v>
      </c>
      <c r="L857" s="4">
        <f t="shared" si="4"/>
        <v>-0.4791666667</v>
      </c>
      <c r="M857" s="4">
        <f t="shared" si="5"/>
        <v>10.52083333</v>
      </c>
    </row>
    <row r="858">
      <c r="A858" s="4" t="s">
        <v>435</v>
      </c>
      <c r="B858" s="4" t="s">
        <v>614</v>
      </c>
      <c r="C858" s="4" t="s">
        <v>235</v>
      </c>
      <c r="D858" s="4" t="s">
        <v>615</v>
      </c>
      <c r="E858" s="10">
        <f>IFERROR(__xludf.DUMMYFUNCTION("SPLIT(B858,""T"")"),41904.0)</f>
        <v>41904</v>
      </c>
      <c r="F858" s="4" t="str">
        <f>IFERROR(__xludf.DUMMYFUNCTION("""COMPUTED_VALUE"""),"15:00:00Z")</f>
        <v>15:00:00Z</v>
      </c>
      <c r="G858" s="11" t="str">
        <f t="shared" si="1"/>
        <v>15:00:00</v>
      </c>
      <c r="H858" s="10">
        <f>IFERROR(__xludf.DUMMYFUNCTION("SPLIT(D858,""T"")"),41894.0)</f>
        <v>41894</v>
      </c>
      <c r="I858" s="4" t="str">
        <f>IFERROR(__xludf.DUMMYFUNCTION("""COMPUTED_VALUE"""),"10:30:00Z")</f>
        <v>10:30:00Z</v>
      </c>
      <c r="J858" s="4" t="str">
        <f t="shared" si="2"/>
        <v>10:30:00</v>
      </c>
      <c r="K858" s="4">
        <f t="shared" si="3"/>
        <v>10</v>
      </c>
      <c r="L858" s="4">
        <f t="shared" si="4"/>
        <v>0.1875</v>
      </c>
      <c r="M858" s="4">
        <f t="shared" si="5"/>
        <v>10.1875</v>
      </c>
    </row>
    <row r="859">
      <c r="A859" s="4" t="s">
        <v>138</v>
      </c>
      <c r="B859" s="4" t="s">
        <v>1420</v>
      </c>
      <c r="C859" s="4" t="s">
        <v>1421</v>
      </c>
      <c r="D859" s="4" t="s">
        <v>1422</v>
      </c>
      <c r="E859" s="10">
        <f>IFERROR(__xludf.DUMMYFUNCTION("SPLIT(B859,""T"")"),42649.0)</f>
        <v>42649</v>
      </c>
      <c r="F859" s="4" t="str">
        <f>IFERROR(__xludf.DUMMYFUNCTION("""COMPUTED_VALUE"""),"17:15:00Z")</f>
        <v>17:15:00Z</v>
      </c>
      <c r="G859" s="11" t="str">
        <f t="shared" si="1"/>
        <v>17:15:00</v>
      </c>
      <c r="H859" s="10">
        <f>IFERROR(__xludf.DUMMYFUNCTION("SPLIT(D859,""T"")"),42639.0)</f>
        <v>42639</v>
      </c>
      <c r="I859" s="4" t="str">
        <f>IFERROR(__xludf.DUMMYFUNCTION("""COMPUTED_VALUE"""),"13:23:00Z")</f>
        <v>13:23:00Z</v>
      </c>
      <c r="J859" s="4" t="str">
        <f t="shared" si="2"/>
        <v>13:23:00</v>
      </c>
      <c r="K859" s="4">
        <f t="shared" si="3"/>
        <v>10</v>
      </c>
      <c r="L859" s="4">
        <f t="shared" si="4"/>
        <v>0.1611111111</v>
      </c>
      <c r="M859" s="4">
        <f t="shared" si="5"/>
        <v>10.16111111</v>
      </c>
    </row>
    <row r="860">
      <c r="A860" s="4" t="s">
        <v>23</v>
      </c>
      <c r="B860" s="4" t="s">
        <v>3698</v>
      </c>
      <c r="C860" s="4" t="s">
        <v>3699</v>
      </c>
      <c r="D860" s="4" t="s">
        <v>3700</v>
      </c>
      <c r="E860" s="10">
        <f>IFERROR(__xludf.DUMMYFUNCTION("SPLIT(B860,""T"")"),43769.0)</f>
        <v>43769</v>
      </c>
      <c r="F860" s="4" t="str">
        <f>IFERROR(__xludf.DUMMYFUNCTION("""COMPUTED_VALUE"""),"14:16:00Z")</f>
        <v>14:16:00Z</v>
      </c>
      <c r="G860" s="11" t="str">
        <f t="shared" si="1"/>
        <v>14:16:00</v>
      </c>
      <c r="H860" s="10">
        <f>IFERROR(__xludf.DUMMYFUNCTION("SPLIT(D860,""T"")"),43759.0)</f>
        <v>43759</v>
      </c>
      <c r="I860" s="4" t="str">
        <f>IFERROR(__xludf.DUMMYFUNCTION("""COMPUTED_VALUE"""),"11:52:52Z")</f>
        <v>11:52:52Z</v>
      </c>
      <c r="J860" s="4" t="str">
        <f t="shared" si="2"/>
        <v>11:52:52</v>
      </c>
      <c r="K860" s="4">
        <f t="shared" si="3"/>
        <v>10</v>
      </c>
      <c r="L860" s="4">
        <f t="shared" si="4"/>
        <v>0.09939814815</v>
      </c>
      <c r="M860" s="4">
        <f t="shared" si="5"/>
        <v>10.09939815</v>
      </c>
    </row>
    <row r="861">
      <c r="A861" s="4" t="s">
        <v>27</v>
      </c>
      <c r="B861" s="4" t="s">
        <v>3358</v>
      </c>
      <c r="C861" s="4" t="s">
        <v>3359</v>
      </c>
      <c r="D861" s="4" t="s">
        <v>3360</v>
      </c>
      <c r="E861" s="10">
        <f>IFERROR(__xludf.DUMMYFUNCTION("SPLIT(B861,""T"")"),43722.0)</f>
        <v>43722</v>
      </c>
      <c r="F861" s="4" t="str">
        <f>IFERROR(__xludf.DUMMYFUNCTION("""COMPUTED_VALUE"""),"19:00:00Z")</f>
        <v>19:00:00Z</v>
      </c>
      <c r="G861" s="11" t="str">
        <f t="shared" si="1"/>
        <v>19:00:00</v>
      </c>
      <c r="H861" s="10">
        <f>IFERROR(__xludf.DUMMYFUNCTION("SPLIT(D861,""T"")"),43712.0)</f>
        <v>43712</v>
      </c>
      <c r="I861" s="4" t="str">
        <f>IFERROR(__xludf.DUMMYFUNCTION("""COMPUTED_VALUE"""),"16:43:36Z")</f>
        <v>16:43:36Z</v>
      </c>
      <c r="J861" s="4" t="str">
        <f t="shared" si="2"/>
        <v>16:43:36</v>
      </c>
      <c r="K861" s="4">
        <f t="shared" si="3"/>
        <v>10</v>
      </c>
      <c r="L861" s="4">
        <f t="shared" si="4"/>
        <v>0.09472222222</v>
      </c>
      <c r="M861" s="4">
        <f t="shared" si="5"/>
        <v>10.09472222</v>
      </c>
    </row>
    <row r="862">
      <c r="A862" s="4" t="s">
        <v>39</v>
      </c>
      <c r="B862" s="4" t="s">
        <v>1339</v>
      </c>
      <c r="C862" s="4" t="s">
        <v>1340</v>
      </c>
      <c r="D862" s="4" t="s">
        <v>1341</v>
      </c>
      <c r="E862" s="10">
        <f>IFERROR(__xludf.DUMMYFUNCTION("SPLIT(B862,""T"")"),42591.0)</f>
        <v>42591</v>
      </c>
      <c r="F862" s="4" t="str">
        <f>IFERROR(__xludf.DUMMYFUNCTION("""COMPUTED_VALUE"""),"18:30:00Z")</f>
        <v>18:30:00Z</v>
      </c>
      <c r="G862" s="11" t="str">
        <f t="shared" si="1"/>
        <v>18:30:00</v>
      </c>
      <c r="H862" s="10">
        <f>IFERROR(__xludf.DUMMYFUNCTION("SPLIT(D862,""T"")"),42581.0)</f>
        <v>42581</v>
      </c>
      <c r="I862" s="4" t="str">
        <f>IFERROR(__xludf.DUMMYFUNCTION("""COMPUTED_VALUE"""),"16:40:00Z")</f>
        <v>16:40:00Z</v>
      </c>
      <c r="J862" s="4" t="str">
        <f t="shared" si="2"/>
        <v>16:40:00</v>
      </c>
      <c r="K862" s="4">
        <f t="shared" si="3"/>
        <v>10</v>
      </c>
      <c r="L862" s="4">
        <f t="shared" si="4"/>
        <v>0.07638888889</v>
      </c>
      <c r="M862" s="4">
        <f t="shared" si="5"/>
        <v>10.07638889</v>
      </c>
    </row>
    <row r="863">
      <c r="A863" s="4" t="s">
        <v>69</v>
      </c>
      <c r="B863" s="4" t="s">
        <v>594</v>
      </c>
      <c r="C863" s="4" t="s">
        <v>595</v>
      </c>
      <c r="D863" s="4" t="s">
        <v>596</v>
      </c>
      <c r="E863" s="10">
        <f>IFERROR(__xludf.DUMMYFUNCTION("SPLIT(B863,""T"")"),41841.0)</f>
        <v>41841</v>
      </c>
      <c r="F863" s="4" t="str">
        <f>IFERROR(__xludf.DUMMYFUNCTION("""COMPUTED_VALUE"""),"14:45:00Z")</f>
        <v>14:45:00Z</v>
      </c>
      <c r="G863" s="11" t="str">
        <f t="shared" si="1"/>
        <v>14:45:00</v>
      </c>
      <c r="H863" s="10">
        <f>IFERROR(__xludf.DUMMYFUNCTION("SPLIT(D863,""T"")"),41831.0)</f>
        <v>41831</v>
      </c>
      <c r="I863" s="4" t="str">
        <f>IFERROR(__xludf.DUMMYFUNCTION("""COMPUTED_VALUE"""),"13:46:00Z")</f>
        <v>13:46:00Z</v>
      </c>
      <c r="J863" s="4" t="str">
        <f t="shared" si="2"/>
        <v>13:46:00</v>
      </c>
      <c r="K863" s="4">
        <f t="shared" si="3"/>
        <v>10</v>
      </c>
      <c r="L863" s="4">
        <f t="shared" si="4"/>
        <v>0.04097222222</v>
      </c>
      <c r="M863" s="4">
        <f t="shared" si="5"/>
        <v>10.04097222</v>
      </c>
    </row>
    <row r="864">
      <c r="A864" s="4" t="s">
        <v>94</v>
      </c>
      <c r="B864" s="4" t="s">
        <v>3453</v>
      </c>
      <c r="C864" s="4" t="s">
        <v>3531</v>
      </c>
      <c r="D864" s="4" t="s">
        <v>3532</v>
      </c>
      <c r="E864" s="10">
        <f>IFERROR(__xludf.DUMMYFUNCTION("SPLIT(B864,""T"")"),43627.0)</f>
        <v>43627</v>
      </c>
      <c r="F864" s="4" t="str">
        <f>IFERROR(__xludf.DUMMYFUNCTION("""COMPUTED_VALUE"""),"14:48:00Z")</f>
        <v>14:48:00Z</v>
      </c>
      <c r="G864" s="11" t="str">
        <f t="shared" si="1"/>
        <v>14:48:00</v>
      </c>
      <c r="H864" s="10">
        <f>IFERROR(__xludf.DUMMYFUNCTION("SPLIT(D864,""T"")"),43617.0)</f>
        <v>43617</v>
      </c>
      <c r="I864" s="4" t="str">
        <f>IFERROR(__xludf.DUMMYFUNCTION("""COMPUTED_VALUE"""),"15:49:00Z")</f>
        <v>15:49:00Z</v>
      </c>
      <c r="J864" s="4" t="str">
        <f t="shared" si="2"/>
        <v>15:49:00</v>
      </c>
      <c r="K864" s="4">
        <f t="shared" si="3"/>
        <v>10</v>
      </c>
      <c r="L864" s="4">
        <f t="shared" si="4"/>
        <v>-0.04236111111</v>
      </c>
      <c r="M864" s="4">
        <f t="shared" si="5"/>
        <v>9.957638889</v>
      </c>
    </row>
    <row r="865">
      <c r="A865" s="4" t="s">
        <v>240</v>
      </c>
      <c r="B865" s="4" t="s">
        <v>1291</v>
      </c>
      <c r="C865" s="4" t="s">
        <v>1292</v>
      </c>
      <c r="D865" s="4" t="s">
        <v>1293</v>
      </c>
      <c r="E865" s="10">
        <f>IFERROR(__xludf.DUMMYFUNCTION("SPLIT(B865,""T"")"),42594.0)</f>
        <v>42594</v>
      </c>
      <c r="F865" s="4" t="str">
        <f>IFERROR(__xludf.DUMMYFUNCTION("""COMPUTED_VALUE"""),"15:00:00Z")</f>
        <v>15:00:00Z</v>
      </c>
      <c r="G865" s="11" t="str">
        <f t="shared" si="1"/>
        <v>15:00:00</v>
      </c>
      <c r="H865" s="10">
        <f>IFERROR(__xludf.DUMMYFUNCTION("SPLIT(D865,""T"")"),42584.0)</f>
        <v>42584</v>
      </c>
      <c r="I865" s="4" t="str">
        <f>IFERROR(__xludf.DUMMYFUNCTION("""COMPUTED_VALUE"""),"16:36:00Z")</f>
        <v>16:36:00Z</v>
      </c>
      <c r="J865" s="4" t="str">
        <f t="shared" si="2"/>
        <v>16:36:00</v>
      </c>
      <c r="K865" s="4">
        <f t="shared" si="3"/>
        <v>10</v>
      </c>
      <c r="L865" s="4">
        <f t="shared" si="4"/>
        <v>-0.06666666667</v>
      </c>
      <c r="M865" s="4">
        <f t="shared" si="5"/>
        <v>9.933333333</v>
      </c>
    </row>
    <row r="866">
      <c r="A866" s="4" t="s">
        <v>101</v>
      </c>
      <c r="B866" s="4" t="s">
        <v>102</v>
      </c>
      <c r="C866" s="4" t="s">
        <v>103</v>
      </c>
      <c r="D866" s="4" t="s">
        <v>104</v>
      </c>
      <c r="E866" s="10">
        <f>IFERROR(__xludf.DUMMYFUNCTION("SPLIT(B866,""T"")"),41451.0)</f>
        <v>41451</v>
      </c>
      <c r="F866" s="4" t="str">
        <f>IFERROR(__xludf.DUMMYFUNCTION("""COMPUTED_VALUE"""),"11:15:00Z")</f>
        <v>11:15:00Z</v>
      </c>
      <c r="G866" s="11" t="str">
        <f t="shared" si="1"/>
        <v>11:15:00</v>
      </c>
      <c r="H866" s="10">
        <f>IFERROR(__xludf.DUMMYFUNCTION("SPLIT(D866,""T"")"),41441.0)</f>
        <v>41441</v>
      </c>
      <c r="I866" s="4" t="str">
        <f>IFERROR(__xludf.DUMMYFUNCTION("""COMPUTED_VALUE"""),"14:12:00Z")</f>
        <v>14:12:00Z</v>
      </c>
      <c r="J866" s="4" t="str">
        <f t="shared" si="2"/>
        <v>14:12:00</v>
      </c>
      <c r="K866" s="4">
        <f t="shared" si="3"/>
        <v>10</v>
      </c>
      <c r="L866" s="4">
        <f t="shared" si="4"/>
        <v>-0.1229166667</v>
      </c>
      <c r="M866" s="4">
        <f t="shared" si="5"/>
        <v>9.877083333</v>
      </c>
    </row>
    <row r="867">
      <c r="A867" s="4" t="s">
        <v>97</v>
      </c>
      <c r="B867" s="4" t="s">
        <v>1277</v>
      </c>
      <c r="C867" s="4" t="s">
        <v>1278</v>
      </c>
      <c r="D867" s="4" t="s">
        <v>1279</v>
      </c>
      <c r="E867" s="10">
        <f>IFERROR(__xludf.DUMMYFUNCTION("SPLIT(B867,""T"")"),42640.0)</f>
        <v>42640</v>
      </c>
      <c r="F867" s="4" t="str">
        <f>IFERROR(__xludf.DUMMYFUNCTION("""COMPUTED_VALUE"""),"14:00:00Z")</f>
        <v>14:00:00Z</v>
      </c>
      <c r="G867" s="11" t="str">
        <f t="shared" si="1"/>
        <v>14:00:00</v>
      </c>
      <c r="H867" s="10">
        <f>IFERROR(__xludf.DUMMYFUNCTION("SPLIT(D867,""T"")"),42630.0)</f>
        <v>42630</v>
      </c>
      <c r="I867" s="4" t="str">
        <f>IFERROR(__xludf.DUMMYFUNCTION("""COMPUTED_VALUE"""),"17:20:00Z")</f>
        <v>17:20:00Z</v>
      </c>
      <c r="J867" s="4" t="str">
        <f t="shared" si="2"/>
        <v>17:20:00</v>
      </c>
      <c r="K867" s="4">
        <f t="shared" si="3"/>
        <v>10</v>
      </c>
      <c r="L867" s="4">
        <f t="shared" si="4"/>
        <v>-0.1388888889</v>
      </c>
      <c r="M867" s="4">
        <f t="shared" si="5"/>
        <v>9.861111111</v>
      </c>
    </row>
    <row r="868">
      <c r="A868" s="4" t="s">
        <v>278</v>
      </c>
      <c r="B868" s="4" t="s">
        <v>3764</v>
      </c>
      <c r="C868" s="4" t="s">
        <v>767</v>
      </c>
      <c r="D868" s="4" t="s">
        <v>3750</v>
      </c>
      <c r="E868" s="10">
        <f>IFERROR(__xludf.DUMMYFUNCTION("SPLIT(B868,""T"")"),43633.0)</f>
        <v>43633</v>
      </c>
      <c r="F868" s="4" t="str">
        <f>IFERROR(__xludf.DUMMYFUNCTION("""COMPUTED_VALUE"""),"08:49:00Z")</f>
        <v>08:49:00Z</v>
      </c>
      <c r="G868" s="11" t="str">
        <f t="shared" si="1"/>
        <v>08:49:00</v>
      </c>
      <c r="H868" s="10">
        <f>IFERROR(__xludf.DUMMYFUNCTION("SPLIT(D868,""T"")"),43623.0)</f>
        <v>43623</v>
      </c>
      <c r="I868" s="4" t="str">
        <f>IFERROR(__xludf.DUMMYFUNCTION("""COMPUTED_VALUE"""),"12:59:00Z")</f>
        <v>12:59:00Z</v>
      </c>
      <c r="J868" s="4" t="str">
        <f t="shared" si="2"/>
        <v>12:59:00</v>
      </c>
      <c r="K868" s="4">
        <f t="shared" si="3"/>
        <v>10</v>
      </c>
      <c r="L868" s="4">
        <f t="shared" si="4"/>
        <v>-0.1736111111</v>
      </c>
      <c r="M868" s="4">
        <f t="shared" si="5"/>
        <v>9.826388889</v>
      </c>
    </row>
    <row r="869">
      <c r="A869" s="4" t="s">
        <v>35</v>
      </c>
      <c r="B869" s="4" t="s">
        <v>966</v>
      </c>
      <c r="C869" s="4" t="s">
        <v>967</v>
      </c>
      <c r="D869" s="4" t="s">
        <v>968</v>
      </c>
      <c r="E869" s="10">
        <f>IFERROR(__xludf.DUMMYFUNCTION("SPLIT(B869,""T"")"),42228.0)</f>
        <v>42228</v>
      </c>
      <c r="F869" s="4" t="str">
        <f>IFERROR(__xludf.DUMMYFUNCTION("""COMPUTED_VALUE"""),"08:00:00Z")</f>
        <v>08:00:00Z</v>
      </c>
      <c r="G869" s="11" t="str">
        <f t="shared" si="1"/>
        <v>08:00:00</v>
      </c>
      <c r="H869" s="10">
        <f>IFERROR(__xludf.DUMMYFUNCTION("SPLIT(D869,""T"")"),42218.0)</f>
        <v>42218</v>
      </c>
      <c r="I869" s="4" t="str">
        <f>IFERROR(__xludf.DUMMYFUNCTION("""COMPUTED_VALUE"""),"13:15:00Z")</f>
        <v>13:15:00Z</v>
      </c>
      <c r="J869" s="4" t="str">
        <f t="shared" si="2"/>
        <v>13:15:00</v>
      </c>
      <c r="K869" s="4">
        <f t="shared" si="3"/>
        <v>10</v>
      </c>
      <c r="L869" s="4">
        <f t="shared" si="4"/>
        <v>-0.21875</v>
      </c>
      <c r="M869" s="4">
        <f t="shared" si="5"/>
        <v>9.78125</v>
      </c>
    </row>
    <row r="870">
      <c r="A870" s="4" t="s">
        <v>39</v>
      </c>
      <c r="B870" s="4" t="s">
        <v>1288</v>
      </c>
      <c r="C870" s="4" t="s">
        <v>1289</v>
      </c>
      <c r="D870" s="4" t="s">
        <v>1290</v>
      </c>
      <c r="E870" s="10">
        <f>IFERROR(__xludf.DUMMYFUNCTION("SPLIT(B870,""T"")"),42600.0)</f>
        <v>42600</v>
      </c>
      <c r="F870" s="4" t="str">
        <f>IFERROR(__xludf.DUMMYFUNCTION("""COMPUTED_VALUE"""),"19:00:00Z")</f>
        <v>19:00:00Z</v>
      </c>
      <c r="G870" s="11" t="str">
        <f t="shared" si="1"/>
        <v>19:00:00</v>
      </c>
      <c r="H870" s="10">
        <f>IFERROR(__xludf.DUMMYFUNCTION("SPLIT(D870,""T"")"),42591.0)</f>
        <v>42591</v>
      </c>
      <c r="I870" s="4" t="str">
        <f>IFERROR(__xludf.DUMMYFUNCTION("""COMPUTED_VALUE"""),"13:08:00Z")</f>
        <v>13:08:00Z</v>
      </c>
      <c r="J870" s="4" t="str">
        <f t="shared" si="2"/>
        <v>13:08:00</v>
      </c>
      <c r="K870" s="4">
        <f t="shared" si="3"/>
        <v>9</v>
      </c>
      <c r="L870" s="4">
        <f t="shared" si="4"/>
        <v>0.2444444444</v>
      </c>
      <c r="M870" s="4">
        <f t="shared" si="5"/>
        <v>9.244444444</v>
      </c>
    </row>
    <row r="871">
      <c r="A871" s="4" t="s">
        <v>69</v>
      </c>
      <c r="B871" s="4" t="s">
        <v>580</v>
      </c>
      <c r="C871" s="4" t="s">
        <v>581</v>
      </c>
      <c r="D871" s="4" t="s">
        <v>582</v>
      </c>
      <c r="E871" s="10">
        <f>IFERROR(__xludf.DUMMYFUNCTION("SPLIT(B871,""T"")"),41878.0)</f>
        <v>41878</v>
      </c>
      <c r="F871" s="4" t="str">
        <f>IFERROR(__xludf.DUMMYFUNCTION("""COMPUTED_VALUE"""),"18:00:00Z")</f>
        <v>18:00:00Z</v>
      </c>
      <c r="G871" s="11" t="str">
        <f t="shared" si="1"/>
        <v>18:00:00</v>
      </c>
      <c r="H871" s="10">
        <f>IFERROR(__xludf.DUMMYFUNCTION("SPLIT(D871,""T"")"),41869.0)</f>
        <v>41869</v>
      </c>
      <c r="I871" s="4" t="str">
        <f>IFERROR(__xludf.DUMMYFUNCTION("""COMPUTED_VALUE"""),"14:30:00Z")</f>
        <v>14:30:00Z</v>
      </c>
      <c r="J871" s="4" t="str">
        <f t="shared" si="2"/>
        <v>14:30:00</v>
      </c>
      <c r="K871" s="4">
        <f t="shared" si="3"/>
        <v>9</v>
      </c>
      <c r="L871" s="4">
        <f t="shared" si="4"/>
        <v>0.1458333333</v>
      </c>
      <c r="M871" s="4">
        <f t="shared" si="5"/>
        <v>9.145833333</v>
      </c>
    </row>
    <row r="872">
      <c r="A872" s="4" t="s">
        <v>23</v>
      </c>
      <c r="B872" s="4" t="s">
        <v>24</v>
      </c>
      <c r="C872" s="4" t="s">
        <v>25</v>
      </c>
      <c r="D872" s="4" t="s">
        <v>26</v>
      </c>
      <c r="E872" s="10">
        <f>IFERROR(__xludf.DUMMYFUNCTION("SPLIT(B872,""T"")"),41433.0)</f>
        <v>41433</v>
      </c>
      <c r="F872" s="4" t="str">
        <f>IFERROR(__xludf.DUMMYFUNCTION("""COMPUTED_VALUE"""),"18:30:00Z")</f>
        <v>18:30:00Z</v>
      </c>
      <c r="G872" s="11" t="str">
        <f t="shared" si="1"/>
        <v>18:30:00</v>
      </c>
      <c r="H872" s="10">
        <f>IFERROR(__xludf.DUMMYFUNCTION("SPLIT(D872,""T"")"),41424.0)</f>
        <v>41424</v>
      </c>
      <c r="I872" s="4" t="str">
        <f>IFERROR(__xludf.DUMMYFUNCTION("""COMPUTED_VALUE"""),"15:28:00Z")</f>
        <v>15:28:00Z</v>
      </c>
      <c r="J872" s="4" t="str">
        <f t="shared" si="2"/>
        <v>15:28:00</v>
      </c>
      <c r="K872" s="4">
        <f t="shared" si="3"/>
        <v>9</v>
      </c>
      <c r="L872" s="4">
        <f t="shared" si="4"/>
        <v>0.1263888889</v>
      </c>
      <c r="M872" s="4">
        <f t="shared" si="5"/>
        <v>9.126388889</v>
      </c>
    </row>
    <row r="873">
      <c r="A873" s="4" t="s">
        <v>19</v>
      </c>
      <c r="B873" s="4" t="s">
        <v>111</v>
      </c>
      <c r="C873" s="4" t="s">
        <v>112</v>
      </c>
      <c r="D873" s="4" t="s">
        <v>113</v>
      </c>
      <c r="E873" s="10">
        <f>IFERROR(__xludf.DUMMYFUNCTION("SPLIT(B873,""T"")"),41500.0)</f>
        <v>41500</v>
      </c>
      <c r="F873" s="4" t="str">
        <f>IFERROR(__xludf.DUMMYFUNCTION("""COMPUTED_VALUE"""),"08:30:00Z")</f>
        <v>08:30:00Z</v>
      </c>
      <c r="G873" s="11" t="str">
        <f t="shared" si="1"/>
        <v>08:30:00</v>
      </c>
      <c r="H873" s="10">
        <f>IFERROR(__xludf.DUMMYFUNCTION("SPLIT(D873,""T"")"),41491.0)</f>
        <v>41491</v>
      </c>
      <c r="I873" s="4" t="str">
        <f>IFERROR(__xludf.DUMMYFUNCTION("""COMPUTED_VALUE"""),"06:00:00Z")</f>
        <v>06:00:00Z</v>
      </c>
      <c r="J873" s="4" t="str">
        <f t="shared" si="2"/>
        <v>06:00:00</v>
      </c>
      <c r="K873" s="4">
        <f t="shared" si="3"/>
        <v>9</v>
      </c>
      <c r="L873" s="4">
        <f t="shared" si="4"/>
        <v>0.1041666667</v>
      </c>
      <c r="M873" s="4">
        <f t="shared" si="5"/>
        <v>9.104166667</v>
      </c>
    </row>
    <row r="874">
      <c r="A874" s="4" t="s">
        <v>1412</v>
      </c>
      <c r="B874" s="4" t="s">
        <v>3370</v>
      </c>
      <c r="C874" s="4" t="s">
        <v>3371</v>
      </c>
      <c r="D874" s="4" t="s">
        <v>3372</v>
      </c>
      <c r="E874" s="10">
        <f>IFERROR(__xludf.DUMMYFUNCTION("SPLIT(B874,""T"")"),43633.0)</f>
        <v>43633</v>
      </c>
      <c r="F874" s="4" t="str">
        <f>IFERROR(__xludf.DUMMYFUNCTION("""COMPUTED_VALUE"""),"15:16:00Z")</f>
        <v>15:16:00Z</v>
      </c>
      <c r="G874" s="11" t="str">
        <f t="shared" si="1"/>
        <v>15:16:00</v>
      </c>
      <c r="H874" s="10">
        <f>IFERROR(__xludf.DUMMYFUNCTION("SPLIT(D874,""T"")"),43624.0)</f>
        <v>43624</v>
      </c>
      <c r="I874" s="4" t="str">
        <f>IFERROR(__xludf.DUMMYFUNCTION("""COMPUTED_VALUE"""),"14:37:00Z")</f>
        <v>14:37:00Z</v>
      </c>
      <c r="J874" s="4" t="str">
        <f t="shared" si="2"/>
        <v>14:37:00</v>
      </c>
      <c r="K874" s="4">
        <f t="shared" si="3"/>
        <v>9</v>
      </c>
      <c r="L874" s="4">
        <f t="shared" si="4"/>
        <v>0.02708333333</v>
      </c>
      <c r="M874" s="4">
        <f t="shared" si="5"/>
        <v>9.027083333</v>
      </c>
    </row>
    <row r="875">
      <c r="A875" s="4" t="s">
        <v>35</v>
      </c>
      <c r="B875" s="4" t="s">
        <v>36</v>
      </c>
      <c r="C875" s="4" t="s">
        <v>37</v>
      </c>
      <c r="D875" s="4" t="s">
        <v>38</v>
      </c>
      <c r="E875" s="10">
        <f>IFERROR(__xludf.DUMMYFUNCTION("SPLIT(B875,""T"")"),41405.0)</f>
        <v>41405</v>
      </c>
      <c r="F875" s="4" t="str">
        <f>IFERROR(__xludf.DUMMYFUNCTION("""COMPUTED_VALUE"""),"06:30:00Z")</f>
        <v>06:30:00Z</v>
      </c>
      <c r="G875" s="11" t="str">
        <f t="shared" si="1"/>
        <v>06:30:00</v>
      </c>
      <c r="H875" s="10">
        <f>IFERROR(__xludf.DUMMYFUNCTION("SPLIT(D875,""T"")"),41396.0)</f>
        <v>41396</v>
      </c>
      <c r="I875" s="4" t="str">
        <f>IFERROR(__xludf.DUMMYFUNCTION("""COMPUTED_VALUE"""),"07:01:00Z")</f>
        <v>07:01:00Z</v>
      </c>
      <c r="J875" s="4" t="str">
        <f t="shared" si="2"/>
        <v>07:01:00</v>
      </c>
      <c r="K875" s="4">
        <f t="shared" si="3"/>
        <v>9</v>
      </c>
      <c r="L875" s="4">
        <f t="shared" si="4"/>
        <v>-0.02152777778</v>
      </c>
      <c r="M875" s="4">
        <f t="shared" si="5"/>
        <v>8.978472222</v>
      </c>
    </row>
    <row r="876">
      <c r="A876" s="4" t="s">
        <v>94</v>
      </c>
      <c r="B876" s="4" t="s">
        <v>3453</v>
      </c>
      <c r="C876" s="4" t="s">
        <v>3454</v>
      </c>
      <c r="D876" s="4" t="s">
        <v>3455</v>
      </c>
      <c r="E876" s="10">
        <f>IFERROR(__xludf.DUMMYFUNCTION("SPLIT(B876,""T"")"),43627.0)</f>
        <v>43627</v>
      </c>
      <c r="F876" s="4" t="str">
        <f>IFERROR(__xludf.DUMMYFUNCTION("""COMPUTED_VALUE"""),"14:48:00Z")</f>
        <v>14:48:00Z</v>
      </c>
      <c r="G876" s="11" t="str">
        <f t="shared" si="1"/>
        <v>14:48:00</v>
      </c>
      <c r="H876" s="10">
        <f>IFERROR(__xludf.DUMMYFUNCTION("SPLIT(D876,""T"")"),43618.0)</f>
        <v>43618</v>
      </c>
      <c r="I876" s="4" t="str">
        <f>IFERROR(__xludf.DUMMYFUNCTION("""COMPUTED_VALUE"""),"16:12:00Z")</f>
        <v>16:12:00Z</v>
      </c>
      <c r="J876" s="4" t="str">
        <f t="shared" si="2"/>
        <v>16:12:00</v>
      </c>
      <c r="K876" s="4">
        <f t="shared" si="3"/>
        <v>9</v>
      </c>
      <c r="L876" s="4">
        <f t="shared" si="4"/>
        <v>-0.05833333333</v>
      </c>
      <c r="M876" s="4">
        <f t="shared" si="5"/>
        <v>8.941666667</v>
      </c>
    </row>
    <row r="877">
      <c r="A877" s="4" t="s">
        <v>62</v>
      </c>
      <c r="B877" s="4" t="s">
        <v>1355</v>
      </c>
      <c r="C877" s="4" t="s">
        <v>1356</v>
      </c>
      <c r="D877" s="4" t="s">
        <v>1357</v>
      </c>
      <c r="E877" s="10">
        <f>IFERROR(__xludf.DUMMYFUNCTION("SPLIT(B877,""T"")"),42581.0)</f>
        <v>42581</v>
      </c>
      <c r="F877" s="4" t="str">
        <f>IFERROR(__xludf.DUMMYFUNCTION("""COMPUTED_VALUE"""),"14:15:00Z")</f>
        <v>14:15:00Z</v>
      </c>
      <c r="G877" s="11" t="str">
        <f t="shared" si="1"/>
        <v>14:15:00</v>
      </c>
      <c r="H877" s="10">
        <f>IFERROR(__xludf.DUMMYFUNCTION("SPLIT(D877,""T"")"),42572.0)</f>
        <v>42572</v>
      </c>
      <c r="I877" s="4" t="str">
        <f>IFERROR(__xludf.DUMMYFUNCTION("""COMPUTED_VALUE"""),"16:06:00Z")</f>
        <v>16:06:00Z</v>
      </c>
      <c r="J877" s="4" t="str">
        <f t="shared" si="2"/>
        <v>16:06:00</v>
      </c>
      <c r="K877" s="4">
        <f t="shared" si="3"/>
        <v>9</v>
      </c>
      <c r="L877" s="4">
        <f t="shared" si="4"/>
        <v>-0.07708333333</v>
      </c>
      <c r="M877" s="4">
        <f t="shared" si="5"/>
        <v>8.922916667</v>
      </c>
    </row>
    <row r="878">
      <c r="A878" s="4" t="s">
        <v>23</v>
      </c>
      <c r="B878" s="4" t="s">
        <v>1740</v>
      </c>
      <c r="C878" s="4" t="s">
        <v>1459</v>
      </c>
      <c r="D878" s="4" t="s">
        <v>1741</v>
      </c>
      <c r="E878" s="10">
        <f>IFERROR(__xludf.DUMMYFUNCTION("SPLIT(B878,""T"")"),42534.0)</f>
        <v>42534</v>
      </c>
      <c r="F878" s="4" t="str">
        <f>IFERROR(__xludf.DUMMYFUNCTION("""COMPUTED_VALUE"""),"12:30:00Z")</f>
        <v>12:30:00Z</v>
      </c>
      <c r="G878" s="11" t="str">
        <f t="shared" si="1"/>
        <v>12:30:00</v>
      </c>
      <c r="H878" s="10">
        <f>IFERROR(__xludf.DUMMYFUNCTION("SPLIT(D878,""T"")"),42525.0)</f>
        <v>42525</v>
      </c>
      <c r="I878" s="4" t="str">
        <f>IFERROR(__xludf.DUMMYFUNCTION("""COMPUTED_VALUE"""),"16:09:00Z")</f>
        <v>16:09:00Z</v>
      </c>
      <c r="J878" s="4" t="str">
        <f t="shared" si="2"/>
        <v>16:09:00</v>
      </c>
      <c r="K878" s="4">
        <f t="shared" si="3"/>
        <v>9</v>
      </c>
      <c r="L878" s="4">
        <f t="shared" si="4"/>
        <v>-0.1520833333</v>
      </c>
      <c r="M878" s="4">
        <f t="shared" si="5"/>
        <v>8.847916667</v>
      </c>
    </row>
    <row r="879">
      <c r="A879" s="4" t="s">
        <v>874</v>
      </c>
      <c r="B879" s="4" t="s">
        <v>890</v>
      </c>
      <c r="C879" s="4" t="s">
        <v>891</v>
      </c>
      <c r="D879" s="4" t="s">
        <v>892</v>
      </c>
      <c r="E879" s="10">
        <f>IFERROR(__xludf.DUMMYFUNCTION("SPLIT(B879,""T"")"),42239.0)</f>
        <v>42239</v>
      </c>
      <c r="F879" s="4" t="str">
        <f>IFERROR(__xludf.DUMMYFUNCTION("""COMPUTED_VALUE"""),"17:45:00Z")</f>
        <v>17:45:00Z</v>
      </c>
      <c r="G879" s="11" t="str">
        <f t="shared" si="1"/>
        <v>17:45:00</v>
      </c>
      <c r="H879" s="10">
        <f>IFERROR(__xludf.DUMMYFUNCTION("SPLIT(D879,""T"")"),42230.0)</f>
        <v>42230</v>
      </c>
      <c r="I879" s="4" t="str">
        <f>IFERROR(__xludf.DUMMYFUNCTION("""COMPUTED_VALUE"""),"21:31:00Z")</f>
        <v>21:31:00Z</v>
      </c>
      <c r="J879" s="4" t="str">
        <f t="shared" si="2"/>
        <v>21:31:00</v>
      </c>
      <c r="K879" s="4">
        <f t="shared" si="3"/>
        <v>9</v>
      </c>
      <c r="L879" s="4">
        <f t="shared" si="4"/>
        <v>-0.1569444444</v>
      </c>
      <c r="M879" s="4">
        <f t="shared" si="5"/>
        <v>8.843055556</v>
      </c>
    </row>
    <row r="880">
      <c r="A880" s="4" t="s">
        <v>240</v>
      </c>
      <c r="B880" s="4" t="s">
        <v>3348</v>
      </c>
      <c r="C880" s="4" t="s">
        <v>578</v>
      </c>
      <c r="D880" s="4" t="s">
        <v>3349</v>
      </c>
      <c r="E880" s="10">
        <f>IFERROR(__xludf.DUMMYFUNCTION("SPLIT(B880,""T"")"),43633.0)</f>
        <v>43633</v>
      </c>
      <c r="F880" s="4" t="str">
        <f>IFERROR(__xludf.DUMMYFUNCTION("""COMPUTED_VALUE"""),"10:40:00Z")</f>
        <v>10:40:00Z</v>
      </c>
      <c r="G880" s="11" t="str">
        <f t="shared" si="1"/>
        <v>10:40:00</v>
      </c>
      <c r="H880" s="10">
        <f>IFERROR(__xludf.DUMMYFUNCTION("SPLIT(D880,""T"")"),43624.0)</f>
        <v>43624</v>
      </c>
      <c r="I880" s="4" t="str">
        <f>IFERROR(__xludf.DUMMYFUNCTION("""COMPUTED_VALUE"""),"14:50:00Z")</f>
        <v>14:50:00Z</v>
      </c>
      <c r="J880" s="4" t="str">
        <f t="shared" si="2"/>
        <v>14:50:00</v>
      </c>
      <c r="K880" s="4">
        <f t="shared" si="3"/>
        <v>9</v>
      </c>
      <c r="L880" s="4">
        <f t="shared" si="4"/>
        <v>-0.1736111111</v>
      </c>
      <c r="M880" s="4">
        <f t="shared" si="5"/>
        <v>8.826388889</v>
      </c>
    </row>
    <row r="881">
      <c r="A881" s="4" t="s">
        <v>134</v>
      </c>
      <c r="B881" s="4" t="s">
        <v>1280</v>
      </c>
      <c r="C881" s="4" t="s">
        <v>1281</v>
      </c>
      <c r="D881" s="4" t="s">
        <v>1282</v>
      </c>
      <c r="E881" s="10">
        <f>IFERROR(__xludf.DUMMYFUNCTION("SPLIT(B881,""T"")"),42598.0)</f>
        <v>42598</v>
      </c>
      <c r="F881" s="4" t="str">
        <f>IFERROR(__xludf.DUMMYFUNCTION("""COMPUTED_VALUE"""),"08:00:00Z")</f>
        <v>08:00:00Z</v>
      </c>
      <c r="G881" s="11" t="str">
        <f t="shared" si="1"/>
        <v>08:00:00</v>
      </c>
      <c r="H881" s="10">
        <f>IFERROR(__xludf.DUMMYFUNCTION("SPLIT(D881,""T"")"),42589.0)</f>
        <v>42589</v>
      </c>
      <c r="I881" s="4" t="str">
        <f>IFERROR(__xludf.DUMMYFUNCTION("""COMPUTED_VALUE"""),"12:18:00Z")</f>
        <v>12:18:00Z</v>
      </c>
      <c r="J881" s="4" t="str">
        <f t="shared" si="2"/>
        <v>12:18:00</v>
      </c>
      <c r="K881" s="4">
        <f t="shared" si="3"/>
        <v>9</v>
      </c>
      <c r="L881" s="4">
        <f t="shared" si="4"/>
        <v>-0.1791666667</v>
      </c>
      <c r="M881" s="4">
        <f t="shared" si="5"/>
        <v>8.820833333</v>
      </c>
    </row>
    <row r="882">
      <c r="A882" s="4" t="s">
        <v>87</v>
      </c>
      <c r="B882" s="4" t="s">
        <v>3732</v>
      </c>
      <c r="C882" s="4" t="s">
        <v>2451</v>
      </c>
      <c r="D882" s="4" t="s">
        <v>3801</v>
      </c>
      <c r="E882" s="10">
        <f>IFERROR(__xludf.DUMMYFUNCTION("SPLIT(B882,""T"")"),43640.0)</f>
        <v>43640</v>
      </c>
      <c r="F882" s="4" t="str">
        <f>IFERROR(__xludf.DUMMYFUNCTION("""COMPUTED_VALUE"""),"11:06:00Z")</f>
        <v>11:06:00Z</v>
      </c>
      <c r="G882" s="11" t="str">
        <f t="shared" si="1"/>
        <v>11:06:00</v>
      </c>
      <c r="H882" s="10">
        <f>IFERROR(__xludf.DUMMYFUNCTION("SPLIT(D882,""T"")"),43631.0)</f>
        <v>43631</v>
      </c>
      <c r="I882" s="4" t="str">
        <f>IFERROR(__xludf.DUMMYFUNCTION("""COMPUTED_VALUE"""),"15:29:00Z")</f>
        <v>15:29:00Z</v>
      </c>
      <c r="J882" s="4" t="str">
        <f t="shared" si="2"/>
        <v>15:29:00</v>
      </c>
      <c r="K882" s="4">
        <f t="shared" si="3"/>
        <v>9</v>
      </c>
      <c r="L882" s="4">
        <f t="shared" si="4"/>
        <v>-0.1826388889</v>
      </c>
      <c r="M882" s="4">
        <f t="shared" si="5"/>
        <v>8.817361111</v>
      </c>
    </row>
    <row r="883">
      <c r="A883" s="4" t="s">
        <v>367</v>
      </c>
      <c r="B883" s="4" t="s">
        <v>3635</v>
      </c>
      <c r="C883" s="4" t="s">
        <v>3636</v>
      </c>
      <c r="D883" s="4" t="s">
        <v>3637</v>
      </c>
      <c r="E883" s="10">
        <f>IFERROR(__xludf.DUMMYFUNCTION("SPLIT(B883,""T"")"),43633.0)</f>
        <v>43633</v>
      </c>
      <c r="F883" s="4" t="str">
        <f>IFERROR(__xludf.DUMMYFUNCTION("""COMPUTED_VALUE"""),"08:34:00Z")</f>
        <v>08:34:00Z</v>
      </c>
      <c r="G883" s="11" t="str">
        <f t="shared" si="1"/>
        <v>08:34:00</v>
      </c>
      <c r="H883" s="10">
        <f>IFERROR(__xludf.DUMMYFUNCTION("SPLIT(D883,""T"")"),43624.0)</f>
        <v>43624</v>
      </c>
      <c r="I883" s="4" t="str">
        <f>IFERROR(__xludf.DUMMYFUNCTION("""COMPUTED_VALUE"""),"13:07:00Z")</f>
        <v>13:07:00Z</v>
      </c>
      <c r="J883" s="4" t="str">
        <f t="shared" si="2"/>
        <v>13:07:00</v>
      </c>
      <c r="K883" s="4">
        <f t="shared" si="3"/>
        <v>9</v>
      </c>
      <c r="L883" s="4">
        <f t="shared" si="4"/>
        <v>-0.1895833333</v>
      </c>
      <c r="M883" s="4">
        <f t="shared" si="5"/>
        <v>8.810416667</v>
      </c>
    </row>
    <row r="884">
      <c r="A884" s="4" t="s">
        <v>166</v>
      </c>
      <c r="B884" s="4" t="s">
        <v>3679</v>
      </c>
      <c r="C884" s="4" t="s">
        <v>3680</v>
      </c>
      <c r="D884" s="4" t="s">
        <v>3372</v>
      </c>
      <c r="E884" s="10">
        <f>IFERROR(__xludf.DUMMYFUNCTION("SPLIT(B884,""T"")"),43633.0)</f>
        <v>43633</v>
      </c>
      <c r="F884" s="4" t="str">
        <f>IFERROR(__xludf.DUMMYFUNCTION("""COMPUTED_VALUE"""),"08:46:00Z")</f>
        <v>08:46:00Z</v>
      </c>
      <c r="G884" s="11" t="str">
        <f t="shared" si="1"/>
        <v>08:46:00</v>
      </c>
      <c r="H884" s="10">
        <f>IFERROR(__xludf.DUMMYFUNCTION("SPLIT(D884,""T"")"),43624.0)</f>
        <v>43624</v>
      </c>
      <c r="I884" s="4" t="str">
        <f>IFERROR(__xludf.DUMMYFUNCTION("""COMPUTED_VALUE"""),"14:37:00Z")</f>
        <v>14:37:00Z</v>
      </c>
      <c r="J884" s="4" t="str">
        <f t="shared" si="2"/>
        <v>14:37:00</v>
      </c>
      <c r="K884" s="4">
        <f t="shared" si="3"/>
        <v>9</v>
      </c>
      <c r="L884" s="4">
        <f t="shared" si="4"/>
        <v>-0.24375</v>
      </c>
      <c r="M884" s="4">
        <f t="shared" si="5"/>
        <v>8.75625</v>
      </c>
    </row>
    <row r="885">
      <c r="A885" s="4" t="s">
        <v>39</v>
      </c>
      <c r="B885" s="4" t="s">
        <v>1342</v>
      </c>
      <c r="C885" s="4" t="s">
        <v>1343</v>
      </c>
      <c r="D885" s="4" t="s">
        <v>1344</v>
      </c>
      <c r="E885" s="10">
        <f>IFERROR(__xludf.DUMMYFUNCTION("SPLIT(B885,""T"")"),42663.0)</f>
        <v>42663</v>
      </c>
      <c r="F885" s="4" t="str">
        <f>IFERROR(__xludf.DUMMYFUNCTION("""COMPUTED_VALUE"""),"07:00:00Z")</f>
        <v>07:00:00Z</v>
      </c>
      <c r="G885" s="11" t="str">
        <f t="shared" si="1"/>
        <v>07:00:00</v>
      </c>
      <c r="H885" s="10">
        <f>IFERROR(__xludf.DUMMYFUNCTION("SPLIT(D885,""T"")"),42654.0)</f>
        <v>42654</v>
      </c>
      <c r="I885" s="4" t="str">
        <f>IFERROR(__xludf.DUMMYFUNCTION("""COMPUTED_VALUE"""),"12:58:00Z")</f>
        <v>12:58:00Z</v>
      </c>
      <c r="J885" s="4" t="str">
        <f t="shared" si="2"/>
        <v>12:58:00</v>
      </c>
      <c r="K885" s="4">
        <f t="shared" si="3"/>
        <v>9</v>
      </c>
      <c r="L885" s="4">
        <f t="shared" si="4"/>
        <v>-0.2486111111</v>
      </c>
      <c r="M885" s="4">
        <f t="shared" si="5"/>
        <v>8.751388889</v>
      </c>
    </row>
    <row r="886">
      <c r="A886" s="4" t="s">
        <v>3373</v>
      </c>
      <c r="B886" s="4" t="s">
        <v>3374</v>
      </c>
      <c r="C886" s="4" t="s">
        <v>1037</v>
      </c>
      <c r="D886" s="4" t="s">
        <v>3375</v>
      </c>
      <c r="E886" s="10">
        <f>IFERROR(__xludf.DUMMYFUNCTION("SPLIT(B886,""T"")"),43695.0)</f>
        <v>43695</v>
      </c>
      <c r="F886" s="4" t="str">
        <f>IFERROR(__xludf.DUMMYFUNCTION("""COMPUTED_VALUE"""),"16:33:00Z")</f>
        <v>16:33:00Z</v>
      </c>
      <c r="G886" s="11" t="str">
        <f t="shared" si="1"/>
        <v>16:33:00</v>
      </c>
      <c r="H886" s="10">
        <f>IFERROR(__xludf.DUMMYFUNCTION("SPLIT(D886,""T"")"),43686.0)</f>
        <v>43686</v>
      </c>
      <c r="I886" s="4" t="str">
        <f>IFERROR(__xludf.DUMMYFUNCTION("""COMPUTED_VALUE"""),"23:08:25Z")</f>
        <v>23:08:25Z</v>
      </c>
      <c r="J886" s="4" t="str">
        <f t="shared" si="2"/>
        <v>23:08:25</v>
      </c>
      <c r="K886" s="4">
        <f t="shared" si="3"/>
        <v>9</v>
      </c>
      <c r="L886" s="4">
        <f t="shared" si="4"/>
        <v>-0.2745949074</v>
      </c>
      <c r="M886" s="4">
        <f t="shared" si="5"/>
        <v>8.725405093</v>
      </c>
    </row>
    <row r="887">
      <c r="A887" s="4" t="s">
        <v>62</v>
      </c>
      <c r="B887" s="4" t="s">
        <v>63</v>
      </c>
      <c r="C887" s="4" t="s">
        <v>64</v>
      </c>
      <c r="D887" s="4" t="s">
        <v>65</v>
      </c>
      <c r="E887" s="10">
        <f>IFERROR(__xludf.DUMMYFUNCTION("SPLIT(B887,""T"")"),41470.0)</f>
        <v>41470</v>
      </c>
      <c r="F887" s="4" t="str">
        <f>IFERROR(__xludf.DUMMYFUNCTION("""COMPUTED_VALUE"""),"06:15:00Z")</f>
        <v>06:15:00Z</v>
      </c>
      <c r="G887" s="11" t="str">
        <f t="shared" si="1"/>
        <v>06:15:00</v>
      </c>
      <c r="H887" s="10">
        <f>IFERROR(__xludf.DUMMYFUNCTION("SPLIT(D887,""T"")"),41461.0)</f>
        <v>41461</v>
      </c>
      <c r="I887" s="4" t="str">
        <f>IFERROR(__xludf.DUMMYFUNCTION("""COMPUTED_VALUE"""),"12:55:00Z")</f>
        <v>12:55:00Z</v>
      </c>
      <c r="J887" s="4" t="str">
        <f t="shared" si="2"/>
        <v>12:55:00</v>
      </c>
      <c r="K887" s="4">
        <f t="shared" si="3"/>
        <v>9</v>
      </c>
      <c r="L887" s="4">
        <f t="shared" si="4"/>
        <v>-0.2777777778</v>
      </c>
      <c r="M887" s="4">
        <f t="shared" si="5"/>
        <v>8.722222222</v>
      </c>
    </row>
    <row r="888">
      <c r="A888" s="4" t="s">
        <v>134</v>
      </c>
      <c r="B888" s="4" t="s">
        <v>1144</v>
      </c>
      <c r="C888" s="4" t="s">
        <v>1145</v>
      </c>
      <c r="D888" s="4" t="s">
        <v>1146</v>
      </c>
      <c r="E888" s="10">
        <f>IFERROR(__xludf.DUMMYFUNCTION("SPLIT(B888,""T"")"),42206.0)</f>
        <v>42206</v>
      </c>
      <c r="F888" s="4" t="str">
        <f>IFERROR(__xludf.DUMMYFUNCTION("""COMPUTED_VALUE"""),"07:20:00Z")</f>
        <v>07:20:00Z</v>
      </c>
      <c r="G888" s="11" t="str">
        <f t="shared" si="1"/>
        <v>07:20:00</v>
      </c>
      <c r="H888" s="10">
        <f>IFERROR(__xludf.DUMMYFUNCTION("SPLIT(D888,""T"")"),42197.0)</f>
        <v>42197</v>
      </c>
      <c r="I888" s="4" t="str">
        <f>IFERROR(__xludf.DUMMYFUNCTION("""COMPUTED_VALUE"""),"14:46:00Z")</f>
        <v>14:46:00Z</v>
      </c>
      <c r="J888" s="4" t="str">
        <f t="shared" si="2"/>
        <v>14:46:00</v>
      </c>
      <c r="K888" s="4">
        <f t="shared" si="3"/>
        <v>9</v>
      </c>
      <c r="L888" s="4">
        <f t="shared" si="4"/>
        <v>-0.3097222222</v>
      </c>
      <c r="M888" s="4">
        <f t="shared" si="5"/>
        <v>8.690277778</v>
      </c>
    </row>
    <row r="889">
      <c r="A889" s="4" t="s">
        <v>23</v>
      </c>
      <c r="B889" s="4" t="s">
        <v>3395</v>
      </c>
      <c r="C889" s="4" t="s">
        <v>3396</v>
      </c>
      <c r="D889" s="4" t="s">
        <v>3397</v>
      </c>
      <c r="E889" s="10">
        <f>IFERROR(__xludf.DUMMYFUNCTION("SPLIT(B889,""T"")"),43774.0)</f>
        <v>43774</v>
      </c>
      <c r="F889" s="4" t="str">
        <f>IFERROR(__xludf.DUMMYFUNCTION("""COMPUTED_VALUE"""),"17:30:00Z")</f>
        <v>17:30:00Z</v>
      </c>
      <c r="G889" s="11" t="str">
        <f t="shared" si="1"/>
        <v>17:30:00</v>
      </c>
      <c r="H889" s="10">
        <f>IFERROR(__xludf.DUMMYFUNCTION("SPLIT(D889,""T"")"),43766.0)</f>
        <v>43766</v>
      </c>
      <c r="I889" s="4" t="str">
        <f>IFERROR(__xludf.DUMMYFUNCTION("""COMPUTED_VALUE"""),"06:46:55Z")</f>
        <v>06:46:55Z</v>
      </c>
      <c r="J889" s="4" t="str">
        <f t="shared" si="2"/>
        <v>06:46:55</v>
      </c>
      <c r="K889" s="4">
        <f t="shared" si="3"/>
        <v>8</v>
      </c>
      <c r="L889" s="4">
        <f t="shared" si="4"/>
        <v>0.4465856481</v>
      </c>
      <c r="M889" s="4">
        <f t="shared" si="5"/>
        <v>8.446585648</v>
      </c>
    </row>
    <row r="890">
      <c r="A890" s="4" t="s">
        <v>19</v>
      </c>
      <c r="B890" s="4" t="s">
        <v>1361</v>
      </c>
      <c r="C890" s="4" t="s">
        <v>1362</v>
      </c>
      <c r="D890" s="4" t="s">
        <v>1363</v>
      </c>
      <c r="E890" s="10">
        <f>IFERROR(__xludf.DUMMYFUNCTION("SPLIT(B890,""T"")"),42647.0)</f>
        <v>42647</v>
      </c>
      <c r="F890" s="4" t="str">
        <f>IFERROR(__xludf.DUMMYFUNCTION("""COMPUTED_VALUE"""),"22:00:00Z")</f>
        <v>22:00:00Z</v>
      </c>
      <c r="G890" s="11" t="str">
        <f t="shared" si="1"/>
        <v>22:00:00</v>
      </c>
      <c r="H890" s="10">
        <f>IFERROR(__xludf.DUMMYFUNCTION("SPLIT(D890,""T"")"),42639.0)</f>
        <v>42639</v>
      </c>
      <c r="I890" s="4" t="str">
        <f>IFERROR(__xludf.DUMMYFUNCTION("""COMPUTED_VALUE"""),"12:20:00Z")</f>
        <v>12:20:00Z</v>
      </c>
      <c r="J890" s="4" t="str">
        <f t="shared" si="2"/>
        <v>12:20:00</v>
      </c>
      <c r="K890" s="4">
        <f t="shared" si="3"/>
        <v>8</v>
      </c>
      <c r="L890" s="4">
        <f t="shared" si="4"/>
        <v>0.4027777778</v>
      </c>
      <c r="M890" s="4">
        <f t="shared" si="5"/>
        <v>8.402777778</v>
      </c>
    </row>
    <row r="891">
      <c r="A891" s="4" t="s">
        <v>313</v>
      </c>
      <c r="B891" s="4" t="s">
        <v>975</v>
      </c>
      <c r="C891" s="4" t="s">
        <v>976</v>
      </c>
      <c r="D891" s="4" t="s">
        <v>977</v>
      </c>
      <c r="E891" s="10">
        <f>IFERROR(__xludf.DUMMYFUNCTION("SPLIT(B891,""T"")"),42223.0)</f>
        <v>42223</v>
      </c>
      <c r="F891" s="4" t="str">
        <f>IFERROR(__xludf.DUMMYFUNCTION("""COMPUTED_VALUE"""),"21:00:00Z")</f>
        <v>21:00:00Z</v>
      </c>
      <c r="G891" s="11" t="str">
        <f t="shared" si="1"/>
        <v>21:00:00</v>
      </c>
      <c r="H891" s="10">
        <f>IFERROR(__xludf.DUMMYFUNCTION("SPLIT(D891,""T"")"),42215.0)</f>
        <v>42215</v>
      </c>
      <c r="I891" s="4" t="str">
        <f>IFERROR(__xludf.DUMMYFUNCTION("""COMPUTED_VALUE"""),"14:00:00Z")</f>
        <v>14:00:00Z</v>
      </c>
      <c r="J891" s="4" t="str">
        <f t="shared" si="2"/>
        <v>14:00:00</v>
      </c>
      <c r="K891" s="4">
        <f t="shared" si="3"/>
        <v>8</v>
      </c>
      <c r="L891" s="4">
        <f t="shared" si="4"/>
        <v>0.2916666667</v>
      </c>
      <c r="M891" s="4">
        <f t="shared" si="5"/>
        <v>8.291666667</v>
      </c>
    </row>
    <row r="892">
      <c r="A892" s="4" t="s">
        <v>166</v>
      </c>
      <c r="B892" s="4" t="s">
        <v>574</v>
      </c>
      <c r="C892" s="4" t="s">
        <v>575</v>
      </c>
      <c r="D892" s="4" t="s">
        <v>576</v>
      </c>
      <c r="E892" s="10">
        <f>IFERROR(__xludf.DUMMYFUNCTION("SPLIT(B892,""T"")"),41829.0)</f>
        <v>41829</v>
      </c>
      <c r="F892" s="4" t="str">
        <f>IFERROR(__xludf.DUMMYFUNCTION("""COMPUTED_VALUE"""),"18:00:00Z")</f>
        <v>18:00:00Z</v>
      </c>
      <c r="G892" s="11" t="str">
        <f t="shared" si="1"/>
        <v>18:00:00</v>
      </c>
      <c r="H892" s="10">
        <f>IFERROR(__xludf.DUMMYFUNCTION("SPLIT(D892,""T"")"),41821.0)</f>
        <v>41821</v>
      </c>
      <c r="I892" s="4" t="str">
        <f>IFERROR(__xludf.DUMMYFUNCTION("""COMPUTED_VALUE"""),"12:08:00Z")</f>
        <v>12:08:00Z</v>
      </c>
      <c r="J892" s="4" t="str">
        <f t="shared" si="2"/>
        <v>12:08:00</v>
      </c>
      <c r="K892" s="4">
        <f t="shared" si="3"/>
        <v>8</v>
      </c>
      <c r="L892" s="4">
        <f t="shared" si="4"/>
        <v>0.2444444444</v>
      </c>
      <c r="M892" s="4">
        <f t="shared" si="5"/>
        <v>8.244444444</v>
      </c>
    </row>
    <row r="893">
      <c r="A893" s="4" t="s">
        <v>186</v>
      </c>
      <c r="B893" s="4" t="s">
        <v>574</v>
      </c>
      <c r="C893" s="4" t="s">
        <v>575</v>
      </c>
      <c r="D893" s="4" t="s">
        <v>576</v>
      </c>
      <c r="E893" s="10">
        <f>IFERROR(__xludf.DUMMYFUNCTION("SPLIT(B893,""T"")"),41829.0)</f>
        <v>41829</v>
      </c>
      <c r="F893" s="4" t="str">
        <f>IFERROR(__xludf.DUMMYFUNCTION("""COMPUTED_VALUE"""),"18:00:00Z")</f>
        <v>18:00:00Z</v>
      </c>
      <c r="G893" s="11" t="str">
        <f t="shared" si="1"/>
        <v>18:00:00</v>
      </c>
      <c r="H893" s="10">
        <f>IFERROR(__xludf.DUMMYFUNCTION("SPLIT(D893,""T"")"),41821.0)</f>
        <v>41821</v>
      </c>
      <c r="I893" s="4" t="str">
        <f>IFERROR(__xludf.DUMMYFUNCTION("""COMPUTED_VALUE"""),"12:08:00Z")</f>
        <v>12:08:00Z</v>
      </c>
      <c r="J893" s="4" t="str">
        <f t="shared" si="2"/>
        <v>12:08:00</v>
      </c>
      <c r="K893" s="4">
        <f t="shared" si="3"/>
        <v>8</v>
      </c>
      <c r="L893" s="4">
        <f t="shared" si="4"/>
        <v>0.2444444444</v>
      </c>
      <c r="M893" s="4">
        <f t="shared" si="5"/>
        <v>8.244444444</v>
      </c>
    </row>
    <row r="894">
      <c r="A894" s="4" t="s">
        <v>54</v>
      </c>
      <c r="B894" s="4" t="s">
        <v>3321</v>
      </c>
      <c r="C894" s="4" t="s">
        <v>3322</v>
      </c>
      <c r="D894" s="4" t="s">
        <v>3323</v>
      </c>
      <c r="E894" s="10">
        <f>IFERROR(__xludf.DUMMYFUNCTION("SPLIT(B894,""T"")"),43721.0)</f>
        <v>43721</v>
      </c>
      <c r="F894" s="4" t="str">
        <f>IFERROR(__xludf.DUMMYFUNCTION("""COMPUTED_VALUE"""),"19:00:00Z")</f>
        <v>19:00:00Z</v>
      </c>
      <c r="G894" s="11" t="str">
        <f t="shared" si="1"/>
        <v>19:00:00</v>
      </c>
      <c r="H894" s="10">
        <f>IFERROR(__xludf.DUMMYFUNCTION("SPLIT(D894,""T"")"),43713.0)</f>
        <v>43713</v>
      </c>
      <c r="I894" s="4" t="str">
        <f>IFERROR(__xludf.DUMMYFUNCTION("""COMPUTED_VALUE"""),"13:19:56Z")</f>
        <v>13:19:56Z</v>
      </c>
      <c r="J894" s="4" t="str">
        <f t="shared" si="2"/>
        <v>13:19:56</v>
      </c>
      <c r="K894" s="4">
        <f t="shared" si="3"/>
        <v>8</v>
      </c>
      <c r="L894" s="4">
        <f t="shared" si="4"/>
        <v>0.2361574074</v>
      </c>
      <c r="M894" s="4">
        <f t="shared" si="5"/>
        <v>8.236157407</v>
      </c>
    </row>
    <row r="895">
      <c r="A895" s="4" t="s">
        <v>114</v>
      </c>
      <c r="B895" s="4" t="s">
        <v>915</v>
      </c>
      <c r="C895" s="4" t="s">
        <v>220</v>
      </c>
      <c r="D895" s="4" t="s">
        <v>916</v>
      </c>
      <c r="E895" s="10">
        <f>IFERROR(__xludf.DUMMYFUNCTION("SPLIT(B895,""T"")"),42274.0)</f>
        <v>42274</v>
      </c>
      <c r="F895" s="4" t="str">
        <f>IFERROR(__xludf.DUMMYFUNCTION("""COMPUTED_VALUE"""),"18:15:00Z")</f>
        <v>18:15:00Z</v>
      </c>
      <c r="G895" s="11" t="str">
        <f t="shared" si="1"/>
        <v>18:15:00</v>
      </c>
      <c r="H895" s="10">
        <f>IFERROR(__xludf.DUMMYFUNCTION("SPLIT(D895,""T"")"),42266.0)</f>
        <v>42266</v>
      </c>
      <c r="I895" s="4" t="str">
        <f>IFERROR(__xludf.DUMMYFUNCTION("""COMPUTED_VALUE"""),"15:00:00Z")</f>
        <v>15:00:00Z</v>
      </c>
      <c r="J895" s="4" t="str">
        <f t="shared" si="2"/>
        <v>15:00:00</v>
      </c>
      <c r="K895" s="4">
        <f t="shared" si="3"/>
        <v>8</v>
      </c>
      <c r="L895" s="4">
        <f t="shared" si="4"/>
        <v>0.1354166667</v>
      </c>
      <c r="M895" s="4">
        <f t="shared" si="5"/>
        <v>8.135416667</v>
      </c>
    </row>
    <row r="896">
      <c r="A896" s="4" t="s">
        <v>324</v>
      </c>
      <c r="B896" s="4" t="s">
        <v>577</v>
      </c>
      <c r="C896" s="4" t="s">
        <v>578</v>
      </c>
      <c r="D896" s="4" t="s">
        <v>579</v>
      </c>
      <c r="E896" s="10">
        <f>IFERROR(__xludf.DUMMYFUNCTION("SPLIT(B896,""T"")"),41853.0)</f>
        <v>41853</v>
      </c>
      <c r="F896" s="4" t="str">
        <f>IFERROR(__xludf.DUMMYFUNCTION("""COMPUTED_VALUE"""),"19:15:00Z")</f>
        <v>19:15:00Z</v>
      </c>
      <c r="G896" s="11" t="str">
        <f t="shared" si="1"/>
        <v>19:15:00</v>
      </c>
      <c r="H896" s="10">
        <f>IFERROR(__xludf.DUMMYFUNCTION("SPLIT(D896,""T"")"),41845.0)</f>
        <v>41845</v>
      </c>
      <c r="I896" s="4" t="str">
        <f>IFERROR(__xludf.DUMMYFUNCTION("""COMPUTED_VALUE"""),"16:34:00Z")</f>
        <v>16:34:00Z</v>
      </c>
      <c r="J896" s="4" t="str">
        <f t="shared" si="2"/>
        <v>16:34:00</v>
      </c>
      <c r="K896" s="4">
        <f t="shared" si="3"/>
        <v>8</v>
      </c>
      <c r="L896" s="4">
        <f t="shared" si="4"/>
        <v>0.1118055556</v>
      </c>
      <c r="M896" s="4">
        <f t="shared" si="5"/>
        <v>8.111805556</v>
      </c>
    </row>
    <row r="897">
      <c r="A897" s="4" t="s">
        <v>130</v>
      </c>
      <c r="B897" s="4" t="s">
        <v>577</v>
      </c>
      <c r="C897" s="4" t="s">
        <v>578</v>
      </c>
      <c r="D897" s="4" t="s">
        <v>579</v>
      </c>
      <c r="E897" s="10">
        <f>IFERROR(__xludf.DUMMYFUNCTION("SPLIT(B897,""T"")"),41853.0)</f>
        <v>41853</v>
      </c>
      <c r="F897" s="4" t="str">
        <f>IFERROR(__xludf.DUMMYFUNCTION("""COMPUTED_VALUE"""),"19:15:00Z")</f>
        <v>19:15:00Z</v>
      </c>
      <c r="G897" s="11" t="str">
        <f t="shared" si="1"/>
        <v>19:15:00</v>
      </c>
      <c r="H897" s="10">
        <f>IFERROR(__xludf.DUMMYFUNCTION("SPLIT(D897,""T"")"),41845.0)</f>
        <v>41845</v>
      </c>
      <c r="I897" s="4" t="str">
        <f>IFERROR(__xludf.DUMMYFUNCTION("""COMPUTED_VALUE"""),"16:34:00Z")</f>
        <v>16:34:00Z</v>
      </c>
      <c r="J897" s="4" t="str">
        <f t="shared" si="2"/>
        <v>16:34:00</v>
      </c>
      <c r="K897" s="4">
        <f t="shared" si="3"/>
        <v>8</v>
      </c>
      <c r="L897" s="4">
        <f t="shared" si="4"/>
        <v>0.1118055556</v>
      </c>
      <c r="M897" s="4">
        <f t="shared" si="5"/>
        <v>8.111805556</v>
      </c>
    </row>
    <row r="898">
      <c r="A898" s="4" t="s">
        <v>94</v>
      </c>
      <c r="B898" s="4" t="s">
        <v>3453</v>
      </c>
      <c r="C898" s="4" t="s">
        <v>2039</v>
      </c>
      <c r="D898" s="4" t="s">
        <v>3723</v>
      </c>
      <c r="E898" s="10">
        <f>IFERROR(__xludf.DUMMYFUNCTION("SPLIT(B898,""T"")"),43627.0)</f>
        <v>43627</v>
      </c>
      <c r="F898" s="4" t="str">
        <f>IFERROR(__xludf.DUMMYFUNCTION("""COMPUTED_VALUE"""),"14:48:00Z")</f>
        <v>14:48:00Z</v>
      </c>
      <c r="G898" s="11" t="str">
        <f t="shared" si="1"/>
        <v>14:48:00</v>
      </c>
      <c r="H898" s="10">
        <f>IFERROR(__xludf.DUMMYFUNCTION("SPLIT(D898,""T"")"),43619.0)</f>
        <v>43619</v>
      </c>
      <c r="I898" s="4" t="str">
        <f>IFERROR(__xludf.DUMMYFUNCTION("""COMPUTED_VALUE"""),"12:18:00Z")</f>
        <v>12:18:00Z</v>
      </c>
      <c r="J898" s="4" t="str">
        <f t="shared" si="2"/>
        <v>12:18:00</v>
      </c>
      <c r="K898" s="4">
        <f t="shared" si="3"/>
        <v>8</v>
      </c>
      <c r="L898" s="4">
        <f t="shared" si="4"/>
        <v>0.1041666667</v>
      </c>
      <c r="M898" s="4">
        <f t="shared" si="5"/>
        <v>8.104166667</v>
      </c>
    </row>
    <row r="899">
      <c r="A899" s="4" t="s">
        <v>62</v>
      </c>
      <c r="B899" s="4" t="s">
        <v>588</v>
      </c>
      <c r="C899" s="4" t="s">
        <v>589</v>
      </c>
      <c r="D899" s="4" t="s">
        <v>590</v>
      </c>
      <c r="E899" s="10">
        <f>IFERROR(__xludf.DUMMYFUNCTION("SPLIT(B899,""T"")"),41781.0)</f>
        <v>41781</v>
      </c>
      <c r="F899" s="4" t="str">
        <f>IFERROR(__xludf.DUMMYFUNCTION("""COMPUTED_VALUE"""),"18:15:00Z")</f>
        <v>18:15:00Z</v>
      </c>
      <c r="G899" s="11" t="str">
        <f t="shared" si="1"/>
        <v>18:15:00</v>
      </c>
      <c r="H899" s="10">
        <f>IFERROR(__xludf.DUMMYFUNCTION("SPLIT(D899,""T"")"),41773.0)</f>
        <v>41773</v>
      </c>
      <c r="I899" s="4" t="str">
        <f>IFERROR(__xludf.DUMMYFUNCTION("""COMPUTED_VALUE"""),"16:00:00Z")</f>
        <v>16:00:00Z</v>
      </c>
      <c r="J899" s="4" t="str">
        <f t="shared" si="2"/>
        <v>16:00:00</v>
      </c>
      <c r="K899" s="4">
        <f t="shared" si="3"/>
        <v>8</v>
      </c>
      <c r="L899" s="4">
        <f t="shared" si="4"/>
        <v>0.09375</v>
      </c>
      <c r="M899" s="4">
        <f t="shared" si="5"/>
        <v>8.09375</v>
      </c>
    </row>
    <row r="900">
      <c r="A900" s="4" t="s">
        <v>54</v>
      </c>
      <c r="B900" s="4" t="s">
        <v>66</v>
      </c>
      <c r="C900" s="4" t="s">
        <v>67</v>
      </c>
      <c r="D900" s="4" t="s">
        <v>68</v>
      </c>
      <c r="E900" s="10">
        <f>IFERROR(__xludf.DUMMYFUNCTION("SPLIT(B900,""T"")"),41403.0)</f>
        <v>41403</v>
      </c>
      <c r="F900" s="4" t="str">
        <f>IFERROR(__xludf.DUMMYFUNCTION("""COMPUTED_VALUE"""),"09:00:00Z")</f>
        <v>09:00:00Z</v>
      </c>
      <c r="G900" s="11" t="str">
        <f t="shared" si="1"/>
        <v>09:00:00</v>
      </c>
      <c r="H900" s="10">
        <f>IFERROR(__xludf.DUMMYFUNCTION("SPLIT(D900,""T"")"),41395.0)</f>
        <v>41395</v>
      </c>
      <c r="I900" s="4" t="str">
        <f>IFERROR(__xludf.DUMMYFUNCTION("""COMPUTED_VALUE"""),"09:12:00Z")</f>
        <v>09:12:00Z</v>
      </c>
      <c r="J900" s="4" t="str">
        <f t="shared" si="2"/>
        <v>09:12:00</v>
      </c>
      <c r="K900" s="4">
        <f t="shared" si="3"/>
        <v>8</v>
      </c>
      <c r="L900" s="4">
        <f t="shared" si="4"/>
        <v>-0.008333333333</v>
      </c>
      <c r="M900" s="4">
        <f t="shared" si="5"/>
        <v>7.991666667</v>
      </c>
    </row>
    <row r="901">
      <c r="A901" s="4" t="s">
        <v>50</v>
      </c>
      <c r="B901" s="4" t="s">
        <v>1022</v>
      </c>
      <c r="C901" s="4" t="s">
        <v>1023</v>
      </c>
      <c r="D901" s="4" t="s">
        <v>1024</v>
      </c>
      <c r="E901" s="10">
        <f>IFERROR(__xludf.DUMMYFUNCTION("SPLIT(B901,""T"")"),42217.0)</f>
        <v>42217</v>
      </c>
      <c r="F901" s="4" t="str">
        <f>IFERROR(__xludf.DUMMYFUNCTION("""COMPUTED_VALUE"""),"21:45:00Z")</f>
        <v>21:45:00Z</v>
      </c>
      <c r="G901" s="11" t="str">
        <f t="shared" si="1"/>
        <v>21:45:00</v>
      </c>
      <c r="H901" s="10">
        <f>IFERROR(__xludf.DUMMYFUNCTION("SPLIT(D901,""T"")"),42209.0)</f>
        <v>42209</v>
      </c>
      <c r="I901" s="4" t="str">
        <f>IFERROR(__xludf.DUMMYFUNCTION("""COMPUTED_VALUE"""),"23:00:00Z")</f>
        <v>23:00:00Z</v>
      </c>
      <c r="J901" s="4" t="str">
        <f t="shared" si="2"/>
        <v>23:00:00</v>
      </c>
      <c r="K901" s="4">
        <f t="shared" si="3"/>
        <v>8</v>
      </c>
      <c r="L901" s="4">
        <f t="shared" si="4"/>
        <v>-0.05208333333</v>
      </c>
      <c r="M901" s="4">
        <f t="shared" si="5"/>
        <v>7.947916667</v>
      </c>
    </row>
    <row r="902">
      <c r="A902" s="4" t="s">
        <v>54</v>
      </c>
      <c r="B902" s="4" t="s">
        <v>616</v>
      </c>
      <c r="C902" s="4" t="s">
        <v>617</v>
      </c>
      <c r="D902" s="4" t="s">
        <v>618</v>
      </c>
      <c r="E902" s="10">
        <f>IFERROR(__xludf.DUMMYFUNCTION("SPLIT(B902,""T"")"),41649.0)</f>
        <v>41649</v>
      </c>
      <c r="F902" s="4" t="str">
        <f>IFERROR(__xludf.DUMMYFUNCTION("""COMPUTED_VALUE"""),"18:30:00Z")</f>
        <v>18:30:00Z</v>
      </c>
      <c r="G902" s="11" t="str">
        <f t="shared" si="1"/>
        <v>18:30:00</v>
      </c>
      <c r="H902" s="10">
        <f>IFERROR(__xludf.DUMMYFUNCTION("SPLIT(D902,""T"")"),41641.0)</f>
        <v>41641</v>
      </c>
      <c r="I902" s="4" t="str">
        <f>IFERROR(__xludf.DUMMYFUNCTION("""COMPUTED_VALUE"""),"20:00:00Z")</f>
        <v>20:00:00Z</v>
      </c>
      <c r="J902" s="4" t="str">
        <f t="shared" si="2"/>
        <v>20:00:00</v>
      </c>
      <c r="K902" s="4">
        <f t="shared" si="3"/>
        <v>8</v>
      </c>
      <c r="L902" s="4">
        <f t="shared" si="4"/>
        <v>-0.0625</v>
      </c>
      <c r="M902" s="4">
        <f t="shared" si="5"/>
        <v>7.9375</v>
      </c>
    </row>
    <row r="903">
      <c r="A903" s="4" t="s">
        <v>240</v>
      </c>
      <c r="B903" s="4" t="s">
        <v>553</v>
      </c>
      <c r="C903" s="4" t="s">
        <v>554</v>
      </c>
      <c r="D903" s="4" t="s">
        <v>555</v>
      </c>
      <c r="E903" s="10">
        <f>IFERROR(__xludf.DUMMYFUNCTION("SPLIT(B903,""T"")"),41832.0)</f>
        <v>41832</v>
      </c>
      <c r="F903" s="4" t="str">
        <f>IFERROR(__xludf.DUMMYFUNCTION("""COMPUTED_VALUE"""),"18:00:00Z")</f>
        <v>18:00:00Z</v>
      </c>
      <c r="G903" s="11" t="str">
        <f t="shared" si="1"/>
        <v>18:00:00</v>
      </c>
      <c r="H903" s="10">
        <f>IFERROR(__xludf.DUMMYFUNCTION("SPLIT(D903,""T"")"),41824.0)</f>
        <v>41824</v>
      </c>
      <c r="I903" s="4" t="str">
        <f>IFERROR(__xludf.DUMMYFUNCTION("""COMPUTED_VALUE"""),"21:32:00Z")</f>
        <v>21:32:00Z</v>
      </c>
      <c r="J903" s="4" t="str">
        <f t="shared" si="2"/>
        <v>21:32:00</v>
      </c>
      <c r="K903" s="4">
        <f t="shared" si="3"/>
        <v>8</v>
      </c>
      <c r="L903" s="4">
        <f t="shared" si="4"/>
        <v>-0.1472222222</v>
      </c>
      <c r="M903" s="4">
        <f t="shared" si="5"/>
        <v>7.852777778</v>
      </c>
    </row>
    <row r="904">
      <c r="A904" s="4" t="s">
        <v>87</v>
      </c>
      <c r="B904" s="4" t="s">
        <v>3571</v>
      </c>
      <c r="C904" s="4" t="s">
        <v>3852</v>
      </c>
      <c r="D904" s="4" t="s">
        <v>3853</v>
      </c>
      <c r="E904" s="10">
        <f>IFERROR(__xludf.DUMMYFUNCTION("SPLIT(B904,""T"")"),43593.0)</f>
        <v>43593</v>
      </c>
      <c r="F904" s="4" t="str">
        <f>IFERROR(__xludf.DUMMYFUNCTION("""COMPUTED_VALUE"""),"08:47:00Z")</f>
        <v>08:47:00Z</v>
      </c>
      <c r="G904" s="11" t="str">
        <f t="shared" si="1"/>
        <v>08:47:00</v>
      </c>
      <c r="H904" s="10">
        <f>IFERROR(__xludf.DUMMYFUNCTION("SPLIT(D904,""T"")"),43585.0)</f>
        <v>43585</v>
      </c>
      <c r="I904" s="4" t="str">
        <f>IFERROR(__xludf.DUMMYFUNCTION("""COMPUTED_VALUE"""),"12:20:00Z")</f>
        <v>12:20:00Z</v>
      </c>
      <c r="J904" s="4" t="str">
        <f t="shared" si="2"/>
        <v>12:20:00</v>
      </c>
      <c r="K904" s="4">
        <f t="shared" si="3"/>
        <v>8</v>
      </c>
      <c r="L904" s="4">
        <f t="shared" si="4"/>
        <v>-0.1479166667</v>
      </c>
      <c r="M904" s="4">
        <f t="shared" si="5"/>
        <v>7.852083333</v>
      </c>
    </row>
    <row r="905">
      <c r="A905" s="4" t="s">
        <v>156</v>
      </c>
      <c r="B905" s="4" t="s">
        <v>660</v>
      </c>
      <c r="C905" s="4" t="s">
        <v>661</v>
      </c>
      <c r="D905" s="4" t="s">
        <v>662</v>
      </c>
      <c r="E905" s="10">
        <f>IFERROR(__xludf.DUMMYFUNCTION("SPLIT(B905,""T"")"),41904.0)</f>
        <v>41904</v>
      </c>
      <c r="F905" s="4" t="str">
        <f>IFERROR(__xludf.DUMMYFUNCTION("""COMPUTED_VALUE"""),"07:15:00Z")</f>
        <v>07:15:00Z</v>
      </c>
      <c r="G905" s="11" t="str">
        <f t="shared" si="1"/>
        <v>07:15:00</v>
      </c>
      <c r="H905" s="10">
        <f>IFERROR(__xludf.DUMMYFUNCTION("SPLIT(D905,""T"")"),41896.0)</f>
        <v>41896</v>
      </c>
      <c r="I905" s="4" t="str">
        <f>IFERROR(__xludf.DUMMYFUNCTION("""COMPUTED_VALUE"""),"13:36:00Z")</f>
        <v>13:36:00Z</v>
      </c>
      <c r="J905" s="4" t="str">
        <f t="shared" si="2"/>
        <v>13:36:00</v>
      </c>
      <c r="K905" s="4">
        <f t="shared" si="3"/>
        <v>8</v>
      </c>
      <c r="L905" s="4">
        <f t="shared" si="4"/>
        <v>-0.2645833333</v>
      </c>
      <c r="M905" s="4">
        <f t="shared" si="5"/>
        <v>7.735416667</v>
      </c>
    </row>
    <row r="906">
      <c r="A906" s="4" t="s">
        <v>166</v>
      </c>
      <c r="B906" s="4" t="s">
        <v>836</v>
      </c>
      <c r="C906" s="4" t="s">
        <v>837</v>
      </c>
      <c r="D906" s="4" t="s">
        <v>838</v>
      </c>
      <c r="E906" s="10">
        <f>IFERROR(__xludf.DUMMYFUNCTION("SPLIT(B906,""T"")"),41882.0)</f>
        <v>41882</v>
      </c>
      <c r="F906" s="4" t="str">
        <f>IFERROR(__xludf.DUMMYFUNCTION("""COMPUTED_VALUE"""),"18:00:00Z")</f>
        <v>18:00:00Z</v>
      </c>
      <c r="G906" s="11" t="str">
        <f t="shared" si="1"/>
        <v>18:00:00</v>
      </c>
      <c r="H906" s="10">
        <f>IFERROR(__xludf.DUMMYFUNCTION("SPLIT(D906,""T"")"),41875.0)</f>
        <v>41875</v>
      </c>
      <c r="I906" s="4" t="str">
        <f>IFERROR(__xludf.DUMMYFUNCTION("""COMPUTED_VALUE"""),"03:20:00Z")</f>
        <v>03:20:00Z</v>
      </c>
      <c r="J906" s="4" t="str">
        <f t="shared" si="2"/>
        <v>03:20:00</v>
      </c>
      <c r="K906" s="4">
        <f t="shared" si="3"/>
        <v>7</v>
      </c>
      <c r="L906" s="4">
        <f t="shared" si="4"/>
        <v>0.6111111111</v>
      </c>
      <c r="M906" s="4">
        <f t="shared" si="5"/>
        <v>7.611111111</v>
      </c>
    </row>
    <row r="907">
      <c r="A907" s="4" t="s">
        <v>69</v>
      </c>
      <c r="B907" s="4" t="s">
        <v>3571</v>
      </c>
      <c r="C907" s="4" t="s">
        <v>3572</v>
      </c>
      <c r="D907" s="4" t="s">
        <v>3573</v>
      </c>
      <c r="E907" s="10">
        <f>IFERROR(__xludf.DUMMYFUNCTION("SPLIT(B907,""T"")"),43593.0)</f>
        <v>43593</v>
      </c>
      <c r="F907" s="4" t="str">
        <f>IFERROR(__xludf.DUMMYFUNCTION("""COMPUTED_VALUE"""),"08:47:00Z")</f>
        <v>08:47:00Z</v>
      </c>
      <c r="G907" s="11" t="str">
        <f t="shared" si="1"/>
        <v>08:47:00</v>
      </c>
      <c r="H907" s="10">
        <f>IFERROR(__xludf.DUMMYFUNCTION("SPLIT(D907,""T"")"),43585.0)</f>
        <v>43585</v>
      </c>
      <c r="I907" s="4" t="str">
        <f>IFERROR(__xludf.DUMMYFUNCTION("""COMPUTED_VALUE"""),"18:37:00Z")</f>
        <v>18:37:00Z</v>
      </c>
      <c r="J907" s="4" t="str">
        <f t="shared" si="2"/>
        <v>18:37:00</v>
      </c>
      <c r="K907" s="4">
        <f t="shared" si="3"/>
        <v>8</v>
      </c>
      <c r="L907" s="4">
        <f t="shared" si="4"/>
        <v>-0.4097222222</v>
      </c>
      <c r="M907" s="4">
        <f t="shared" si="5"/>
        <v>7.590277778</v>
      </c>
    </row>
    <row r="908">
      <c r="A908" s="4" t="s">
        <v>97</v>
      </c>
      <c r="B908" s="4" t="s">
        <v>3578</v>
      </c>
      <c r="C908" s="4" t="s">
        <v>1381</v>
      </c>
      <c r="D908" s="4" t="s">
        <v>3579</v>
      </c>
      <c r="E908" s="10">
        <f>IFERROR(__xludf.DUMMYFUNCTION("SPLIT(B908,""T"")"),43682.0)</f>
        <v>43682</v>
      </c>
      <c r="F908" s="4" t="str">
        <f>IFERROR(__xludf.DUMMYFUNCTION("""COMPUTED_VALUE"""),"12:27:00Z")</f>
        <v>12:27:00Z</v>
      </c>
      <c r="G908" s="11" t="str">
        <f t="shared" si="1"/>
        <v>12:27:00</v>
      </c>
      <c r="H908" s="10">
        <f>IFERROR(__xludf.DUMMYFUNCTION("SPLIT(D908,""T"")"),43674.0)</f>
        <v>43674</v>
      </c>
      <c r="I908" s="4" t="str">
        <f>IFERROR(__xludf.DUMMYFUNCTION("""COMPUTED_VALUE"""),"22:39:05Z")</f>
        <v>22:39:05Z</v>
      </c>
      <c r="J908" s="4" t="str">
        <f t="shared" si="2"/>
        <v>22:39:05</v>
      </c>
      <c r="K908" s="4">
        <f t="shared" si="3"/>
        <v>8</v>
      </c>
      <c r="L908" s="4">
        <f t="shared" si="4"/>
        <v>-0.4250578704</v>
      </c>
      <c r="M908" s="4">
        <f t="shared" si="5"/>
        <v>7.57494213</v>
      </c>
    </row>
    <row r="909">
      <c r="A909" s="4" t="s">
        <v>19</v>
      </c>
      <c r="B909" s="4" t="s">
        <v>1070</v>
      </c>
      <c r="C909" s="4" t="s">
        <v>730</v>
      </c>
      <c r="D909" s="4" t="s">
        <v>1071</v>
      </c>
      <c r="E909" s="10">
        <f>IFERROR(__xludf.DUMMYFUNCTION("SPLIT(B909,""T"")"),42262.0)</f>
        <v>42262</v>
      </c>
      <c r="F909" s="4" t="str">
        <f>IFERROR(__xludf.DUMMYFUNCTION("""COMPUTED_VALUE"""),"19:15:00Z")</f>
        <v>19:15:00Z</v>
      </c>
      <c r="G909" s="11" t="str">
        <f t="shared" si="1"/>
        <v>19:15:00</v>
      </c>
      <c r="H909" s="10">
        <f>IFERROR(__xludf.DUMMYFUNCTION("SPLIT(D909,""T"")"),42255.0)</f>
        <v>42255</v>
      </c>
      <c r="I909" s="4" t="str">
        <f>IFERROR(__xludf.DUMMYFUNCTION("""COMPUTED_VALUE"""),"13:23:00Z")</f>
        <v>13:23:00Z</v>
      </c>
      <c r="J909" s="4" t="str">
        <f t="shared" si="2"/>
        <v>13:23:00</v>
      </c>
      <c r="K909" s="4">
        <f t="shared" si="3"/>
        <v>7</v>
      </c>
      <c r="L909" s="4">
        <f t="shared" si="4"/>
        <v>0.2444444444</v>
      </c>
      <c r="M909" s="4">
        <f t="shared" si="5"/>
        <v>7.244444444</v>
      </c>
    </row>
    <row r="910">
      <c r="A910" s="4" t="s">
        <v>69</v>
      </c>
      <c r="B910" s="4" t="s">
        <v>1345</v>
      </c>
      <c r="C910" s="4" t="s">
        <v>56</v>
      </c>
      <c r="D910" s="4" t="s">
        <v>1346</v>
      </c>
      <c r="E910" s="10">
        <f>IFERROR(__xludf.DUMMYFUNCTION("SPLIT(B910,""T"")"),42559.0)</f>
        <v>42559</v>
      </c>
      <c r="F910" s="4" t="str">
        <f>IFERROR(__xludf.DUMMYFUNCTION("""COMPUTED_VALUE"""),"19:00:00Z")</f>
        <v>19:00:00Z</v>
      </c>
      <c r="G910" s="11" t="str">
        <f t="shared" si="1"/>
        <v>19:00:00</v>
      </c>
      <c r="H910" s="10">
        <f>IFERROR(__xludf.DUMMYFUNCTION("SPLIT(D910,""T"")"),42552.0)</f>
        <v>42552</v>
      </c>
      <c r="I910" s="4" t="str">
        <f>IFERROR(__xludf.DUMMYFUNCTION("""COMPUTED_VALUE"""),"14:05:00Z")</f>
        <v>14:05:00Z</v>
      </c>
      <c r="J910" s="4" t="str">
        <f t="shared" si="2"/>
        <v>14:05:00</v>
      </c>
      <c r="K910" s="4">
        <f t="shared" si="3"/>
        <v>7</v>
      </c>
      <c r="L910" s="4">
        <f t="shared" si="4"/>
        <v>0.2048611111</v>
      </c>
      <c r="M910" s="4">
        <f t="shared" si="5"/>
        <v>7.204861111</v>
      </c>
    </row>
    <row r="911">
      <c r="A911" s="4" t="s">
        <v>313</v>
      </c>
      <c r="B911" s="4" t="s">
        <v>3398</v>
      </c>
      <c r="C911" s="4" t="s">
        <v>3399</v>
      </c>
      <c r="D911" s="4" t="s">
        <v>3400</v>
      </c>
      <c r="E911" s="10">
        <f>IFERROR(__xludf.DUMMYFUNCTION("SPLIT(B911,""T"")"),43772.0)</f>
        <v>43772</v>
      </c>
      <c r="F911" s="4" t="str">
        <f>IFERROR(__xludf.DUMMYFUNCTION("""COMPUTED_VALUE"""),"18:52:00Z")</f>
        <v>18:52:00Z</v>
      </c>
      <c r="G911" s="11" t="str">
        <f t="shared" si="1"/>
        <v>18:52:00</v>
      </c>
      <c r="H911" s="10">
        <f>IFERROR(__xludf.DUMMYFUNCTION("SPLIT(D911,""T"")"),43765.0)</f>
        <v>43765</v>
      </c>
      <c r="I911" s="4" t="str">
        <f>IFERROR(__xludf.DUMMYFUNCTION("""COMPUTED_VALUE"""),"14:54:40Z")</f>
        <v>14:54:40Z</v>
      </c>
      <c r="J911" s="4" t="str">
        <f t="shared" si="2"/>
        <v>14:54:40</v>
      </c>
      <c r="K911" s="4">
        <f t="shared" si="3"/>
        <v>7</v>
      </c>
      <c r="L911" s="4">
        <f t="shared" si="4"/>
        <v>0.1648148148</v>
      </c>
      <c r="M911" s="4">
        <f t="shared" si="5"/>
        <v>7.164814815</v>
      </c>
    </row>
    <row r="912">
      <c r="A912" s="4" t="s">
        <v>101</v>
      </c>
      <c r="B912" s="4" t="s">
        <v>619</v>
      </c>
      <c r="C912" s="4" t="s">
        <v>620</v>
      </c>
      <c r="D912" s="4" t="s">
        <v>621</v>
      </c>
      <c r="E912" s="10">
        <f>IFERROR(__xludf.DUMMYFUNCTION("SPLIT(B912,""T"")"),41792.0)</f>
        <v>41792</v>
      </c>
      <c r="F912" s="4" t="str">
        <f>IFERROR(__xludf.DUMMYFUNCTION("""COMPUTED_VALUE"""),"18:30:00Z")</f>
        <v>18:30:00Z</v>
      </c>
      <c r="G912" s="11" t="str">
        <f t="shared" si="1"/>
        <v>18:30:00</v>
      </c>
      <c r="H912" s="10">
        <f>IFERROR(__xludf.DUMMYFUNCTION("SPLIT(D912,""T"")"),41785.0)</f>
        <v>41785</v>
      </c>
      <c r="I912" s="4" t="str">
        <f>IFERROR(__xludf.DUMMYFUNCTION("""COMPUTED_VALUE"""),"15:33:00Z")</f>
        <v>15:33:00Z</v>
      </c>
      <c r="J912" s="4" t="str">
        <f t="shared" si="2"/>
        <v>15:33:00</v>
      </c>
      <c r="K912" s="4">
        <f t="shared" si="3"/>
        <v>7</v>
      </c>
      <c r="L912" s="4">
        <f t="shared" si="4"/>
        <v>0.1229166667</v>
      </c>
      <c r="M912" s="4">
        <f t="shared" si="5"/>
        <v>7.122916667</v>
      </c>
    </row>
    <row r="913">
      <c r="A913" s="4" t="s">
        <v>23</v>
      </c>
      <c r="B913" s="4" t="s">
        <v>1358</v>
      </c>
      <c r="C913" s="4" t="s">
        <v>1359</v>
      </c>
      <c r="D913" s="4" t="s">
        <v>1360</v>
      </c>
      <c r="E913" s="10">
        <f>IFERROR(__xludf.DUMMYFUNCTION("SPLIT(B913,""T"")"),42567.0)</f>
        <v>42567</v>
      </c>
      <c r="F913" s="4" t="str">
        <f>IFERROR(__xludf.DUMMYFUNCTION("""COMPUTED_VALUE"""),"12:00:00Z")</f>
        <v>12:00:00Z</v>
      </c>
      <c r="G913" s="11" t="str">
        <f t="shared" si="1"/>
        <v>12:00:00</v>
      </c>
      <c r="H913" s="10">
        <f>IFERROR(__xludf.DUMMYFUNCTION("SPLIT(D913,""T"")"),42560.0)</f>
        <v>42560</v>
      </c>
      <c r="I913" s="4" t="str">
        <f>IFERROR(__xludf.DUMMYFUNCTION("""COMPUTED_VALUE"""),"12:04:00Z")</f>
        <v>12:04:00Z</v>
      </c>
      <c r="J913" s="4" t="str">
        <f t="shared" si="2"/>
        <v>12:04:00</v>
      </c>
      <c r="K913" s="4">
        <f t="shared" si="3"/>
        <v>7</v>
      </c>
      <c r="L913" s="4">
        <f t="shared" si="4"/>
        <v>-0.002777777778</v>
      </c>
      <c r="M913" s="4">
        <f t="shared" si="5"/>
        <v>6.997222222</v>
      </c>
    </row>
    <row r="914">
      <c r="A914" s="4" t="s">
        <v>46</v>
      </c>
      <c r="B914" s="4" t="s">
        <v>3487</v>
      </c>
      <c r="C914" s="4" t="s">
        <v>3488</v>
      </c>
      <c r="D914" s="4" t="s">
        <v>3489</v>
      </c>
      <c r="E914" s="10">
        <f>IFERROR(__xludf.DUMMYFUNCTION("SPLIT(B914,""T"")"),43640.0)</f>
        <v>43640</v>
      </c>
      <c r="F914" s="4" t="str">
        <f>IFERROR(__xludf.DUMMYFUNCTION("""COMPUTED_VALUE"""),"16:56:00Z")</f>
        <v>16:56:00Z</v>
      </c>
      <c r="G914" s="11" t="str">
        <f t="shared" si="1"/>
        <v>16:56:00</v>
      </c>
      <c r="H914" s="10">
        <f>IFERROR(__xludf.DUMMYFUNCTION("SPLIT(D914,""T"")"),43633.0)</f>
        <v>43633</v>
      </c>
      <c r="I914" s="4" t="str">
        <f>IFERROR(__xludf.DUMMYFUNCTION("""COMPUTED_VALUE"""),"17:50:00Z")</f>
        <v>17:50:00Z</v>
      </c>
      <c r="J914" s="4" t="str">
        <f t="shared" si="2"/>
        <v>17:50:00</v>
      </c>
      <c r="K914" s="4">
        <f t="shared" si="3"/>
        <v>7</v>
      </c>
      <c r="L914" s="4">
        <f t="shared" si="4"/>
        <v>-0.0375</v>
      </c>
      <c r="M914" s="4">
        <f t="shared" si="5"/>
        <v>6.9625</v>
      </c>
    </row>
    <row r="915">
      <c r="A915" s="4" t="s">
        <v>87</v>
      </c>
      <c r="B915" s="4" t="s">
        <v>1364</v>
      </c>
      <c r="C915" s="4" t="s">
        <v>909</v>
      </c>
      <c r="D915" s="4" t="s">
        <v>1365</v>
      </c>
      <c r="E915" s="10">
        <f>IFERROR(__xludf.DUMMYFUNCTION("SPLIT(B915,""T"")"),42625.0)</f>
        <v>42625</v>
      </c>
      <c r="F915" s="4" t="str">
        <f>IFERROR(__xludf.DUMMYFUNCTION("""COMPUTED_VALUE"""),"14:51:00Z")</f>
        <v>14:51:00Z</v>
      </c>
      <c r="G915" s="11" t="str">
        <f t="shared" si="1"/>
        <v>14:51:00</v>
      </c>
      <c r="H915" s="10">
        <f>IFERROR(__xludf.DUMMYFUNCTION("SPLIT(D915,""T"")"),42618.0)</f>
        <v>42618</v>
      </c>
      <c r="I915" s="4" t="str">
        <f>IFERROR(__xludf.DUMMYFUNCTION("""COMPUTED_VALUE"""),"16:28:00Z")</f>
        <v>16:28:00Z</v>
      </c>
      <c r="J915" s="4" t="str">
        <f t="shared" si="2"/>
        <v>16:28:00</v>
      </c>
      <c r="K915" s="4">
        <f t="shared" si="3"/>
        <v>7</v>
      </c>
      <c r="L915" s="4">
        <f t="shared" si="4"/>
        <v>-0.06736111111</v>
      </c>
      <c r="M915" s="4">
        <f t="shared" si="5"/>
        <v>6.932638889</v>
      </c>
    </row>
    <row r="916">
      <c r="A916" s="4" t="s">
        <v>39</v>
      </c>
      <c r="B916" s="4" t="s">
        <v>3563</v>
      </c>
      <c r="C916" s="4" t="s">
        <v>1914</v>
      </c>
      <c r="D916" s="4" t="s">
        <v>3564</v>
      </c>
      <c r="E916" s="10">
        <f>IFERROR(__xludf.DUMMYFUNCTION("SPLIT(B916,""T"")"),43621.0)</f>
        <v>43621</v>
      </c>
      <c r="F916" s="4" t="str">
        <f>IFERROR(__xludf.DUMMYFUNCTION("""COMPUTED_VALUE"""),"15:07:00Z")</f>
        <v>15:07:00Z</v>
      </c>
      <c r="G916" s="11" t="str">
        <f t="shared" si="1"/>
        <v>15:07:00</v>
      </c>
      <c r="H916" s="10">
        <f>IFERROR(__xludf.DUMMYFUNCTION("SPLIT(D916,""T"")"),43614.0)</f>
        <v>43614</v>
      </c>
      <c r="I916" s="4" t="str">
        <f>IFERROR(__xludf.DUMMYFUNCTION("""COMPUTED_VALUE"""),"17:18:00Z")</f>
        <v>17:18:00Z</v>
      </c>
      <c r="J916" s="4" t="str">
        <f t="shared" si="2"/>
        <v>17:18:00</v>
      </c>
      <c r="K916" s="4">
        <f t="shared" si="3"/>
        <v>7</v>
      </c>
      <c r="L916" s="4">
        <f t="shared" si="4"/>
        <v>-0.09097222222</v>
      </c>
      <c r="M916" s="4">
        <f t="shared" si="5"/>
        <v>6.909027778</v>
      </c>
    </row>
    <row r="917">
      <c r="A917" s="4" t="s">
        <v>27</v>
      </c>
      <c r="B917" s="4" t="s">
        <v>3517</v>
      </c>
      <c r="C917" s="4" t="s">
        <v>3518</v>
      </c>
      <c r="D917" s="4" t="s">
        <v>3519</v>
      </c>
      <c r="E917" s="10">
        <f>IFERROR(__xludf.DUMMYFUNCTION("SPLIT(B917,""T"")"),43730.0)</f>
        <v>43730</v>
      </c>
      <c r="F917" s="4" t="str">
        <f>IFERROR(__xludf.DUMMYFUNCTION("""COMPUTED_VALUE"""),"18:00:00Z")</f>
        <v>18:00:00Z</v>
      </c>
      <c r="G917" s="11" t="str">
        <f t="shared" si="1"/>
        <v>18:00:00</v>
      </c>
      <c r="H917" s="10">
        <f>IFERROR(__xludf.DUMMYFUNCTION("SPLIT(D917,""T"")"),43723.0)</f>
        <v>43723</v>
      </c>
      <c r="I917" s="4" t="str">
        <f>IFERROR(__xludf.DUMMYFUNCTION("""COMPUTED_VALUE"""),"20:13:05Z")</f>
        <v>20:13:05Z</v>
      </c>
      <c r="J917" s="4" t="str">
        <f t="shared" si="2"/>
        <v>20:13:05</v>
      </c>
      <c r="K917" s="4">
        <f t="shared" si="3"/>
        <v>7</v>
      </c>
      <c r="L917" s="4">
        <f t="shared" si="4"/>
        <v>-0.09241898148</v>
      </c>
      <c r="M917" s="4">
        <f t="shared" si="5"/>
        <v>6.907581019</v>
      </c>
    </row>
    <row r="918">
      <c r="A918" s="4" t="s">
        <v>156</v>
      </c>
      <c r="B918" s="4" t="s">
        <v>922</v>
      </c>
      <c r="C918" s="4" t="s">
        <v>923</v>
      </c>
      <c r="D918" s="4" t="s">
        <v>924</v>
      </c>
      <c r="E918" s="10">
        <f>IFERROR(__xludf.DUMMYFUNCTION("SPLIT(B918,""T"")"),42180.0)</f>
        <v>42180</v>
      </c>
      <c r="F918" s="4" t="str">
        <f>IFERROR(__xludf.DUMMYFUNCTION("""COMPUTED_VALUE"""),"18:45:00Z")</f>
        <v>18:45:00Z</v>
      </c>
      <c r="G918" s="11" t="str">
        <f t="shared" si="1"/>
        <v>18:45:00</v>
      </c>
      <c r="H918" s="10">
        <f>IFERROR(__xludf.DUMMYFUNCTION("SPLIT(D918,""T"")"),42173.0)</f>
        <v>42173</v>
      </c>
      <c r="I918" s="4" t="str">
        <f>IFERROR(__xludf.DUMMYFUNCTION("""COMPUTED_VALUE"""),"21:00:00Z")</f>
        <v>21:00:00Z</v>
      </c>
      <c r="J918" s="4" t="str">
        <f t="shared" si="2"/>
        <v>21:00:00</v>
      </c>
      <c r="K918" s="4">
        <f t="shared" si="3"/>
        <v>7</v>
      </c>
      <c r="L918" s="4">
        <f t="shared" si="4"/>
        <v>-0.09375</v>
      </c>
      <c r="M918" s="4">
        <f t="shared" si="5"/>
        <v>6.90625</v>
      </c>
    </row>
    <row r="919">
      <c r="A919" s="4" t="s">
        <v>134</v>
      </c>
      <c r="B919" s="4" t="s">
        <v>1266</v>
      </c>
      <c r="C919" s="4" t="s">
        <v>1267</v>
      </c>
      <c r="D919" s="4" t="s">
        <v>1268</v>
      </c>
      <c r="E919" s="10">
        <f>IFERROR(__xludf.DUMMYFUNCTION("SPLIT(B919,""T"")"),42605.0)</f>
        <v>42605</v>
      </c>
      <c r="F919" s="4" t="str">
        <f>IFERROR(__xludf.DUMMYFUNCTION("""COMPUTED_VALUE"""),"07:45:00Z")</f>
        <v>07:45:00Z</v>
      </c>
      <c r="G919" s="11" t="str">
        <f t="shared" si="1"/>
        <v>07:45:00</v>
      </c>
      <c r="H919" s="10">
        <f>IFERROR(__xludf.DUMMYFUNCTION("SPLIT(D919,""T"")"),42598.0)</f>
        <v>42598</v>
      </c>
      <c r="I919" s="4" t="str">
        <f>IFERROR(__xludf.DUMMYFUNCTION("""COMPUTED_VALUE"""),"10:44:00Z")</f>
        <v>10:44:00Z</v>
      </c>
      <c r="J919" s="4" t="str">
        <f t="shared" si="2"/>
        <v>10:44:00</v>
      </c>
      <c r="K919" s="4">
        <f t="shared" si="3"/>
        <v>7</v>
      </c>
      <c r="L919" s="4">
        <f t="shared" si="4"/>
        <v>-0.1243055556</v>
      </c>
      <c r="M919" s="4">
        <f t="shared" si="5"/>
        <v>6.875694444</v>
      </c>
    </row>
    <row r="920">
      <c r="A920" s="4" t="s">
        <v>320</v>
      </c>
      <c r="B920" s="4" t="s">
        <v>3338</v>
      </c>
      <c r="C920" s="4" t="s">
        <v>3339</v>
      </c>
      <c r="D920" s="4" t="s">
        <v>3340</v>
      </c>
      <c r="E920" s="10">
        <f>IFERROR(__xludf.DUMMYFUNCTION("SPLIT(B920,""T"")"),43712.0)</f>
        <v>43712</v>
      </c>
      <c r="F920" s="4" t="str">
        <f>IFERROR(__xludf.DUMMYFUNCTION("""COMPUTED_VALUE"""),"16:22:00Z")</f>
        <v>16:22:00Z</v>
      </c>
      <c r="G920" s="11" t="str">
        <f t="shared" si="1"/>
        <v>16:22:00</v>
      </c>
      <c r="H920" s="10">
        <f>IFERROR(__xludf.DUMMYFUNCTION("SPLIT(D920,""T"")"),43705.0)</f>
        <v>43705</v>
      </c>
      <c r="I920" s="4" t="str">
        <f>IFERROR(__xludf.DUMMYFUNCTION("""COMPUTED_VALUE"""),"19:48:14Z")</f>
        <v>19:48:14Z</v>
      </c>
      <c r="J920" s="4" t="str">
        <f t="shared" si="2"/>
        <v>19:48:14</v>
      </c>
      <c r="K920" s="4">
        <f t="shared" si="3"/>
        <v>7</v>
      </c>
      <c r="L920" s="4">
        <f t="shared" si="4"/>
        <v>-0.1432175926</v>
      </c>
      <c r="M920" s="4">
        <f t="shared" si="5"/>
        <v>6.856782407</v>
      </c>
    </row>
    <row r="921">
      <c r="A921" s="4" t="s">
        <v>101</v>
      </c>
      <c r="B921" s="4" t="s">
        <v>666</v>
      </c>
      <c r="C921" s="4" t="s">
        <v>667</v>
      </c>
      <c r="D921" s="4" t="s">
        <v>668</v>
      </c>
      <c r="E921" s="10">
        <f>IFERROR(__xludf.DUMMYFUNCTION("SPLIT(B921,""T"")"),41894.0)</f>
        <v>41894</v>
      </c>
      <c r="F921" s="4" t="str">
        <f>IFERROR(__xludf.DUMMYFUNCTION("""COMPUTED_VALUE"""),"09:00:00Z")</f>
        <v>09:00:00Z</v>
      </c>
      <c r="G921" s="11" t="str">
        <f t="shared" si="1"/>
        <v>09:00:00</v>
      </c>
      <c r="H921" s="10">
        <f>IFERROR(__xludf.DUMMYFUNCTION("SPLIT(D921,""T"")"),41887.0)</f>
        <v>41887</v>
      </c>
      <c r="I921" s="4" t="str">
        <f>IFERROR(__xludf.DUMMYFUNCTION("""COMPUTED_VALUE"""),"12:39:00Z")</f>
        <v>12:39:00Z</v>
      </c>
      <c r="J921" s="4" t="str">
        <f t="shared" si="2"/>
        <v>12:39:00</v>
      </c>
      <c r="K921" s="4">
        <f t="shared" si="3"/>
        <v>7</v>
      </c>
      <c r="L921" s="4">
        <f t="shared" si="4"/>
        <v>-0.1520833333</v>
      </c>
      <c r="M921" s="4">
        <f t="shared" si="5"/>
        <v>6.847916667</v>
      </c>
    </row>
    <row r="922">
      <c r="A922" s="4" t="s">
        <v>145</v>
      </c>
      <c r="B922" s="4" t="s">
        <v>3327</v>
      </c>
      <c r="C922" s="4" t="s">
        <v>184</v>
      </c>
      <c r="D922" s="4" t="s">
        <v>3328</v>
      </c>
      <c r="E922" s="10">
        <f>IFERROR(__xludf.DUMMYFUNCTION("SPLIT(B922,""T"")"),43721.0)</f>
        <v>43721</v>
      </c>
      <c r="F922" s="4" t="str">
        <f>IFERROR(__xludf.DUMMYFUNCTION("""COMPUTED_VALUE"""),"07:19:00Z")</f>
        <v>07:19:00Z</v>
      </c>
      <c r="G922" s="11" t="str">
        <f t="shared" si="1"/>
        <v>07:19:00</v>
      </c>
      <c r="H922" s="10">
        <f>IFERROR(__xludf.DUMMYFUNCTION("SPLIT(D922,""T"")"),43714.0)</f>
        <v>43714</v>
      </c>
      <c r="I922" s="4" t="str">
        <f>IFERROR(__xludf.DUMMYFUNCTION("""COMPUTED_VALUE"""),"11:34:27Z")</f>
        <v>11:34:27Z</v>
      </c>
      <c r="J922" s="4" t="str">
        <f t="shared" si="2"/>
        <v>11:34:27</v>
      </c>
      <c r="K922" s="4">
        <f t="shared" si="3"/>
        <v>7</v>
      </c>
      <c r="L922" s="4">
        <f t="shared" si="4"/>
        <v>-0.1773958333</v>
      </c>
      <c r="M922" s="4">
        <f t="shared" si="5"/>
        <v>6.822604167</v>
      </c>
    </row>
    <row r="923">
      <c r="A923" s="4" t="s">
        <v>138</v>
      </c>
      <c r="B923" s="4" t="s">
        <v>139</v>
      </c>
      <c r="C923" s="4" t="s">
        <v>140</v>
      </c>
      <c r="D923" s="4" t="s">
        <v>141</v>
      </c>
      <c r="E923" s="10">
        <f>IFERROR(__xludf.DUMMYFUNCTION("SPLIT(B923,""T"")"),41511.0)</f>
        <v>41511</v>
      </c>
      <c r="F923" s="4" t="str">
        <f>IFERROR(__xludf.DUMMYFUNCTION("""COMPUTED_VALUE"""),"13:15:00Z")</f>
        <v>13:15:00Z</v>
      </c>
      <c r="G923" s="11" t="str">
        <f t="shared" si="1"/>
        <v>13:15:00</v>
      </c>
      <c r="H923" s="10">
        <f>IFERROR(__xludf.DUMMYFUNCTION("SPLIT(D923,""T"")"),41504.0)</f>
        <v>41504</v>
      </c>
      <c r="I923" s="4" t="str">
        <f>IFERROR(__xludf.DUMMYFUNCTION("""COMPUTED_VALUE"""),"18:30:00Z")</f>
        <v>18:30:00Z</v>
      </c>
      <c r="J923" s="4" t="str">
        <f t="shared" si="2"/>
        <v>18:30:00</v>
      </c>
      <c r="K923" s="4">
        <f t="shared" si="3"/>
        <v>7</v>
      </c>
      <c r="L923" s="4">
        <f t="shared" si="4"/>
        <v>-0.21875</v>
      </c>
      <c r="M923" s="4">
        <f t="shared" si="5"/>
        <v>6.78125</v>
      </c>
    </row>
    <row r="924">
      <c r="A924" s="4" t="s">
        <v>156</v>
      </c>
      <c r="B924" s="4" t="s">
        <v>624</v>
      </c>
      <c r="C924" s="4" t="s">
        <v>625</v>
      </c>
      <c r="D924" s="4" t="s">
        <v>626</v>
      </c>
      <c r="E924" s="10">
        <f>IFERROR(__xludf.DUMMYFUNCTION("SPLIT(B924,""T"")"),41876.0)</f>
        <v>41876</v>
      </c>
      <c r="F924" s="4" t="str">
        <f>IFERROR(__xludf.DUMMYFUNCTION("""COMPUTED_VALUE"""),"08:25:00Z")</f>
        <v>08:25:00Z</v>
      </c>
      <c r="G924" s="11" t="str">
        <f t="shared" si="1"/>
        <v>08:25:00</v>
      </c>
      <c r="H924" s="10">
        <f>IFERROR(__xludf.DUMMYFUNCTION("SPLIT(D924,""T"")"),41869.0)</f>
        <v>41869</v>
      </c>
      <c r="I924" s="4" t="str">
        <f>IFERROR(__xludf.DUMMYFUNCTION("""COMPUTED_VALUE"""),"13:50:00Z")</f>
        <v>13:50:00Z</v>
      </c>
      <c r="J924" s="4" t="str">
        <f t="shared" si="2"/>
        <v>13:50:00</v>
      </c>
      <c r="K924" s="4">
        <f t="shared" si="3"/>
        <v>7</v>
      </c>
      <c r="L924" s="4">
        <f t="shared" si="4"/>
        <v>-0.2256944444</v>
      </c>
      <c r="M924" s="4">
        <f t="shared" si="5"/>
        <v>6.774305556</v>
      </c>
    </row>
    <row r="925">
      <c r="A925" s="4" t="s">
        <v>31</v>
      </c>
      <c r="B925" s="4" t="s">
        <v>640</v>
      </c>
      <c r="C925" s="4" t="s">
        <v>641</v>
      </c>
      <c r="D925" s="4" t="s">
        <v>642</v>
      </c>
      <c r="E925" s="10">
        <f>IFERROR(__xludf.DUMMYFUNCTION("SPLIT(B925,""T"")"),41927.0)</f>
        <v>41927</v>
      </c>
      <c r="F925" s="4" t="str">
        <f>IFERROR(__xludf.DUMMYFUNCTION("""COMPUTED_VALUE"""),"07:50:00Z")</f>
        <v>07:50:00Z</v>
      </c>
      <c r="G925" s="11" t="str">
        <f t="shared" si="1"/>
        <v>07:50:00</v>
      </c>
      <c r="H925" s="10">
        <f>IFERROR(__xludf.DUMMYFUNCTION("SPLIT(D925,""T"")"),41920.0)</f>
        <v>41920</v>
      </c>
      <c r="I925" s="4" t="str">
        <f>IFERROR(__xludf.DUMMYFUNCTION("""COMPUTED_VALUE"""),"13:33:00Z")</f>
        <v>13:33:00Z</v>
      </c>
      <c r="J925" s="4" t="str">
        <f t="shared" si="2"/>
        <v>13:33:00</v>
      </c>
      <c r="K925" s="4">
        <f t="shared" si="3"/>
        <v>7</v>
      </c>
      <c r="L925" s="4">
        <f t="shared" si="4"/>
        <v>-0.2381944444</v>
      </c>
      <c r="M925" s="4">
        <f t="shared" si="5"/>
        <v>6.761805556</v>
      </c>
    </row>
    <row r="926">
      <c r="A926" s="4" t="s">
        <v>401</v>
      </c>
      <c r="B926" s="4" t="s">
        <v>3679</v>
      </c>
      <c r="C926" s="4" t="s">
        <v>3711</v>
      </c>
      <c r="D926" s="4" t="s">
        <v>3712</v>
      </c>
      <c r="E926" s="10">
        <f>IFERROR(__xludf.DUMMYFUNCTION("SPLIT(B926,""T"")"),43633.0)</f>
        <v>43633</v>
      </c>
      <c r="F926" s="4" t="str">
        <f>IFERROR(__xludf.DUMMYFUNCTION("""COMPUTED_VALUE"""),"08:46:00Z")</f>
        <v>08:46:00Z</v>
      </c>
      <c r="G926" s="11" t="str">
        <f t="shared" si="1"/>
        <v>08:46:00</v>
      </c>
      <c r="H926" s="10">
        <f>IFERROR(__xludf.DUMMYFUNCTION("SPLIT(D926,""T"")"),43626.0)</f>
        <v>43626</v>
      </c>
      <c r="I926" s="4" t="str">
        <f>IFERROR(__xludf.DUMMYFUNCTION("""COMPUTED_VALUE"""),"15:16:00Z")</f>
        <v>15:16:00Z</v>
      </c>
      <c r="J926" s="4" t="str">
        <f t="shared" si="2"/>
        <v>15:16:00</v>
      </c>
      <c r="K926" s="4">
        <f t="shared" si="3"/>
        <v>7</v>
      </c>
      <c r="L926" s="4">
        <f t="shared" si="4"/>
        <v>-0.2708333333</v>
      </c>
      <c r="M926" s="4">
        <f t="shared" si="5"/>
        <v>6.729166667</v>
      </c>
    </row>
    <row r="927">
      <c r="A927" s="4" t="s">
        <v>62</v>
      </c>
      <c r="B927" s="4" t="s">
        <v>1574</v>
      </c>
      <c r="C927" s="4" t="s">
        <v>1575</v>
      </c>
      <c r="D927" s="4" t="s">
        <v>1576</v>
      </c>
      <c r="E927" s="10">
        <f>IFERROR(__xludf.DUMMYFUNCTION("SPLIT(B927,""T"")"),42528.0)</f>
        <v>42528</v>
      </c>
      <c r="F927" s="4" t="str">
        <f>IFERROR(__xludf.DUMMYFUNCTION("""COMPUTED_VALUE"""),"06:45:00Z")</f>
        <v>06:45:00Z</v>
      </c>
      <c r="G927" s="11" t="str">
        <f t="shared" si="1"/>
        <v>06:45:00</v>
      </c>
      <c r="H927" s="10">
        <f>IFERROR(__xludf.DUMMYFUNCTION("SPLIT(D927,""T"")"),42521.0)</f>
        <v>42521</v>
      </c>
      <c r="I927" s="4" t="str">
        <f>IFERROR(__xludf.DUMMYFUNCTION("""COMPUTED_VALUE"""),"13:48:00Z")</f>
        <v>13:48:00Z</v>
      </c>
      <c r="J927" s="4" t="str">
        <f t="shared" si="2"/>
        <v>13:48:00</v>
      </c>
      <c r="K927" s="4">
        <f t="shared" si="3"/>
        <v>7</v>
      </c>
      <c r="L927" s="4">
        <f t="shared" si="4"/>
        <v>-0.29375</v>
      </c>
      <c r="M927" s="4">
        <f t="shared" si="5"/>
        <v>6.70625</v>
      </c>
    </row>
    <row r="928">
      <c r="A928" s="4" t="s">
        <v>87</v>
      </c>
      <c r="B928" s="4" t="s">
        <v>3571</v>
      </c>
      <c r="C928" s="4" t="s">
        <v>926</v>
      </c>
      <c r="D928" s="4" t="s">
        <v>3681</v>
      </c>
      <c r="E928" s="10">
        <f>IFERROR(__xludf.DUMMYFUNCTION("SPLIT(B928,""T"")"),43593.0)</f>
        <v>43593</v>
      </c>
      <c r="F928" s="4" t="str">
        <f>IFERROR(__xludf.DUMMYFUNCTION("""COMPUTED_VALUE"""),"08:47:00Z")</f>
        <v>08:47:00Z</v>
      </c>
      <c r="G928" s="11" t="str">
        <f t="shared" si="1"/>
        <v>08:47:00</v>
      </c>
      <c r="H928" s="10">
        <f>IFERROR(__xludf.DUMMYFUNCTION("SPLIT(D928,""T"")"),43586.0)</f>
        <v>43586</v>
      </c>
      <c r="I928" s="4" t="str">
        <f>IFERROR(__xludf.DUMMYFUNCTION("""COMPUTED_VALUE"""),"16:46:00Z")</f>
        <v>16:46:00Z</v>
      </c>
      <c r="J928" s="4" t="str">
        <f t="shared" si="2"/>
        <v>16:46:00</v>
      </c>
      <c r="K928" s="4">
        <f t="shared" si="3"/>
        <v>7</v>
      </c>
      <c r="L928" s="4">
        <f t="shared" si="4"/>
        <v>-0.3326388889</v>
      </c>
      <c r="M928" s="4">
        <f t="shared" si="5"/>
        <v>6.667361111</v>
      </c>
    </row>
    <row r="929">
      <c r="A929" s="4" t="s">
        <v>69</v>
      </c>
      <c r="B929" s="4" t="s">
        <v>583</v>
      </c>
      <c r="C929" s="4" t="s">
        <v>119</v>
      </c>
      <c r="D929" s="4" t="s">
        <v>584</v>
      </c>
      <c r="E929" s="10">
        <f>IFERROR(__xludf.DUMMYFUNCTION("SPLIT(B929,""T"")"),41810.0)</f>
        <v>41810</v>
      </c>
      <c r="F929" s="4" t="str">
        <f>IFERROR(__xludf.DUMMYFUNCTION("""COMPUTED_VALUE"""),"08:30:00Z")</f>
        <v>08:30:00Z</v>
      </c>
      <c r="G929" s="11" t="str">
        <f t="shared" si="1"/>
        <v>08:30:00</v>
      </c>
      <c r="H929" s="10">
        <f>IFERROR(__xludf.DUMMYFUNCTION("SPLIT(D929,""T"")"),41803.0)</f>
        <v>41803</v>
      </c>
      <c r="I929" s="4" t="str">
        <f>IFERROR(__xludf.DUMMYFUNCTION("""COMPUTED_VALUE"""),"17:00:00Z")</f>
        <v>17:00:00Z</v>
      </c>
      <c r="J929" s="4" t="str">
        <f t="shared" si="2"/>
        <v>17:00:00</v>
      </c>
      <c r="K929" s="4">
        <f t="shared" si="3"/>
        <v>7</v>
      </c>
      <c r="L929" s="4">
        <f t="shared" si="4"/>
        <v>-0.3541666667</v>
      </c>
      <c r="M929" s="4">
        <f t="shared" si="5"/>
        <v>6.645833333</v>
      </c>
    </row>
    <row r="930">
      <c r="A930" s="4" t="s">
        <v>50</v>
      </c>
      <c r="B930" s="4" t="s">
        <v>1713</v>
      </c>
      <c r="C930" s="4" t="s">
        <v>78</v>
      </c>
      <c r="D930" s="4" t="s">
        <v>1714</v>
      </c>
      <c r="E930" s="10">
        <f>IFERROR(__xludf.DUMMYFUNCTION("SPLIT(B930,""T"")"),42601.0)</f>
        <v>42601</v>
      </c>
      <c r="F930" s="4" t="str">
        <f>IFERROR(__xludf.DUMMYFUNCTION("""COMPUTED_VALUE"""),"08:30:00Z")</f>
        <v>08:30:00Z</v>
      </c>
      <c r="G930" s="11" t="str">
        <f t="shared" si="1"/>
        <v>08:30:00</v>
      </c>
      <c r="H930" s="10">
        <f>IFERROR(__xludf.DUMMYFUNCTION("SPLIT(D930,""T"")"),42594.0)</f>
        <v>42594</v>
      </c>
      <c r="I930" s="4" t="str">
        <f>IFERROR(__xludf.DUMMYFUNCTION("""COMPUTED_VALUE"""),"17:23:00Z")</f>
        <v>17:23:00Z</v>
      </c>
      <c r="J930" s="4" t="str">
        <f t="shared" si="2"/>
        <v>17:23:00</v>
      </c>
      <c r="K930" s="4">
        <f t="shared" si="3"/>
        <v>7</v>
      </c>
      <c r="L930" s="4">
        <f t="shared" si="4"/>
        <v>-0.3701388889</v>
      </c>
      <c r="M930" s="4">
        <f t="shared" si="5"/>
        <v>6.629861111</v>
      </c>
    </row>
    <row r="931">
      <c r="A931" s="4" t="s">
        <v>58</v>
      </c>
      <c r="B931" s="4" t="s">
        <v>609</v>
      </c>
      <c r="C931" s="4" t="s">
        <v>604</v>
      </c>
      <c r="D931" s="4" t="s">
        <v>610</v>
      </c>
      <c r="E931" s="10">
        <f>IFERROR(__xludf.DUMMYFUNCTION("SPLIT(B931,""T"")"),41898.0)</f>
        <v>41898</v>
      </c>
      <c r="F931" s="4" t="str">
        <f>IFERROR(__xludf.DUMMYFUNCTION("""COMPUTED_VALUE"""),"09:30:00Z")</f>
        <v>09:30:00Z</v>
      </c>
      <c r="G931" s="11" t="str">
        <f t="shared" si="1"/>
        <v>09:30:00</v>
      </c>
      <c r="H931" s="10">
        <f>IFERROR(__xludf.DUMMYFUNCTION("SPLIT(D931,""T"")"),41892.0)</f>
        <v>41892</v>
      </c>
      <c r="I931" s="4" t="str">
        <f>IFERROR(__xludf.DUMMYFUNCTION("""COMPUTED_VALUE"""),"00:30:00Z")</f>
        <v>00:30:00Z</v>
      </c>
      <c r="J931" s="4" t="str">
        <f t="shared" si="2"/>
        <v>00:30:00</v>
      </c>
      <c r="K931" s="4">
        <f t="shared" si="3"/>
        <v>6</v>
      </c>
      <c r="L931" s="4">
        <f t="shared" si="4"/>
        <v>0.375</v>
      </c>
      <c r="M931" s="4">
        <f t="shared" si="5"/>
        <v>6.375</v>
      </c>
    </row>
    <row r="932">
      <c r="A932" s="4" t="s">
        <v>69</v>
      </c>
      <c r="B932" s="4" t="s">
        <v>1156</v>
      </c>
      <c r="C932" s="4" t="s">
        <v>1157</v>
      </c>
      <c r="D932" s="4" t="s">
        <v>1158</v>
      </c>
      <c r="E932" s="10">
        <f>IFERROR(__xludf.DUMMYFUNCTION("SPLIT(B932,""T"")"),42262.0)</f>
        <v>42262</v>
      </c>
      <c r="F932" s="4" t="str">
        <f>IFERROR(__xludf.DUMMYFUNCTION("""COMPUTED_VALUE"""),"19:10:00Z")</f>
        <v>19:10:00Z</v>
      </c>
      <c r="G932" s="11" t="str">
        <f t="shared" si="1"/>
        <v>19:10:00</v>
      </c>
      <c r="H932" s="10">
        <f>IFERROR(__xludf.DUMMYFUNCTION("SPLIT(D932,""T"")"),42256.0)</f>
        <v>42256</v>
      </c>
      <c r="I932" s="4" t="str">
        <f>IFERROR(__xludf.DUMMYFUNCTION("""COMPUTED_VALUE"""),"11:45:00Z")</f>
        <v>11:45:00Z</v>
      </c>
      <c r="J932" s="4" t="str">
        <f t="shared" si="2"/>
        <v>11:45:00</v>
      </c>
      <c r="K932" s="4">
        <f t="shared" si="3"/>
        <v>6</v>
      </c>
      <c r="L932" s="4">
        <f t="shared" si="4"/>
        <v>0.3090277778</v>
      </c>
      <c r="M932" s="4">
        <f t="shared" si="5"/>
        <v>6.309027778</v>
      </c>
    </row>
    <row r="933">
      <c r="A933" s="4" t="s">
        <v>69</v>
      </c>
      <c r="B933" s="4" t="s">
        <v>70</v>
      </c>
      <c r="C933" s="4" t="s">
        <v>71</v>
      </c>
      <c r="D933" s="4" t="s">
        <v>72</v>
      </c>
      <c r="E933" s="10">
        <f>IFERROR(__xludf.DUMMYFUNCTION("SPLIT(B933,""T"")"),41415.0)</f>
        <v>41415</v>
      </c>
      <c r="F933" s="4" t="str">
        <f>IFERROR(__xludf.DUMMYFUNCTION("""COMPUTED_VALUE"""),"19:45:00Z")</f>
        <v>19:45:00Z</v>
      </c>
      <c r="G933" s="11" t="str">
        <f t="shared" si="1"/>
        <v>19:45:00</v>
      </c>
      <c r="H933" s="10">
        <f>IFERROR(__xludf.DUMMYFUNCTION("SPLIT(D933,""T"")"),41409.0)</f>
        <v>41409</v>
      </c>
      <c r="I933" s="4" t="str">
        <f>IFERROR(__xludf.DUMMYFUNCTION("""COMPUTED_VALUE"""),"12:50:00Z")</f>
        <v>12:50:00Z</v>
      </c>
      <c r="J933" s="4" t="str">
        <f t="shared" si="2"/>
        <v>12:50:00</v>
      </c>
      <c r="K933" s="4">
        <f t="shared" si="3"/>
        <v>6</v>
      </c>
      <c r="L933" s="4">
        <f t="shared" si="4"/>
        <v>0.2881944444</v>
      </c>
      <c r="M933" s="4">
        <f t="shared" si="5"/>
        <v>6.288194444</v>
      </c>
    </row>
    <row r="934">
      <c r="A934" s="4" t="s">
        <v>35</v>
      </c>
      <c r="B934" s="4" t="s">
        <v>70</v>
      </c>
      <c r="C934" s="4" t="s">
        <v>71</v>
      </c>
      <c r="D934" s="4" t="s">
        <v>72</v>
      </c>
      <c r="E934" s="10">
        <f>IFERROR(__xludf.DUMMYFUNCTION("SPLIT(B934,""T"")"),41415.0)</f>
        <v>41415</v>
      </c>
      <c r="F934" s="4" t="str">
        <f>IFERROR(__xludf.DUMMYFUNCTION("""COMPUTED_VALUE"""),"19:45:00Z")</f>
        <v>19:45:00Z</v>
      </c>
      <c r="G934" s="11" t="str">
        <f t="shared" si="1"/>
        <v>19:45:00</v>
      </c>
      <c r="H934" s="10">
        <f>IFERROR(__xludf.DUMMYFUNCTION("SPLIT(D934,""T"")"),41409.0)</f>
        <v>41409</v>
      </c>
      <c r="I934" s="4" t="str">
        <f>IFERROR(__xludf.DUMMYFUNCTION("""COMPUTED_VALUE"""),"12:50:00Z")</f>
        <v>12:50:00Z</v>
      </c>
      <c r="J934" s="4" t="str">
        <f t="shared" si="2"/>
        <v>12:50:00</v>
      </c>
      <c r="K934" s="4">
        <f t="shared" si="3"/>
        <v>6</v>
      </c>
      <c r="L934" s="4">
        <f t="shared" si="4"/>
        <v>0.2881944444</v>
      </c>
      <c r="M934" s="4">
        <f t="shared" si="5"/>
        <v>6.288194444</v>
      </c>
    </row>
    <row r="935">
      <c r="A935" s="4" t="s">
        <v>87</v>
      </c>
      <c r="B935" s="4" t="s">
        <v>919</v>
      </c>
      <c r="C935" s="4" t="s">
        <v>920</v>
      </c>
      <c r="D935" s="4" t="s">
        <v>921</v>
      </c>
      <c r="E935" s="10">
        <f>IFERROR(__xludf.DUMMYFUNCTION("SPLIT(B935,""T"")"),42264.0)</f>
        <v>42264</v>
      </c>
      <c r="F935" s="4" t="str">
        <f>IFERROR(__xludf.DUMMYFUNCTION("""COMPUTED_VALUE"""),"19:30:00Z")</f>
        <v>19:30:00Z</v>
      </c>
      <c r="G935" s="11" t="str">
        <f t="shared" si="1"/>
        <v>19:30:00</v>
      </c>
      <c r="H935" s="10">
        <f>IFERROR(__xludf.DUMMYFUNCTION("SPLIT(D935,""T"")"),42258.0)</f>
        <v>42258</v>
      </c>
      <c r="I935" s="4" t="str">
        <f>IFERROR(__xludf.DUMMYFUNCTION("""COMPUTED_VALUE"""),"14:15:00Z")</f>
        <v>14:15:00Z</v>
      </c>
      <c r="J935" s="4" t="str">
        <f t="shared" si="2"/>
        <v>14:15:00</v>
      </c>
      <c r="K935" s="4">
        <f t="shared" si="3"/>
        <v>6</v>
      </c>
      <c r="L935" s="4">
        <f t="shared" si="4"/>
        <v>0.21875</v>
      </c>
      <c r="M935" s="4">
        <f t="shared" si="5"/>
        <v>6.21875</v>
      </c>
    </row>
    <row r="936">
      <c r="A936" s="4" t="s">
        <v>94</v>
      </c>
      <c r="B936" s="4" t="s">
        <v>1085</v>
      </c>
      <c r="C936" s="4" t="s">
        <v>1086</v>
      </c>
      <c r="D936" s="4" t="s">
        <v>1087</v>
      </c>
      <c r="E936" s="10">
        <f>IFERROR(__xludf.DUMMYFUNCTION("SPLIT(B936,""T"")"),42221.0)</f>
        <v>42221</v>
      </c>
      <c r="F936" s="4" t="str">
        <f>IFERROR(__xludf.DUMMYFUNCTION("""COMPUTED_VALUE"""),"17:45:00Z")</f>
        <v>17:45:00Z</v>
      </c>
      <c r="G936" s="11" t="str">
        <f t="shared" si="1"/>
        <v>17:45:00</v>
      </c>
      <c r="H936" s="10">
        <f>IFERROR(__xludf.DUMMYFUNCTION("SPLIT(D936,""T"")"),42215.0)</f>
        <v>42215</v>
      </c>
      <c r="I936" s="4" t="str">
        <f>IFERROR(__xludf.DUMMYFUNCTION("""COMPUTED_VALUE"""),"12:40:00Z")</f>
        <v>12:40:00Z</v>
      </c>
      <c r="J936" s="4" t="str">
        <f t="shared" si="2"/>
        <v>12:40:00</v>
      </c>
      <c r="K936" s="4">
        <f t="shared" si="3"/>
        <v>6</v>
      </c>
      <c r="L936" s="4">
        <f t="shared" si="4"/>
        <v>0.2118055556</v>
      </c>
      <c r="M936" s="4">
        <f t="shared" si="5"/>
        <v>6.211805556</v>
      </c>
    </row>
    <row r="937">
      <c r="A937" s="4" t="s">
        <v>411</v>
      </c>
      <c r="B937" s="4" t="s">
        <v>1405</v>
      </c>
      <c r="C937" s="4" t="s">
        <v>1406</v>
      </c>
      <c r="D937" s="4" t="s">
        <v>1407</v>
      </c>
      <c r="E937" s="10">
        <f>IFERROR(__xludf.DUMMYFUNCTION("SPLIT(B937,""T"")"),42559.0)</f>
        <v>42559</v>
      </c>
      <c r="F937" s="4" t="str">
        <f>IFERROR(__xludf.DUMMYFUNCTION("""COMPUTED_VALUE"""),"19:32:00Z")</f>
        <v>19:32:00Z</v>
      </c>
      <c r="G937" s="11" t="str">
        <f t="shared" si="1"/>
        <v>19:32:00</v>
      </c>
      <c r="H937" s="10">
        <f>IFERROR(__xludf.DUMMYFUNCTION("SPLIT(D937,""T"")"),42553.0)</f>
        <v>42553</v>
      </c>
      <c r="I937" s="4" t="str">
        <f>IFERROR(__xludf.DUMMYFUNCTION("""COMPUTED_VALUE"""),"14:55:00Z")</f>
        <v>14:55:00Z</v>
      </c>
      <c r="J937" s="4" t="str">
        <f t="shared" si="2"/>
        <v>14:55:00</v>
      </c>
      <c r="K937" s="4">
        <f t="shared" si="3"/>
        <v>6</v>
      </c>
      <c r="L937" s="4">
        <f t="shared" si="4"/>
        <v>0.1923611111</v>
      </c>
      <c r="M937" s="4">
        <f t="shared" si="5"/>
        <v>6.192361111</v>
      </c>
    </row>
    <row r="938">
      <c r="A938" s="4" t="s">
        <v>186</v>
      </c>
      <c r="B938" s="4" t="s">
        <v>928</v>
      </c>
      <c r="C938" s="4" t="s">
        <v>929</v>
      </c>
      <c r="D938" s="4" t="s">
        <v>930</v>
      </c>
      <c r="E938" s="10">
        <f>IFERROR(__xludf.DUMMYFUNCTION("SPLIT(B938,""T"")"),42255.0)</f>
        <v>42255</v>
      </c>
      <c r="F938" s="4" t="str">
        <f>IFERROR(__xludf.DUMMYFUNCTION("""COMPUTED_VALUE"""),"19:28:00Z")</f>
        <v>19:28:00Z</v>
      </c>
      <c r="G938" s="11" t="str">
        <f t="shared" si="1"/>
        <v>19:28:00</v>
      </c>
      <c r="H938" s="10">
        <f>IFERROR(__xludf.DUMMYFUNCTION("SPLIT(D938,""T"")"),42249.0)</f>
        <v>42249</v>
      </c>
      <c r="I938" s="4" t="str">
        <f>IFERROR(__xludf.DUMMYFUNCTION("""COMPUTED_VALUE"""),"14:57:00Z")</f>
        <v>14:57:00Z</v>
      </c>
      <c r="J938" s="4" t="str">
        <f t="shared" si="2"/>
        <v>14:57:00</v>
      </c>
      <c r="K938" s="4">
        <f t="shared" si="3"/>
        <v>6</v>
      </c>
      <c r="L938" s="4">
        <f t="shared" si="4"/>
        <v>0.1881944444</v>
      </c>
      <c r="M938" s="4">
        <f t="shared" si="5"/>
        <v>6.188194444</v>
      </c>
    </row>
    <row r="939">
      <c r="A939" s="4" t="s">
        <v>80</v>
      </c>
      <c r="B939" s="4" t="s">
        <v>81</v>
      </c>
      <c r="C939" s="4" t="s">
        <v>82</v>
      </c>
      <c r="D939" s="4" t="s">
        <v>83</v>
      </c>
      <c r="E939" s="10">
        <f>IFERROR(__xludf.DUMMYFUNCTION("SPLIT(B939,""T"")"),41531.0)</f>
        <v>41531</v>
      </c>
      <c r="F939" s="4" t="str">
        <f>IFERROR(__xludf.DUMMYFUNCTION("""COMPUTED_VALUE"""),"17:30:00Z")</f>
        <v>17:30:00Z</v>
      </c>
      <c r="G939" s="11" t="str">
        <f t="shared" si="1"/>
        <v>17:30:00</v>
      </c>
      <c r="H939" s="10">
        <f>IFERROR(__xludf.DUMMYFUNCTION("SPLIT(D939,""T"")"),41525.0)</f>
        <v>41525</v>
      </c>
      <c r="I939" s="4" t="str">
        <f>IFERROR(__xludf.DUMMYFUNCTION("""COMPUTED_VALUE"""),"13:08:00Z")</f>
        <v>13:08:00Z</v>
      </c>
      <c r="J939" s="4" t="str">
        <f t="shared" si="2"/>
        <v>13:08:00</v>
      </c>
      <c r="K939" s="4">
        <f t="shared" si="3"/>
        <v>6</v>
      </c>
      <c r="L939" s="4">
        <f t="shared" si="4"/>
        <v>0.1819444444</v>
      </c>
      <c r="M939" s="4">
        <f t="shared" si="5"/>
        <v>6.181944444</v>
      </c>
    </row>
    <row r="940">
      <c r="A940" s="4" t="s">
        <v>149</v>
      </c>
      <c r="B940" s="4" t="s">
        <v>3379</v>
      </c>
      <c r="C940" s="4" t="s">
        <v>3380</v>
      </c>
      <c r="D940" s="4" t="s">
        <v>3381</v>
      </c>
      <c r="E940" s="10">
        <f>IFERROR(__xludf.DUMMYFUNCTION("SPLIT(B940,""T"")"),43627.0)</f>
        <v>43627</v>
      </c>
      <c r="F940" s="4" t="str">
        <f>IFERROR(__xludf.DUMMYFUNCTION("""COMPUTED_VALUE"""),"14:49:00Z")</f>
        <v>14:49:00Z</v>
      </c>
      <c r="G940" s="11" t="str">
        <f t="shared" si="1"/>
        <v>14:49:00</v>
      </c>
      <c r="H940" s="10">
        <f>IFERROR(__xludf.DUMMYFUNCTION("SPLIT(D940,""T"")"),43621.0)</f>
        <v>43621</v>
      </c>
      <c r="I940" s="4" t="str">
        <f>IFERROR(__xludf.DUMMYFUNCTION("""COMPUTED_VALUE"""),"10:49:00Z")</f>
        <v>10:49:00Z</v>
      </c>
      <c r="J940" s="4" t="str">
        <f t="shared" si="2"/>
        <v>10:49:00</v>
      </c>
      <c r="K940" s="4">
        <f t="shared" si="3"/>
        <v>6</v>
      </c>
      <c r="L940" s="4">
        <f t="shared" si="4"/>
        <v>0.1666666667</v>
      </c>
      <c r="M940" s="4">
        <f t="shared" si="5"/>
        <v>6.166666667</v>
      </c>
    </row>
    <row r="941">
      <c r="A941" s="4" t="s">
        <v>87</v>
      </c>
      <c r="B941" s="4" t="s">
        <v>3321</v>
      </c>
      <c r="C941" s="4" t="s">
        <v>89</v>
      </c>
      <c r="D941" s="4" t="s">
        <v>3414</v>
      </c>
      <c r="E941" s="10">
        <f>IFERROR(__xludf.DUMMYFUNCTION("SPLIT(B941,""T"")"),43721.0)</f>
        <v>43721</v>
      </c>
      <c r="F941" s="4" t="str">
        <f>IFERROR(__xludf.DUMMYFUNCTION("""COMPUTED_VALUE"""),"19:00:00Z")</f>
        <v>19:00:00Z</v>
      </c>
      <c r="G941" s="11" t="str">
        <f t="shared" si="1"/>
        <v>19:00:00</v>
      </c>
      <c r="H941" s="10">
        <f>IFERROR(__xludf.DUMMYFUNCTION("SPLIT(D941,""T"")"),43715.0)</f>
        <v>43715</v>
      </c>
      <c r="I941" s="4" t="str">
        <f>IFERROR(__xludf.DUMMYFUNCTION("""COMPUTED_VALUE"""),"15:06:00Z")</f>
        <v>15:06:00Z</v>
      </c>
      <c r="J941" s="4" t="str">
        <f t="shared" si="2"/>
        <v>15:06:00</v>
      </c>
      <c r="K941" s="4">
        <f t="shared" si="3"/>
        <v>6</v>
      </c>
      <c r="L941" s="4">
        <f t="shared" si="4"/>
        <v>0.1625</v>
      </c>
      <c r="M941" s="4">
        <f t="shared" si="5"/>
        <v>6.1625</v>
      </c>
    </row>
    <row r="942">
      <c r="A942" s="4" t="s">
        <v>149</v>
      </c>
      <c r="B942" s="4" t="s">
        <v>3471</v>
      </c>
      <c r="C942" s="4" t="s">
        <v>3472</v>
      </c>
      <c r="D942" s="4" t="s">
        <v>3473</v>
      </c>
      <c r="E942" s="10">
        <f>IFERROR(__xludf.DUMMYFUNCTION("SPLIT(B942,""T"")"),43735.0)</f>
        <v>43735</v>
      </c>
      <c r="F942" s="4" t="str">
        <f>IFERROR(__xludf.DUMMYFUNCTION("""COMPUTED_VALUE"""),"18:00:00Z")</f>
        <v>18:00:00Z</v>
      </c>
      <c r="G942" s="11" t="str">
        <f t="shared" si="1"/>
        <v>18:00:00</v>
      </c>
      <c r="H942" s="10">
        <f>IFERROR(__xludf.DUMMYFUNCTION("SPLIT(D942,""T"")"),43729.0)</f>
        <v>43729</v>
      </c>
      <c r="I942" s="4" t="str">
        <f>IFERROR(__xludf.DUMMYFUNCTION("""COMPUTED_VALUE"""),"14:26:00Z")</f>
        <v>14:26:00Z</v>
      </c>
      <c r="J942" s="4" t="str">
        <f t="shared" si="2"/>
        <v>14:26:00</v>
      </c>
      <c r="K942" s="4">
        <f t="shared" si="3"/>
        <v>6</v>
      </c>
      <c r="L942" s="4">
        <f t="shared" si="4"/>
        <v>0.1486111111</v>
      </c>
      <c r="M942" s="4">
        <f t="shared" si="5"/>
        <v>6.148611111</v>
      </c>
    </row>
    <row r="943">
      <c r="A943" s="4" t="s">
        <v>87</v>
      </c>
      <c r="B943" s="4" t="s">
        <v>3660</v>
      </c>
      <c r="C943" s="4" t="s">
        <v>3661</v>
      </c>
      <c r="D943" s="4" t="s">
        <v>3662</v>
      </c>
      <c r="E943" s="10">
        <f>IFERROR(__xludf.DUMMYFUNCTION("SPLIT(B943,""T"")"),43720.0)</f>
        <v>43720</v>
      </c>
      <c r="F943" s="4" t="str">
        <f>IFERROR(__xludf.DUMMYFUNCTION("""COMPUTED_VALUE"""),"18:49:00Z")</f>
        <v>18:49:00Z</v>
      </c>
      <c r="G943" s="11" t="str">
        <f t="shared" si="1"/>
        <v>18:49:00</v>
      </c>
      <c r="H943" s="10">
        <f>IFERROR(__xludf.DUMMYFUNCTION("SPLIT(D943,""T"")"),43714.0)</f>
        <v>43714</v>
      </c>
      <c r="I943" s="4" t="str">
        <f>IFERROR(__xludf.DUMMYFUNCTION("""COMPUTED_VALUE"""),"15:18:52Z")</f>
        <v>15:18:52Z</v>
      </c>
      <c r="J943" s="4" t="str">
        <f t="shared" si="2"/>
        <v>15:18:52</v>
      </c>
      <c r="K943" s="4">
        <f t="shared" si="3"/>
        <v>6</v>
      </c>
      <c r="L943" s="4">
        <f t="shared" si="4"/>
        <v>0.1459259259</v>
      </c>
      <c r="M943" s="4">
        <f t="shared" si="5"/>
        <v>6.145925926</v>
      </c>
    </row>
    <row r="944">
      <c r="A944" s="4" t="s">
        <v>54</v>
      </c>
      <c r="B944" s="4" t="s">
        <v>55</v>
      </c>
      <c r="C944" s="4" t="s">
        <v>56</v>
      </c>
      <c r="D944" s="4" t="s">
        <v>57</v>
      </c>
      <c r="E944" s="10">
        <f>IFERROR(__xludf.DUMMYFUNCTION("SPLIT(B944,""T"")"),41515.0)</f>
        <v>41515</v>
      </c>
      <c r="F944" s="4" t="str">
        <f>IFERROR(__xludf.DUMMYFUNCTION("""COMPUTED_VALUE"""),"16:45:00Z")</f>
        <v>16:45:00Z</v>
      </c>
      <c r="G944" s="11" t="str">
        <f t="shared" si="1"/>
        <v>16:45:00</v>
      </c>
      <c r="H944" s="10">
        <f>IFERROR(__xludf.DUMMYFUNCTION("SPLIT(D944,""T"")"),41509.0)</f>
        <v>41509</v>
      </c>
      <c r="I944" s="4" t="str">
        <f>IFERROR(__xludf.DUMMYFUNCTION("""COMPUTED_VALUE"""),"14:15:00Z")</f>
        <v>14:15:00Z</v>
      </c>
      <c r="J944" s="4" t="str">
        <f t="shared" si="2"/>
        <v>14:15:00</v>
      </c>
      <c r="K944" s="4">
        <f t="shared" si="3"/>
        <v>6</v>
      </c>
      <c r="L944" s="4">
        <f t="shared" si="4"/>
        <v>0.1041666667</v>
      </c>
      <c r="M944" s="4">
        <f t="shared" si="5"/>
        <v>6.104166667</v>
      </c>
    </row>
    <row r="945">
      <c r="A945" s="4" t="s">
        <v>62</v>
      </c>
      <c r="B945" s="4" t="s">
        <v>538</v>
      </c>
      <c r="C945" s="4" t="s">
        <v>539</v>
      </c>
      <c r="D945" s="4" t="s">
        <v>540</v>
      </c>
      <c r="E945" s="10">
        <f>IFERROR(__xludf.DUMMYFUNCTION("SPLIT(B945,""T"")"),41780.0)</f>
        <v>41780</v>
      </c>
      <c r="F945" s="4" t="str">
        <f>IFERROR(__xludf.DUMMYFUNCTION("""COMPUTED_VALUE"""),"17:00:00Z")</f>
        <v>17:00:00Z</v>
      </c>
      <c r="G945" s="11" t="str">
        <f t="shared" si="1"/>
        <v>17:00:00</v>
      </c>
      <c r="H945" s="10">
        <f>IFERROR(__xludf.DUMMYFUNCTION("SPLIT(D945,""T"")"),41774.0)</f>
        <v>41774</v>
      </c>
      <c r="I945" s="4" t="str">
        <f>IFERROR(__xludf.DUMMYFUNCTION("""COMPUTED_VALUE"""),"14:45:00Z")</f>
        <v>14:45:00Z</v>
      </c>
      <c r="J945" s="4" t="str">
        <f t="shared" si="2"/>
        <v>14:45:00</v>
      </c>
      <c r="K945" s="4">
        <f t="shared" si="3"/>
        <v>6</v>
      </c>
      <c r="L945" s="4">
        <f t="shared" si="4"/>
        <v>0.09375</v>
      </c>
      <c r="M945" s="4">
        <f t="shared" si="5"/>
        <v>6.09375</v>
      </c>
    </row>
    <row r="946">
      <c r="A946" s="4" t="s">
        <v>19</v>
      </c>
      <c r="B946" s="4" t="s">
        <v>992</v>
      </c>
      <c r="C946" s="4" t="s">
        <v>993</v>
      </c>
      <c r="D946" s="4" t="s">
        <v>994</v>
      </c>
      <c r="E946" s="10">
        <f>IFERROR(__xludf.DUMMYFUNCTION("SPLIT(B946,""T"")"),42220.0)</f>
        <v>42220</v>
      </c>
      <c r="F946" s="4" t="str">
        <f>IFERROR(__xludf.DUMMYFUNCTION("""COMPUTED_VALUE"""),"18:00:00Z")</f>
        <v>18:00:00Z</v>
      </c>
      <c r="G946" s="11" t="str">
        <f t="shared" si="1"/>
        <v>18:00:00</v>
      </c>
      <c r="H946" s="10">
        <f>IFERROR(__xludf.DUMMYFUNCTION("SPLIT(D946,""T"")"),42214.0)</f>
        <v>42214</v>
      </c>
      <c r="I946" s="4" t="str">
        <f>IFERROR(__xludf.DUMMYFUNCTION("""COMPUTED_VALUE"""),"16:30:00Z")</f>
        <v>16:30:00Z</v>
      </c>
      <c r="J946" s="4" t="str">
        <f t="shared" si="2"/>
        <v>16:30:00</v>
      </c>
      <c r="K946" s="4">
        <f t="shared" si="3"/>
        <v>6</v>
      </c>
      <c r="L946" s="4">
        <f t="shared" si="4"/>
        <v>0.0625</v>
      </c>
      <c r="M946" s="4">
        <f t="shared" si="5"/>
        <v>6.0625</v>
      </c>
    </row>
    <row r="947">
      <c r="A947" s="4" t="s">
        <v>87</v>
      </c>
      <c r="B947" s="4" t="s">
        <v>88</v>
      </c>
      <c r="C947" s="4" t="s">
        <v>89</v>
      </c>
      <c r="D947" s="4" t="s">
        <v>90</v>
      </c>
      <c r="E947" s="10">
        <f>IFERROR(__xludf.DUMMYFUNCTION("SPLIT(B947,""T"")"),41508.0)</f>
        <v>41508</v>
      </c>
      <c r="F947" s="4" t="str">
        <f>IFERROR(__xludf.DUMMYFUNCTION("""COMPUTED_VALUE"""),"18:00:00Z")</f>
        <v>18:00:00Z</v>
      </c>
      <c r="G947" s="11" t="str">
        <f t="shared" si="1"/>
        <v>18:00:00</v>
      </c>
      <c r="H947" s="10">
        <f>IFERROR(__xludf.DUMMYFUNCTION("SPLIT(D947,""T"")"),41502.0)</f>
        <v>41502</v>
      </c>
      <c r="I947" s="4" t="str">
        <f>IFERROR(__xludf.DUMMYFUNCTION("""COMPUTED_VALUE"""),"16:37:00Z")</f>
        <v>16:37:00Z</v>
      </c>
      <c r="J947" s="4" t="str">
        <f t="shared" si="2"/>
        <v>16:37:00</v>
      </c>
      <c r="K947" s="4">
        <f t="shared" si="3"/>
        <v>6</v>
      </c>
      <c r="L947" s="4">
        <f t="shared" si="4"/>
        <v>0.05763888889</v>
      </c>
      <c r="M947" s="4">
        <f t="shared" si="5"/>
        <v>6.057638889</v>
      </c>
    </row>
    <row r="948">
      <c r="A948" s="4" t="s">
        <v>130</v>
      </c>
      <c r="B948" s="4" t="s">
        <v>1101</v>
      </c>
      <c r="C948" s="4" t="s">
        <v>132</v>
      </c>
      <c r="D948" s="4" t="s">
        <v>1102</v>
      </c>
      <c r="E948" s="10">
        <f>IFERROR(__xludf.DUMMYFUNCTION("SPLIT(B948,""T"")"),42214.0)</f>
        <v>42214</v>
      </c>
      <c r="F948" s="4" t="str">
        <f>IFERROR(__xludf.DUMMYFUNCTION("""COMPUTED_VALUE"""),"14:15:00Z")</f>
        <v>14:15:00Z</v>
      </c>
      <c r="G948" s="11" t="str">
        <f t="shared" si="1"/>
        <v>14:15:00</v>
      </c>
      <c r="H948" s="10">
        <f>IFERROR(__xludf.DUMMYFUNCTION("SPLIT(D948,""T"")"),42208.0)</f>
        <v>42208</v>
      </c>
      <c r="I948" s="4" t="str">
        <f>IFERROR(__xludf.DUMMYFUNCTION("""COMPUTED_VALUE"""),"14:00:00Z")</f>
        <v>14:00:00Z</v>
      </c>
      <c r="J948" s="4" t="str">
        <f t="shared" si="2"/>
        <v>14:00:00</v>
      </c>
      <c r="K948" s="4">
        <f t="shared" si="3"/>
        <v>6</v>
      </c>
      <c r="L948" s="4">
        <f t="shared" si="4"/>
        <v>0.01041666667</v>
      </c>
      <c r="M948" s="4">
        <f t="shared" si="5"/>
        <v>6.010416667</v>
      </c>
    </row>
    <row r="949">
      <c r="A949" s="4" t="s">
        <v>35</v>
      </c>
      <c r="B949" s="4" t="s">
        <v>3319</v>
      </c>
      <c r="C949" s="4" t="s">
        <v>2172</v>
      </c>
      <c r="D949" s="4" t="s">
        <v>3320</v>
      </c>
      <c r="E949" s="10">
        <f>IFERROR(__xludf.DUMMYFUNCTION("SPLIT(B949,""T"")"),43775.0)</f>
        <v>43775</v>
      </c>
      <c r="F949" s="4" t="str">
        <f>IFERROR(__xludf.DUMMYFUNCTION("""COMPUTED_VALUE"""),"18:00:00Z")</f>
        <v>18:00:00Z</v>
      </c>
      <c r="G949" s="11" t="str">
        <f t="shared" si="1"/>
        <v>18:00:00</v>
      </c>
      <c r="H949" s="10">
        <f>IFERROR(__xludf.DUMMYFUNCTION("SPLIT(D949,""T"")"),43769.0)</f>
        <v>43769</v>
      </c>
      <c r="I949" s="4" t="str">
        <f>IFERROR(__xludf.DUMMYFUNCTION("""COMPUTED_VALUE"""),"20:58:28Z")</f>
        <v>20:58:28Z</v>
      </c>
      <c r="J949" s="4" t="str">
        <f t="shared" si="2"/>
        <v>20:58:28</v>
      </c>
      <c r="K949" s="4">
        <f t="shared" si="3"/>
        <v>6</v>
      </c>
      <c r="L949" s="4">
        <f t="shared" si="4"/>
        <v>-0.1239351852</v>
      </c>
      <c r="M949" s="4">
        <f t="shared" si="5"/>
        <v>5.876064815</v>
      </c>
    </row>
    <row r="950">
      <c r="A950" s="4" t="s">
        <v>46</v>
      </c>
      <c r="B950" s="4" t="s">
        <v>997</v>
      </c>
      <c r="C950" s="4" t="s">
        <v>998</v>
      </c>
      <c r="D950" s="4" t="s">
        <v>999</v>
      </c>
      <c r="E950" s="10">
        <f>IFERROR(__xludf.DUMMYFUNCTION("SPLIT(B950,""T"")"),42065.0)</f>
        <v>42065</v>
      </c>
      <c r="F950" s="4" t="str">
        <f>IFERROR(__xludf.DUMMYFUNCTION("""COMPUTED_VALUE"""),"09:00:00Z")</f>
        <v>09:00:00Z</v>
      </c>
      <c r="G950" s="11" t="str">
        <f t="shared" si="1"/>
        <v>09:00:00</v>
      </c>
      <c r="H950" s="10">
        <f>IFERROR(__xludf.DUMMYFUNCTION("SPLIT(D950,""T"")"),42059.0)</f>
        <v>42059</v>
      </c>
      <c r="I950" s="4" t="str">
        <f>IFERROR(__xludf.DUMMYFUNCTION("""COMPUTED_VALUE"""),"12:15:00Z")</f>
        <v>12:15:00Z</v>
      </c>
      <c r="J950" s="4" t="str">
        <f t="shared" si="2"/>
        <v>12:15:00</v>
      </c>
      <c r="K950" s="4">
        <f t="shared" si="3"/>
        <v>6</v>
      </c>
      <c r="L950" s="4">
        <f t="shared" si="4"/>
        <v>-0.1354166667</v>
      </c>
      <c r="M950" s="4">
        <f t="shared" si="5"/>
        <v>5.864583333</v>
      </c>
    </row>
    <row r="951">
      <c r="A951" s="4" t="s">
        <v>97</v>
      </c>
      <c r="B951" s="4" t="s">
        <v>562</v>
      </c>
      <c r="C951" s="4" t="s">
        <v>622</v>
      </c>
      <c r="D951" s="4" t="s">
        <v>623</v>
      </c>
      <c r="E951" s="10">
        <f>IFERROR(__xludf.DUMMYFUNCTION("SPLIT(B951,""T"")"),41778.0)</f>
        <v>41778</v>
      </c>
      <c r="F951" s="4" t="str">
        <f>IFERROR(__xludf.DUMMYFUNCTION("""COMPUTED_VALUE"""),"09:20:00Z")</f>
        <v>09:20:00Z</v>
      </c>
      <c r="G951" s="11" t="str">
        <f t="shared" si="1"/>
        <v>09:20:00</v>
      </c>
      <c r="H951" s="10">
        <f>IFERROR(__xludf.DUMMYFUNCTION("SPLIT(D951,""T"")"),41772.0)</f>
        <v>41772</v>
      </c>
      <c r="I951" s="4" t="str">
        <f>IFERROR(__xludf.DUMMYFUNCTION("""COMPUTED_VALUE"""),"14:00:00Z")</f>
        <v>14:00:00Z</v>
      </c>
      <c r="J951" s="4" t="str">
        <f t="shared" si="2"/>
        <v>14:00:00</v>
      </c>
      <c r="K951" s="4">
        <f t="shared" si="3"/>
        <v>6</v>
      </c>
      <c r="L951" s="4">
        <f t="shared" si="4"/>
        <v>-0.1944444444</v>
      </c>
      <c r="M951" s="4">
        <f t="shared" si="5"/>
        <v>5.805555556</v>
      </c>
    </row>
    <row r="952">
      <c r="A952" s="4" t="s">
        <v>58</v>
      </c>
      <c r="B952" s="4" t="s">
        <v>59</v>
      </c>
      <c r="C952" s="4" t="s">
        <v>60</v>
      </c>
      <c r="D952" s="4" t="s">
        <v>61</v>
      </c>
      <c r="E952" s="10">
        <f>IFERROR(__xludf.DUMMYFUNCTION("SPLIT(B952,""T"")"),41532.0)</f>
        <v>41532</v>
      </c>
      <c r="F952" s="4" t="str">
        <f>IFERROR(__xludf.DUMMYFUNCTION("""COMPUTED_VALUE"""),"07:30:00Z")</f>
        <v>07:30:00Z</v>
      </c>
      <c r="G952" s="11" t="str">
        <f t="shared" si="1"/>
        <v>07:30:00</v>
      </c>
      <c r="H952" s="10">
        <f>IFERROR(__xludf.DUMMYFUNCTION("SPLIT(D952,""T"")"),41526.0)</f>
        <v>41526</v>
      </c>
      <c r="I952" s="4" t="str">
        <f>IFERROR(__xludf.DUMMYFUNCTION("""COMPUTED_VALUE"""),"12:32:00Z")</f>
        <v>12:32:00Z</v>
      </c>
      <c r="J952" s="4" t="str">
        <f t="shared" si="2"/>
        <v>12:32:00</v>
      </c>
      <c r="K952" s="4">
        <f t="shared" si="3"/>
        <v>6</v>
      </c>
      <c r="L952" s="4">
        <f t="shared" si="4"/>
        <v>-0.2097222222</v>
      </c>
      <c r="M952" s="4">
        <f t="shared" si="5"/>
        <v>5.790277778</v>
      </c>
    </row>
    <row r="953">
      <c r="A953" s="4" t="s">
        <v>138</v>
      </c>
      <c r="B953" s="4" t="s">
        <v>1036</v>
      </c>
      <c r="C953" s="4" t="s">
        <v>1037</v>
      </c>
      <c r="D953" s="4" t="s">
        <v>1038</v>
      </c>
      <c r="E953" s="10">
        <f>IFERROR(__xludf.DUMMYFUNCTION("SPLIT(B953,""T"")"),42112.0)</f>
        <v>42112</v>
      </c>
      <c r="F953" s="4" t="str">
        <f>IFERROR(__xludf.DUMMYFUNCTION("""COMPUTED_VALUE"""),"23:50:00Z")</f>
        <v>23:50:00Z</v>
      </c>
      <c r="G953" s="11" t="str">
        <f t="shared" si="1"/>
        <v>23:50:00</v>
      </c>
      <c r="H953" s="10">
        <f>IFERROR(__xludf.DUMMYFUNCTION("SPLIT(D953,""T"")"),42107.0)</f>
        <v>42107</v>
      </c>
      <c r="I953" s="4" t="str">
        <f>IFERROR(__xludf.DUMMYFUNCTION("""COMPUTED_VALUE"""),"05:30:00Z")</f>
        <v>05:30:00Z</v>
      </c>
      <c r="J953" s="4" t="str">
        <f t="shared" si="2"/>
        <v>05:30:00</v>
      </c>
      <c r="K953" s="4">
        <f t="shared" si="3"/>
        <v>5</v>
      </c>
      <c r="L953" s="4">
        <f t="shared" si="4"/>
        <v>0.7638888889</v>
      </c>
      <c r="M953" s="4">
        <f t="shared" si="5"/>
        <v>5.763888889</v>
      </c>
    </row>
    <row r="954">
      <c r="A954" s="4" t="s">
        <v>62</v>
      </c>
      <c r="B954" s="4" t="s">
        <v>775</v>
      </c>
      <c r="C954" s="4" t="s">
        <v>776</v>
      </c>
      <c r="D954" s="4" t="s">
        <v>777</v>
      </c>
      <c r="E954" s="10">
        <f>IFERROR(__xludf.DUMMYFUNCTION("SPLIT(B954,""T"")"),41779.0)</f>
        <v>41779</v>
      </c>
      <c r="F954" s="4" t="str">
        <f>IFERROR(__xludf.DUMMYFUNCTION("""COMPUTED_VALUE"""),"11:30:00Z")</f>
        <v>11:30:00Z</v>
      </c>
      <c r="G954" s="11" t="str">
        <f t="shared" si="1"/>
        <v>11:30:00</v>
      </c>
      <c r="H954" s="10">
        <f>IFERROR(__xludf.DUMMYFUNCTION("SPLIT(D954,""T"")"),41773.0)</f>
        <v>41773</v>
      </c>
      <c r="I954" s="4" t="str">
        <f>IFERROR(__xludf.DUMMYFUNCTION("""COMPUTED_VALUE"""),"17:43:00Z")</f>
        <v>17:43:00Z</v>
      </c>
      <c r="J954" s="4" t="str">
        <f t="shared" si="2"/>
        <v>17:43:00</v>
      </c>
      <c r="K954" s="4">
        <f t="shared" si="3"/>
        <v>6</v>
      </c>
      <c r="L954" s="4">
        <f t="shared" si="4"/>
        <v>-0.2590277778</v>
      </c>
      <c r="M954" s="4">
        <f t="shared" si="5"/>
        <v>5.740972222</v>
      </c>
    </row>
    <row r="955">
      <c r="A955" s="4" t="s">
        <v>162</v>
      </c>
      <c r="B955" s="4" t="s">
        <v>871</v>
      </c>
      <c r="C955" s="4" t="s">
        <v>872</v>
      </c>
      <c r="D955" s="4" t="s">
        <v>873</v>
      </c>
      <c r="E955" s="10">
        <f>IFERROR(__xludf.DUMMYFUNCTION("SPLIT(B955,""T"")"),42047.0)</f>
        <v>42047</v>
      </c>
      <c r="F955" s="4" t="str">
        <f>IFERROR(__xludf.DUMMYFUNCTION("""COMPUTED_VALUE"""),"07:35:00Z")</f>
        <v>07:35:00Z</v>
      </c>
      <c r="G955" s="11" t="str">
        <f t="shared" si="1"/>
        <v>07:35:00</v>
      </c>
      <c r="H955" s="10">
        <f>IFERROR(__xludf.DUMMYFUNCTION("SPLIT(D955,""T"")"),42041.0)</f>
        <v>42041</v>
      </c>
      <c r="I955" s="4" t="str">
        <f>IFERROR(__xludf.DUMMYFUNCTION("""COMPUTED_VALUE"""),"14:07:00Z")</f>
        <v>14:07:00Z</v>
      </c>
      <c r="J955" s="4" t="str">
        <f t="shared" si="2"/>
        <v>14:07:00</v>
      </c>
      <c r="K955" s="4">
        <f t="shared" si="3"/>
        <v>6</v>
      </c>
      <c r="L955" s="4">
        <f t="shared" si="4"/>
        <v>-0.2722222222</v>
      </c>
      <c r="M955" s="4">
        <f t="shared" si="5"/>
        <v>5.727777778</v>
      </c>
    </row>
    <row r="956">
      <c r="A956" s="4" t="s">
        <v>874</v>
      </c>
      <c r="B956" s="4" t="s">
        <v>871</v>
      </c>
      <c r="C956" s="4" t="s">
        <v>872</v>
      </c>
      <c r="D956" s="4" t="s">
        <v>873</v>
      </c>
      <c r="E956" s="10">
        <f>IFERROR(__xludf.DUMMYFUNCTION("SPLIT(B956,""T"")"),42047.0)</f>
        <v>42047</v>
      </c>
      <c r="F956" s="4" t="str">
        <f>IFERROR(__xludf.DUMMYFUNCTION("""COMPUTED_VALUE"""),"07:35:00Z")</f>
        <v>07:35:00Z</v>
      </c>
      <c r="G956" s="11" t="str">
        <f t="shared" si="1"/>
        <v>07:35:00</v>
      </c>
      <c r="H956" s="10">
        <f>IFERROR(__xludf.DUMMYFUNCTION("SPLIT(D956,""T"")"),42041.0)</f>
        <v>42041</v>
      </c>
      <c r="I956" s="4" t="str">
        <f>IFERROR(__xludf.DUMMYFUNCTION("""COMPUTED_VALUE"""),"14:07:00Z")</f>
        <v>14:07:00Z</v>
      </c>
      <c r="J956" s="4" t="str">
        <f t="shared" si="2"/>
        <v>14:07:00</v>
      </c>
      <c r="K956" s="4">
        <f t="shared" si="3"/>
        <v>6</v>
      </c>
      <c r="L956" s="4">
        <f t="shared" si="4"/>
        <v>-0.2722222222</v>
      </c>
      <c r="M956" s="4">
        <f t="shared" si="5"/>
        <v>5.727777778</v>
      </c>
    </row>
    <row r="957">
      <c r="A957" s="4" t="s">
        <v>134</v>
      </c>
      <c r="B957" s="4" t="s">
        <v>32</v>
      </c>
      <c r="C957" s="4" t="s">
        <v>318</v>
      </c>
      <c r="D957" s="4" t="s">
        <v>319</v>
      </c>
      <c r="E957" s="10">
        <f>IFERROR(__xludf.DUMMYFUNCTION("SPLIT(B957,""T"")"),41516.0)</f>
        <v>41516</v>
      </c>
      <c r="F957" s="4" t="str">
        <f>IFERROR(__xludf.DUMMYFUNCTION("""COMPUTED_VALUE"""),"08:00:00Z")</f>
        <v>08:00:00Z</v>
      </c>
      <c r="G957" s="11" t="str">
        <f t="shared" si="1"/>
        <v>08:00:00</v>
      </c>
      <c r="H957" s="10">
        <f>IFERROR(__xludf.DUMMYFUNCTION("SPLIT(D957,""T"")"),41510.0)</f>
        <v>41510</v>
      </c>
      <c r="I957" s="4" t="str">
        <f>IFERROR(__xludf.DUMMYFUNCTION("""COMPUTED_VALUE"""),"15:09:00Z")</f>
        <v>15:09:00Z</v>
      </c>
      <c r="J957" s="4" t="str">
        <f t="shared" si="2"/>
        <v>15:09:00</v>
      </c>
      <c r="K957" s="4">
        <f t="shared" si="3"/>
        <v>6</v>
      </c>
      <c r="L957" s="4">
        <f t="shared" si="4"/>
        <v>-0.2979166667</v>
      </c>
      <c r="M957" s="4">
        <f t="shared" si="5"/>
        <v>5.702083333</v>
      </c>
    </row>
    <row r="958">
      <c r="A958" s="4" t="s">
        <v>134</v>
      </c>
      <c r="B958" s="4" t="s">
        <v>222</v>
      </c>
      <c r="C958" s="4" t="s">
        <v>223</v>
      </c>
      <c r="D958" s="4" t="s">
        <v>224</v>
      </c>
      <c r="E958" s="10">
        <f>IFERROR(__xludf.DUMMYFUNCTION("SPLIT(B958,""T"")"),41547.0)</f>
        <v>41547</v>
      </c>
      <c r="F958" s="4" t="str">
        <f>IFERROR(__xludf.DUMMYFUNCTION("""COMPUTED_VALUE"""),"08:30:00Z")</f>
        <v>08:30:00Z</v>
      </c>
      <c r="G958" s="11" t="str">
        <f t="shared" si="1"/>
        <v>08:30:00</v>
      </c>
      <c r="H958" s="10">
        <f>IFERROR(__xludf.DUMMYFUNCTION("SPLIT(D958,""T"")"),41541.0)</f>
        <v>41541</v>
      </c>
      <c r="I958" s="4" t="str">
        <f>IFERROR(__xludf.DUMMYFUNCTION("""COMPUTED_VALUE"""),"15:51:00Z")</f>
        <v>15:51:00Z</v>
      </c>
      <c r="J958" s="4" t="str">
        <f t="shared" si="2"/>
        <v>15:51:00</v>
      </c>
      <c r="K958" s="4">
        <f t="shared" si="3"/>
        <v>6</v>
      </c>
      <c r="L958" s="4">
        <f t="shared" si="4"/>
        <v>-0.30625</v>
      </c>
      <c r="M958" s="4">
        <f t="shared" si="5"/>
        <v>5.69375</v>
      </c>
    </row>
    <row r="959">
      <c r="A959" s="4" t="s">
        <v>73</v>
      </c>
      <c r="B959" s="4" t="s">
        <v>74</v>
      </c>
      <c r="C959" s="4" t="s">
        <v>75</v>
      </c>
      <c r="D959" s="4" t="s">
        <v>76</v>
      </c>
      <c r="E959" s="10">
        <f>IFERROR(__xludf.DUMMYFUNCTION("SPLIT(B959,""T"")"),41605.0)</f>
        <v>41605</v>
      </c>
      <c r="F959" s="4" t="str">
        <f>IFERROR(__xludf.DUMMYFUNCTION("""COMPUTED_VALUE"""),"18:15:00Z")</f>
        <v>18:15:00Z</v>
      </c>
      <c r="G959" s="11" t="str">
        <f t="shared" si="1"/>
        <v>18:15:00</v>
      </c>
      <c r="H959" s="10">
        <f>IFERROR(__xludf.DUMMYFUNCTION("SPLIT(D959,""T"")"),41600.0)</f>
        <v>41600</v>
      </c>
      <c r="I959" s="4" t="str">
        <f>IFERROR(__xludf.DUMMYFUNCTION("""COMPUTED_VALUE"""),"02:04:00Z")</f>
        <v>02:04:00Z</v>
      </c>
      <c r="J959" s="4" t="str">
        <f t="shared" si="2"/>
        <v>02:04:00</v>
      </c>
      <c r="K959" s="4">
        <f t="shared" si="3"/>
        <v>5</v>
      </c>
      <c r="L959" s="4">
        <f t="shared" si="4"/>
        <v>0.6743055556</v>
      </c>
      <c r="M959" s="4">
        <f t="shared" si="5"/>
        <v>5.674305556</v>
      </c>
    </row>
    <row r="960">
      <c r="A960" s="4" t="s">
        <v>46</v>
      </c>
      <c r="B960" s="4" t="s">
        <v>1366</v>
      </c>
      <c r="C960" s="4" t="s">
        <v>1234</v>
      </c>
      <c r="D960" s="4" t="s">
        <v>1367</v>
      </c>
      <c r="E960" s="10">
        <f>IFERROR(__xludf.DUMMYFUNCTION("SPLIT(B960,""T"")"),42612.0)</f>
        <v>42612</v>
      </c>
      <c r="F960" s="4" t="str">
        <f>IFERROR(__xludf.DUMMYFUNCTION("""COMPUTED_VALUE"""),"06:45:00Z")</f>
        <v>06:45:00Z</v>
      </c>
      <c r="G960" s="11" t="str">
        <f t="shared" si="1"/>
        <v>06:45:00</v>
      </c>
      <c r="H960" s="10">
        <f>IFERROR(__xludf.DUMMYFUNCTION("SPLIT(D960,""T"")"),42606.0)</f>
        <v>42606</v>
      </c>
      <c r="I960" s="4" t="str">
        <f>IFERROR(__xludf.DUMMYFUNCTION("""COMPUTED_VALUE"""),"14:55:00Z")</f>
        <v>14:55:00Z</v>
      </c>
      <c r="J960" s="4" t="str">
        <f t="shared" si="2"/>
        <v>14:55:00</v>
      </c>
      <c r="K960" s="4">
        <f t="shared" si="3"/>
        <v>6</v>
      </c>
      <c r="L960" s="4">
        <f t="shared" si="4"/>
        <v>-0.3402777778</v>
      </c>
      <c r="M960" s="4">
        <f t="shared" si="5"/>
        <v>5.659722222</v>
      </c>
    </row>
    <row r="961">
      <c r="A961" s="4" t="s">
        <v>27</v>
      </c>
      <c r="B961" s="4" t="s">
        <v>3555</v>
      </c>
      <c r="C961" s="4" t="s">
        <v>3556</v>
      </c>
      <c r="D961" s="4" t="s">
        <v>3557</v>
      </c>
      <c r="E961" s="10">
        <f>IFERROR(__xludf.DUMMYFUNCTION("SPLIT(B961,""T"")"),43609.0)</f>
        <v>43609</v>
      </c>
      <c r="F961" s="4" t="str">
        <f>IFERROR(__xludf.DUMMYFUNCTION("""COMPUTED_VALUE"""),"14:23:00Z")</f>
        <v>14:23:00Z</v>
      </c>
      <c r="G961" s="11" t="str">
        <f t="shared" si="1"/>
        <v>14:23:00</v>
      </c>
      <c r="H961" s="10">
        <f>IFERROR(__xludf.DUMMYFUNCTION("SPLIT(D961,""T"")"),43603.0)</f>
        <v>43603</v>
      </c>
      <c r="I961" s="4" t="str">
        <f>IFERROR(__xludf.DUMMYFUNCTION("""COMPUTED_VALUE"""),"22:53:00Z")</f>
        <v>22:53:00Z</v>
      </c>
      <c r="J961" s="4" t="str">
        <f t="shared" si="2"/>
        <v>22:53:00</v>
      </c>
      <c r="K961" s="4">
        <f t="shared" si="3"/>
        <v>6</v>
      </c>
      <c r="L961" s="4">
        <f t="shared" si="4"/>
        <v>-0.3541666667</v>
      </c>
      <c r="M961" s="4">
        <f t="shared" si="5"/>
        <v>5.645833333</v>
      </c>
    </row>
    <row r="962">
      <c r="A962" s="4" t="s">
        <v>62</v>
      </c>
      <c r="B962" s="4" t="s">
        <v>3767</v>
      </c>
      <c r="C962" s="4" t="s">
        <v>311</v>
      </c>
      <c r="D962" s="4" t="s">
        <v>3768</v>
      </c>
      <c r="E962" s="10">
        <f>IFERROR(__xludf.DUMMYFUNCTION("SPLIT(B962,""T"")"),43604.0)</f>
        <v>43604</v>
      </c>
      <c r="F962" s="4" t="str">
        <f>IFERROR(__xludf.DUMMYFUNCTION("""COMPUTED_VALUE"""),"09:26:00Z")</f>
        <v>09:26:00Z</v>
      </c>
      <c r="G962" s="11" t="str">
        <f t="shared" si="1"/>
        <v>09:26:00</v>
      </c>
      <c r="H962" s="10">
        <f>IFERROR(__xludf.DUMMYFUNCTION("SPLIT(D962,""T"")"),43598.0)</f>
        <v>43598</v>
      </c>
      <c r="I962" s="4" t="str">
        <f>IFERROR(__xludf.DUMMYFUNCTION("""COMPUTED_VALUE"""),"18:46:00Z")</f>
        <v>18:46:00Z</v>
      </c>
      <c r="J962" s="4" t="str">
        <f t="shared" si="2"/>
        <v>18:46:00</v>
      </c>
      <c r="K962" s="4">
        <f t="shared" si="3"/>
        <v>6</v>
      </c>
      <c r="L962" s="4">
        <f t="shared" si="4"/>
        <v>-0.3888888889</v>
      </c>
      <c r="M962" s="4">
        <f t="shared" si="5"/>
        <v>5.611111111</v>
      </c>
    </row>
    <row r="963">
      <c r="A963" s="4" t="s">
        <v>69</v>
      </c>
      <c r="B963" s="4" t="s">
        <v>118</v>
      </c>
      <c r="C963" s="4" t="s">
        <v>119</v>
      </c>
      <c r="D963" s="4" t="s">
        <v>120</v>
      </c>
      <c r="E963" s="10">
        <f>IFERROR(__xludf.DUMMYFUNCTION("SPLIT(B963,""T"")"),41510.0)</f>
        <v>41510</v>
      </c>
      <c r="F963" s="4" t="str">
        <f>IFERROR(__xludf.DUMMYFUNCTION("""COMPUTED_VALUE"""),"13:45:00Z")</f>
        <v>13:45:00Z</v>
      </c>
      <c r="G963" s="11" t="str">
        <f t="shared" si="1"/>
        <v>13:45:00</v>
      </c>
      <c r="H963" s="10">
        <f>IFERROR(__xludf.DUMMYFUNCTION("SPLIT(D963,""T"")"),41504.0)</f>
        <v>41504</v>
      </c>
      <c r="I963" s="4" t="str">
        <f>IFERROR(__xludf.DUMMYFUNCTION("""COMPUTED_VALUE"""),"23:12:00Z")</f>
        <v>23:12:00Z</v>
      </c>
      <c r="J963" s="4" t="str">
        <f t="shared" si="2"/>
        <v>23:12:00</v>
      </c>
      <c r="K963" s="4">
        <f t="shared" si="3"/>
        <v>6</v>
      </c>
      <c r="L963" s="4">
        <f t="shared" si="4"/>
        <v>-0.39375</v>
      </c>
      <c r="M963" s="4">
        <f t="shared" si="5"/>
        <v>5.60625</v>
      </c>
    </row>
    <row r="964">
      <c r="A964" s="4" t="s">
        <v>27</v>
      </c>
      <c r="B964" s="4" t="s">
        <v>917</v>
      </c>
      <c r="C964" s="4" t="s">
        <v>653</v>
      </c>
      <c r="D964" s="4" t="s">
        <v>918</v>
      </c>
      <c r="E964" s="10">
        <f>IFERROR(__xludf.DUMMYFUNCTION("SPLIT(B964,""T"")"),42118.0)</f>
        <v>42118</v>
      </c>
      <c r="F964" s="4" t="str">
        <f>IFERROR(__xludf.DUMMYFUNCTION("""COMPUTED_VALUE"""),"07:30:00Z")</f>
        <v>07:30:00Z</v>
      </c>
      <c r="G964" s="11" t="str">
        <f t="shared" si="1"/>
        <v>07:30:00</v>
      </c>
      <c r="H964" s="10">
        <f>IFERROR(__xludf.DUMMYFUNCTION("SPLIT(D964,""T"")"),42112.0)</f>
        <v>42112</v>
      </c>
      <c r="I964" s="4" t="str">
        <f>IFERROR(__xludf.DUMMYFUNCTION("""COMPUTED_VALUE"""),"18:12:00Z")</f>
        <v>18:12:00Z</v>
      </c>
      <c r="J964" s="4" t="str">
        <f t="shared" si="2"/>
        <v>18:12:00</v>
      </c>
      <c r="K964" s="4">
        <f t="shared" si="3"/>
        <v>6</v>
      </c>
      <c r="L964" s="4">
        <f t="shared" si="4"/>
        <v>-0.4458333333</v>
      </c>
      <c r="M964" s="4">
        <f t="shared" si="5"/>
        <v>5.554166667</v>
      </c>
    </row>
    <row r="965">
      <c r="A965" s="4" t="s">
        <v>134</v>
      </c>
      <c r="B965" s="4" t="s">
        <v>202</v>
      </c>
      <c r="C965" s="4" t="s">
        <v>203</v>
      </c>
      <c r="D965" s="4" t="s">
        <v>204</v>
      </c>
      <c r="E965" s="10">
        <f>IFERROR(__xludf.DUMMYFUNCTION("SPLIT(B965,""T"")"),41499.0)</f>
        <v>41499</v>
      </c>
      <c r="F965" s="4" t="str">
        <f>IFERROR(__xludf.DUMMYFUNCTION("""COMPUTED_VALUE"""),"23:45:00Z")</f>
        <v>23:45:00Z</v>
      </c>
      <c r="G965" s="11" t="str">
        <f t="shared" si="1"/>
        <v>23:45:00</v>
      </c>
      <c r="H965" s="10">
        <f>IFERROR(__xludf.DUMMYFUNCTION("SPLIT(D965,""T"")"),41494.0)</f>
        <v>41494</v>
      </c>
      <c r="I965" s="4" t="str">
        <f>IFERROR(__xludf.DUMMYFUNCTION("""COMPUTED_VALUE"""),"12:15:00Z")</f>
        <v>12:15:00Z</v>
      </c>
      <c r="J965" s="4" t="str">
        <f t="shared" si="2"/>
        <v>12:15:00</v>
      </c>
      <c r="K965" s="4">
        <f t="shared" si="3"/>
        <v>5</v>
      </c>
      <c r="L965" s="4">
        <f t="shared" si="4"/>
        <v>0.4791666667</v>
      </c>
      <c r="M965" s="4">
        <f t="shared" si="5"/>
        <v>5.479166667</v>
      </c>
    </row>
    <row r="966">
      <c r="A966" s="4" t="s">
        <v>134</v>
      </c>
      <c r="B966" s="4" t="s">
        <v>585</v>
      </c>
      <c r="C966" s="4" t="s">
        <v>586</v>
      </c>
      <c r="D966" s="4" t="s">
        <v>587</v>
      </c>
      <c r="E966" s="10">
        <f>IFERROR(__xludf.DUMMYFUNCTION("SPLIT(B966,""T"")"),41764.0)</f>
        <v>41764</v>
      </c>
      <c r="F966" s="4" t="str">
        <f>IFERROR(__xludf.DUMMYFUNCTION("""COMPUTED_VALUE"""),"17:30:00Z")</f>
        <v>17:30:00Z</v>
      </c>
      <c r="G966" s="11" t="str">
        <f t="shared" si="1"/>
        <v>17:30:00</v>
      </c>
      <c r="H966" s="10">
        <f>IFERROR(__xludf.DUMMYFUNCTION("SPLIT(D966,""T"")"),41759.0)</f>
        <v>41759</v>
      </c>
      <c r="I966" s="4" t="str">
        <f>IFERROR(__xludf.DUMMYFUNCTION("""COMPUTED_VALUE"""),"08:00:00Z")</f>
        <v>08:00:00Z</v>
      </c>
      <c r="J966" s="4" t="str">
        <f t="shared" si="2"/>
        <v>08:00:00</v>
      </c>
      <c r="K966" s="4">
        <f t="shared" si="3"/>
        <v>5</v>
      </c>
      <c r="L966" s="4">
        <f t="shared" si="4"/>
        <v>0.3958333333</v>
      </c>
      <c r="M966" s="4">
        <f t="shared" si="5"/>
        <v>5.395833333</v>
      </c>
    </row>
    <row r="967">
      <c r="A967" s="4" t="s">
        <v>62</v>
      </c>
      <c r="B967" s="4" t="s">
        <v>902</v>
      </c>
      <c r="C967" s="4" t="s">
        <v>903</v>
      </c>
      <c r="D967" s="4" t="s">
        <v>904</v>
      </c>
      <c r="E967" s="10">
        <f>IFERROR(__xludf.DUMMYFUNCTION("SPLIT(B967,""T"")"),42234.0)</f>
        <v>42234</v>
      </c>
      <c r="F967" s="4" t="str">
        <f>IFERROR(__xludf.DUMMYFUNCTION("""COMPUTED_VALUE"""),"19:00:00Z")</f>
        <v>19:00:00Z</v>
      </c>
      <c r="G967" s="11" t="str">
        <f t="shared" si="1"/>
        <v>19:00:00</v>
      </c>
      <c r="H967" s="10">
        <f>IFERROR(__xludf.DUMMYFUNCTION("SPLIT(D967,""T"")"),42229.0)</f>
        <v>42229</v>
      </c>
      <c r="I967" s="4" t="str">
        <f>IFERROR(__xludf.DUMMYFUNCTION("""COMPUTED_VALUE"""),"13:03:00Z")</f>
        <v>13:03:00Z</v>
      </c>
      <c r="J967" s="4" t="str">
        <f t="shared" si="2"/>
        <v>13:03:00</v>
      </c>
      <c r="K967" s="4">
        <f t="shared" si="3"/>
        <v>5</v>
      </c>
      <c r="L967" s="4">
        <f t="shared" si="4"/>
        <v>0.2479166667</v>
      </c>
      <c r="M967" s="4">
        <f t="shared" si="5"/>
        <v>5.247916667</v>
      </c>
    </row>
    <row r="968">
      <c r="A968" s="4" t="s">
        <v>27</v>
      </c>
      <c r="B968" s="4" t="s">
        <v>934</v>
      </c>
      <c r="C968" s="4" t="s">
        <v>935</v>
      </c>
      <c r="D968" s="4" t="s">
        <v>936</v>
      </c>
      <c r="E968" s="10">
        <f>IFERROR(__xludf.DUMMYFUNCTION("SPLIT(B968,""T"")"),42231.0)</f>
        <v>42231</v>
      </c>
      <c r="F968" s="4" t="str">
        <f>IFERROR(__xludf.DUMMYFUNCTION("""COMPUTED_VALUE"""),"17:30:00Z")</f>
        <v>17:30:00Z</v>
      </c>
      <c r="G968" s="11" t="str">
        <f t="shared" si="1"/>
        <v>17:30:00</v>
      </c>
      <c r="H968" s="10">
        <f>IFERROR(__xludf.DUMMYFUNCTION("SPLIT(D968,""T"")"),42226.0)</f>
        <v>42226</v>
      </c>
      <c r="I968" s="4" t="str">
        <f>IFERROR(__xludf.DUMMYFUNCTION("""COMPUTED_VALUE"""),"11:44:00Z")</f>
        <v>11:44:00Z</v>
      </c>
      <c r="J968" s="4" t="str">
        <f t="shared" si="2"/>
        <v>11:44:00</v>
      </c>
      <c r="K968" s="4">
        <f t="shared" si="3"/>
        <v>5</v>
      </c>
      <c r="L968" s="4">
        <f t="shared" si="4"/>
        <v>0.2402777778</v>
      </c>
      <c r="M968" s="4">
        <f t="shared" si="5"/>
        <v>5.240277778</v>
      </c>
    </row>
    <row r="969">
      <c r="A969" s="4" t="s">
        <v>87</v>
      </c>
      <c r="B969" s="4" t="s">
        <v>952</v>
      </c>
      <c r="C969" s="4" t="s">
        <v>89</v>
      </c>
      <c r="D969" s="4" t="s">
        <v>953</v>
      </c>
      <c r="E969" s="10">
        <f>IFERROR(__xludf.DUMMYFUNCTION("SPLIT(B969,""T"")"),42219.0)</f>
        <v>42219</v>
      </c>
      <c r="F969" s="4" t="str">
        <f>IFERROR(__xludf.DUMMYFUNCTION("""COMPUTED_VALUE"""),"17:00:00Z")</f>
        <v>17:00:00Z</v>
      </c>
      <c r="G969" s="11" t="str">
        <f t="shared" si="1"/>
        <v>17:00:00</v>
      </c>
      <c r="H969" s="10">
        <f>IFERROR(__xludf.DUMMYFUNCTION("SPLIT(D969,""T"")"),42214.0)</f>
        <v>42214</v>
      </c>
      <c r="I969" s="4" t="str">
        <f>IFERROR(__xludf.DUMMYFUNCTION("""COMPUTED_VALUE"""),"11:25:00Z")</f>
        <v>11:25:00Z</v>
      </c>
      <c r="J969" s="4" t="str">
        <f t="shared" si="2"/>
        <v>11:25:00</v>
      </c>
      <c r="K969" s="4">
        <f t="shared" si="3"/>
        <v>5</v>
      </c>
      <c r="L969" s="4">
        <f t="shared" si="4"/>
        <v>0.2326388889</v>
      </c>
      <c r="M969" s="4">
        <f t="shared" si="5"/>
        <v>5.232638889</v>
      </c>
    </row>
    <row r="970">
      <c r="A970" s="4" t="s">
        <v>320</v>
      </c>
      <c r="B970" s="4" t="s">
        <v>3450</v>
      </c>
      <c r="C970" s="4" t="s">
        <v>3451</v>
      </c>
      <c r="D970" s="4" t="s">
        <v>3452</v>
      </c>
      <c r="E970" s="10">
        <f>IFERROR(__xludf.DUMMYFUNCTION("SPLIT(B970,""T"")"),43719.0)</f>
        <v>43719</v>
      </c>
      <c r="F970" s="4" t="str">
        <f>IFERROR(__xludf.DUMMYFUNCTION("""COMPUTED_VALUE"""),"18:30:00Z")</f>
        <v>18:30:00Z</v>
      </c>
      <c r="G970" s="11" t="str">
        <f t="shared" si="1"/>
        <v>18:30:00</v>
      </c>
      <c r="H970" s="10">
        <f>IFERROR(__xludf.DUMMYFUNCTION("SPLIT(D970,""T"")"),43714.0)</f>
        <v>43714</v>
      </c>
      <c r="I970" s="4" t="str">
        <f>IFERROR(__xludf.DUMMYFUNCTION("""COMPUTED_VALUE"""),"13:20:00Z")</f>
        <v>13:20:00Z</v>
      </c>
      <c r="J970" s="4" t="str">
        <f t="shared" si="2"/>
        <v>13:20:00</v>
      </c>
      <c r="K970" s="4">
        <f t="shared" si="3"/>
        <v>5</v>
      </c>
      <c r="L970" s="4">
        <f t="shared" si="4"/>
        <v>0.2152777778</v>
      </c>
      <c r="M970" s="4">
        <f t="shared" si="5"/>
        <v>5.215277778</v>
      </c>
    </row>
    <row r="971">
      <c r="A971" s="4" t="s">
        <v>388</v>
      </c>
      <c r="B971" s="4" t="s">
        <v>678</v>
      </c>
      <c r="C971" s="4" t="s">
        <v>679</v>
      </c>
      <c r="D971" s="4" t="s">
        <v>680</v>
      </c>
      <c r="E971" s="10">
        <f>IFERROR(__xludf.DUMMYFUNCTION("SPLIT(B971,""T"")"),41900.0)</f>
        <v>41900</v>
      </c>
      <c r="F971" s="4" t="str">
        <f>IFERROR(__xludf.DUMMYFUNCTION("""COMPUTED_VALUE"""),"18:45:00Z")</f>
        <v>18:45:00Z</v>
      </c>
      <c r="G971" s="11" t="str">
        <f t="shared" si="1"/>
        <v>18:45:00</v>
      </c>
      <c r="H971" s="10">
        <f>IFERROR(__xludf.DUMMYFUNCTION("SPLIT(D971,""T"")"),41895.0)</f>
        <v>41895</v>
      </c>
      <c r="I971" s="4" t="str">
        <f>IFERROR(__xludf.DUMMYFUNCTION("""COMPUTED_VALUE"""),"14:07:00Z")</f>
        <v>14:07:00Z</v>
      </c>
      <c r="J971" s="4" t="str">
        <f t="shared" si="2"/>
        <v>14:07:00</v>
      </c>
      <c r="K971" s="4">
        <f t="shared" si="3"/>
        <v>5</v>
      </c>
      <c r="L971" s="4">
        <f t="shared" si="4"/>
        <v>0.1930555556</v>
      </c>
      <c r="M971" s="4">
        <f t="shared" si="5"/>
        <v>5.193055556</v>
      </c>
    </row>
    <row r="972">
      <c r="A972" s="4" t="s">
        <v>27</v>
      </c>
      <c r="B972" s="4" t="s">
        <v>43</v>
      </c>
      <c r="C972" s="4" t="s">
        <v>44</v>
      </c>
      <c r="D972" s="4" t="s">
        <v>45</v>
      </c>
      <c r="E972" s="10">
        <f>IFERROR(__xludf.DUMMYFUNCTION("SPLIT(B972,""T"")"),41498.0)</f>
        <v>41498</v>
      </c>
      <c r="F972" s="4" t="str">
        <f>IFERROR(__xludf.DUMMYFUNCTION("""COMPUTED_VALUE"""),"18:00:00Z")</f>
        <v>18:00:00Z</v>
      </c>
      <c r="G972" s="11" t="str">
        <f t="shared" si="1"/>
        <v>18:00:00</v>
      </c>
      <c r="H972" s="10">
        <f>IFERROR(__xludf.DUMMYFUNCTION("SPLIT(D972,""T"")"),41493.0)</f>
        <v>41493</v>
      </c>
      <c r="I972" s="4" t="str">
        <f>IFERROR(__xludf.DUMMYFUNCTION("""COMPUTED_VALUE"""),"14:05:00Z")</f>
        <v>14:05:00Z</v>
      </c>
      <c r="J972" s="4" t="str">
        <f t="shared" si="2"/>
        <v>14:05:00</v>
      </c>
      <c r="K972" s="4">
        <f t="shared" si="3"/>
        <v>5</v>
      </c>
      <c r="L972" s="4">
        <f t="shared" si="4"/>
        <v>0.1631944444</v>
      </c>
      <c r="M972" s="4">
        <f t="shared" si="5"/>
        <v>5.163194444</v>
      </c>
    </row>
    <row r="973">
      <c r="A973" s="4" t="s">
        <v>101</v>
      </c>
      <c r="B973" s="4" t="s">
        <v>663</v>
      </c>
      <c r="C973" s="4" t="s">
        <v>664</v>
      </c>
      <c r="D973" s="4" t="s">
        <v>665</v>
      </c>
      <c r="E973" s="10">
        <f>IFERROR(__xludf.DUMMYFUNCTION("SPLIT(B973,""T"")"),41924.0)</f>
        <v>41924</v>
      </c>
      <c r="F973" s="4" t="str">
        <f>IFERROR(__xludf.DUMMYFUNCTION("""COMPUTED_VALUE"""),"18:00:00Z")</f>
        <v>18:00:00Z</v>
      </c>
      <c r="G973" s="11" t="str">
        <f t="shared" si="1"/>
        <v>18:00:00</v>
      </c>
      <c r="H973" s="10">
        <f>IFERROR(__xludf.DUMMYFUNCTION("SPLIT(D973,""T"")"),41919.0)</f>
        <v>41919</v>
      </c>
      <c r="I973" s="4" t="str">
        <f>IFERROR(__xludf.DUMMYFUNCTION("""COMPUTED_VALUE"""),"15:05:00Z")</f>
        <v>15:05:00Z</v>
      </c>
      <c r="J973" s="4" t="str">
        <f t="shared" si="2"/>
        <v>15:05:00</v>
      </c>
      <c r="K973" s="4">
        <f t="shared" si="3"/>
        <v>5</v>
      </c>
      <c r="L973" s="4">
        <f t="shared" si="4"/>
        <v>0.1215277778</v>
      </c>
      <c r="M973" s="4">
        <f t="shared" si="5"/>
        <v>5.121527778</v>
      </c>
    </row>
    <row r="974">
      <c r="A974" s="4" t="s">
        <v>435</v>
      </c>
      <c r="B974" s="4" t="s">
        <v>1461</v>
      </c>
      <c r="C974" s="4" t="s">
        <v>1462</v>
      </c>
      <c r="D974" s="4" t="s">
        <v>1463</v>
      </c>
      <c r="E974" s="10">
        <f>IFERROR(__xludf.DUMMYFUNCTION("SPLIT(B974,""T"")"),42618.0)</f>
        <v>42618</v>
      </c>
      <c r="F974" s="4" t="str">
        <f>IFERROR(__xludf.DUMMYFUNCTION("""COMPUTED_VALUE"""),"06:55:00Z")</f>
        <v>06:55:00Z</v>
      </c>
      <c r="G974" s="11" t="str">
        <f t="shared" si="1"/>
        <v>06:55:00</v>
      </c>
      <c r="H974" s="10">
        <f>IFERROR(__xludf.DUMMYFUNCTION("SPLIT(D974,""T"")"),42613.0)</f>
        <v>42613</v>
      </c>
      <c r="I974" s="4" t="str">
        <f>IFERROR(__xludf.DUMMYFUNCTION("""COMPUTED_VALUE"""),"04:10:00Z")</f>
        <v>04:10:00Z</v>
      </c>
      <c r="J974" s="4" t="str">
        <f t="shared" si="2"/>
        <v>04:10:00</v>
      </c>
      <c r="K974" s="4">
        <f t="shared" si="3"/>
        <v>5</v>
      </c>
      <c r="L974" s="4">
        <f t="shared" si="4"/>
        <v>0.1145833333</v>
      </c>
      <c r="M974" s="4">
        <f t="shared" si="5"/>
        <v>5.114583333</v>
      </c>
    </row>
    <row r="975">
      <c r="A975" s="4" t="s">
        <v>134</v>
      </c>
      <c r="B975" s="4" t="s">
        <v>3492</v>
      </c>
      <c r="C975" s="4" t="s">
        <v>3493</v>
      </c>
      <c r="D975" s="4" t="s">
        <v>3494</v>
      </c>
      <c r="E975" s="10">
        <f>IFERROR(__xludf.DUMMYFUNCTION("SPLIT(B975,""T"")"),43774.0)</f>
        <v>43774</v>
      </c>
      <c r="F975" s="4" t="str">
        <f>IFERROR(__xludf.DUMMYFUNCTION("""COMPUTED_VALUE"""),"09:03:00Z")</f>
        <v>09:03:00Z</v>
      </c>
      <c r="G975" s="11" t="str">
        <f t="shared" si="1"/>
        <v>09:03:00</v>
      </c>
      <c r="H975" s="10">
        <f>IFERROR(__xludf.DUMMYFUNCTION("SPLIT(D975,""T"")"),43769.0)</f>
        <v>43769</v>
      </c>
      <c r="I975" s="4" t="str">
        <f>IFERROR(__xludf.DUMMYFUNCTION("""COMPUTED_VALUE"""),"06:53:47Z")</f>
        <v>06:53:47Z</v>
      </c>
      <c r="J975" s="4" t="str">
        <f t="shared" si="2"/>
        <v>06:53:47</v>
      </c>
      <c r="K975" s="4">
        <f t="shared" si="3"/>
        <v>5</v>
      </c>
      <c r="L975" s="4">
        <f t="shared" si="4"/>
        <v>0.0897337963</v>
      </c>
      <c r="M975" s="4">
        <f t="shared" si="5"/>
        <v>5.089733796</v>
      </c>
    </row>
    <row r="976">
      <c r="A976" s="4" t="s">
        <v>630</v>
      </c>
      <c r="B976" s="4" t="s">
        <v>3439</v>
      </c>
      <c r="C976" s="4" t="s">
        <v>3440</v>
      </c>
      <c r="D976" s="4" t="s">
        <v>3441</v>
      </c>
      <c r="E976" s="10">
        <f>IFERROR(__xludf.DUMMYFUNCTION("SPLIT(B976,""T"")"),43720.0)</f>
        <v>43720</v>
      </c>
      <c r="F976" s="4" t="str">
        <f>IFERROR(__xludf.DUMMYFUNCTION("""COMPUTED_VALUE"""),"10:08:00Z")</f>
        <v>10:08:00Z</v>
      </c>
      <c r="G976" s="11" t="str">
        <f t="shared" si="1"/>
        <v>10:08:00</v>
      </c>
      <c r="H976" s="10">
        <f>IFERROR(__xludf.DUMMYFUNCTION("SPLIT(D976,""T"")"),43715.0)</f>
        <v>43715</v>
      </c>
      <c r="I976" s="4" t="str">
        <f>IFERROR(__xludf.DUMMYFUNCTION("""COMPUTED_VALUE"""),"08:49:58Z")</f>
        <v>08:49:58Z</v>
      </c>
      <c r="J976" s="4" t="str">
        <f t="shared" si="2"/>
        <v>08:49:58</v>
      </c>
      <c r="K976" s="4">
        <f t="shared" si="3"/>
        <v>5</v>
      </c>
      <c r="L976" s="4">
        <f t="shared" si="4"/>
        <v>0.05418981481</v>
      </c>
      <c r="M976" s="4">
        <f t="shared" si="5"/>
        <v>5.054189815</v>
      </c>
    </row>
    <row r="977">
      <c r="A977" s="4" t="s">
        <v>313</v>
      </c>
      <c r="B977" s="4" t="s">
        <v>3468</v>
      </c>
      <c r="C977" s="4" t="s">
        <v>3469</v>
      </c>
      <c r="D977" s="4" t="s">
        <v>3470</v>
      </c>
      <c r="E977" s="10">
        <f>IFERROR(__xludf.DUMMYFUNCTION("SPLIT(B977,""T"")"),43694.0)</f>
        <v>43694</v>
      </c>
      <c r="F977" s="4" t="str">
        <f>IFERROR(__xludf.DUMMYFUNCTION("""COMPUTED_VALUE"""),"18:15:00Z")</f>
        <v>18:15:00Z</v>
      </c>
      <c r="G977" s="11" t="str">
        <f t="shared" si="1"/>
        <v>18:15:00</v>
      </c>
      <c r="H977" s="10">
        <f>IFERROR(__xludf.DUMMYFUNCTION("SPLIT(D977,""T"")"),43689.0)</f>
        <v>43689</v>
      </c>
      <c r="I977" s="4" t="str">
        <f>IFERROR(__xludf.DUMMYFUNCTION("""COMPUTED_VALUE"""),"17:10:00Z")</f>
        <v>17:10:00Z</v>
      </c>
      <c r="J977" s="4" t="str">
        <f t="shared" si="2"/>
        <v>17:10:00</v>
      </c>
      <c r="K977" s="4">
        <f t="shared" si="3"/>
        <v>5</v>
      </c>
      <c r="L977" s="4">
        <f t="shared" si="4"/>
        <v>0.04513888889</v>
      </c>
      <c r="M977" s="4">
        <f t="shared" si="5"/>
        <v>5.045138889</v>
      </c>
    </row>
    <row r="978">
      <c r="A978" s="4" t="s">
        <v>80</v>
      </c>
      <c r="B978" s="4" t="s">
        <v>3765</v>
      </c>
      <c r="C978" s="4" t="s">
        <v>879</v>
      </c>
      <c r="D978" s="4" t="s">
        <v>3766</v>
      </c>
      <c r="E978" s="10">
        <f>IFERROR(__xludf.DUMMYFUNCTION("SPLIT(B978,""T"")"),43627.0)</f>
        <v>43627</v>
      </c>
      <c r="F978" s="4" t="str">
        <f>IFERROR(__xludf.DUMMYFUNCTION("""COMPUTED_VALUE"""),"14:47:00Z")</f>
        <v>14:47:00Z</v>
      </c>
      <c r="G978" s="11" t="str">
        <f t="shared" si="1"/>
        <v>14:47:00</v>
      </c>
      <c r="H978" s="10">
        <f>IFERROR(__xludf.DUMMYFUNCTION("SPLIT(D978,""T"")"),43622.0)</f>
        <v>43622</v>
      </c>
      <c r="I978" s="4" t="str">
        <f>IFERROR(__xludf.DUMMYFUNCTION("""COMPUTED_VALUE"""),"14:24:00Z")</f>
        <v>14:24:00Z</v>
      </c>
      <c r="J978" s="4" t="str">
        <f t="shared" si="2"/>
        <v>14:24:00</v>
      </c>
      <c r="K978" s="4">
        <f t="shared" si="3"/>
        <v>5</v>
      </c>
      <c r="L978" s="4">
        <f t="shared" si="4"/>
        <v>0.01597222222</v>
      </c>
      <c r="M978" s="4">
        <f t="shared" si="5"/>
        <v>5.015972222</v>
      </c>
    </row>
    <row r="979">
      <c r="A979" s="4" t="s">
        <v>97</v>
      </c>
      <c r="B979" s="4" t="s">
        <v>1277</v>
      </c>
      <c r="C979" s="4" t="s">
        <v>1255</v>
      </c>
      <c r="D979" s="4" t="s">
        <v>1428</v>
      </c>
      <c r="E979" s="10">
        <f>IFERROR(__xludf.DUMMYFUNCTION("SPLIT(B979,""T"")"),42640.0)</f>
        <v>42640</v>
      </c>
      <c r="F979" s="4" t="str">
        <f>IFERROR(__xludf.DUMMYFUNCTION("""COMPUTED_VALUE"""),"14:00:00Z")</f>
        <v>14:00:00Z</v>
      </c>
      <c r="G979" s="11" t="str">
        <f t="shared" si="1"/>
        <v>14:00:00</v>
      </c>
      <c r="H979" s="10">
        <f>IFERROR(__xludf.DUMMYFUNCTION("SPLIT(D979,""T"")"),42635.0)</f>
        <v>42635</v>
      </c>
      <c r="I979" s="4" t="str">
        <f>IFERROR(__xludf.DUMMYFUNCTION("""COMPUTED_VALUE"""),"14:20:00Z")</f>
        <v>14:20:00Z</v>
      </c>
      <c r="J979" s="4" t="str">
        <f t="shared" si="2"/>
        <v>14:20:00</v>
      </c>
      <c r="K979" s="4">
        <f t="shared" si="3"/>
        <v>5</v>
      </c>
      <c r="L979" s="4">
        <f t="shared" si="4"/>
        <v>-0.01388888889</v>
      </c>
      <c r="M979" s="4">
        <f t="shared" si="5"/>
        <v>4.986111111</v>
      </c>
    </row>
    <row r="980">
      <c r="A980" s="4" t="s">
        <v>62</v>
      </c>
      <c r="B980" s="4" t="s">
        <v>562</v>
      </c>
      <c r="C980" s="4" t="s">
        <v>563</v>
      </c>
      <c r="D980" s="4" t="s">
        <v>564</v>
      </c>
      <c r="E980" s="10">
        <f>IFERROR(__xludf.DUMMYFUNCTION("SPLIT(B980,""T"")"),41778.0)</f>
        <v>41778</v>
      </c>
      <c r="F980" s="4" t="str">
        <f>IFERROR(__xludf.DUMMYFUNCTION("""COMPUTED_VALUE"""),"09:20:00Z")</f>
        <v>09:20:00Z</v>
      </c>
      <c r="G980" s="11" t="str">
        <f t="shared" si="1"/>
        <v>09:20:00</v>
      </c>
      <c r="H980" s="10">
        <f>IFERROR(__xludf.DUMMYFUNCTION("SPLIT(D980,""T"")"),41773.0)</f>
        <v>41773</v>
      </c>
      <c r="I980" s="4" t="str">
        <f>IFERROR(__xludf.DUMMYFUNCTION("""COMPUTED_VALUE"""),"09:45:00Z")</f>
        <v>09:45:00Z</v>
      </c>
      <c r="J980" s="4" t="str">
        <f t="shared" si="2"/>
        <v>09:45:00</v>
      </c>
      <c r="K980" s="4">
        <f t="shared" si="3"/>
        <v>5</v>
      </c>
      <c r="L980" s="4">
        <f t="shared" si="4"/>
        <v>-0.01736111111</v>
      </c>
      <c r="M980" s="4">
        <f t="shared" si="5"/>
        <v>4.982638889</v>
      </c>
    </row>
    <row r="981">
      <c r="A981" s="4" t="s">
        <v>69</v>
      </c>
      <c r="B981" s="4" t="s">
        <v>1625</v>
      </c>
      <c r="C981" s="4" t="s">
        <v>891</v>
      </c>
      <c r="D981" s="4" t="s">
        <v>1626</v>
      </c>
      <c r="E981" s="10">
        <f>IFERROR(__xludf.DUMMYFUNCTION("SPLIT(B981,""T"")"),42525.0)</f>
        <v>42525</v>
      </c>
      <c r="F981" s="4" t="str">
        <f>IFERROR(__xludf.DUMMYFUNCTION("""COMPUTED_VALUE"""),"17:00:00Z")</f>
        <v>17:00:00Z</v>
      </c>
      <c r="G981" s="11" t="str">
        <f t="shared" si="1"/>
        <v>17:00:00</v>
      </c>
      <c r="H981" s="10">
        <f>IFERROR(__xludf.DUMMYFUNCTION("SPLIT(D981,""T"")"),42520.0)</f>
        <v>42520</v>
      </c>
      <c r="I981" s="4" t="str">
        <f>IFERROR(__xludf.DUMMYFUNCTION("""COMPUTED_VALUE"""),"17:57:00Z")</f>
        <v>17:57:00Z</v>
      </c>
      <c r="J981" s="4" t="str">
        <f t="shared" si="2"/>
        <v>17:57:00</v>
      </c>
      <c r="K981" s="4">
        <f t="shared" si="3"/>
        <v>5</v>
      </c>
      <c r="L981" s="4">
        <f t="shared" si="4"/>
        <v>-0.03958333333</v>
      </c>
      <c r="M981" s="4">
        <f t="shared" si="5"/>
        <v>4.960416667</v>
      </c>
    </row>
    <row r="982">
      <c r="A982" s="4" t="s">
        <v>94</v>
      </c>
      <c r="B982" s="4" t="s">
        <v>943</v>
      </c>
      <c r="C982" s="4" t="s">
        <v>944</v>
      </c>
      <c r="D982" s="4" t="s">
        <v>945</v>
      </c>
      <c r="E982" s="10">
        <f>IFERROR(__xludf.DUMMYFUNCTION("SPLIT(B982,""T"")"),42211.0)</f>
        <v>42211</v>
      </c>
      <c r="F982" s="4" t="str">
        <f>IFERROR(__xludf.DUMMYFUNCTION("""COMPUTED_VALUE"""),"10:30:00Z")</f>
        <v>10:30:00Z</v>
      </c>
      <c r="G982" s="11" t="str">
        <f t="shared" si="1"/>
        <v>10:30:00</v>
      </c>
      <c r="H982" s="10">
        <f>IFERROR(__xludf.DUMMYFUNCTION("SPLIT(D982,""T"")"),42206.0)</f>
        <v>42206</v>
      </c>
      <c r="I982" s="4" t="str">
        <f>IFERROR(__xludf.DUMMYFUNCTION("""COMPUTED_VALUE"""),"12:35:00Z")</f>
        <v>12:35:00Z</v>
      </c>
      <c r="J982" s="4" t="str">
        <f t="shared" si="2"/>
        <v>12:35:00</v>
      </c>
      <c r="K982" s="4">
        <f t="shared" si="3"/>
        <v>5</v>
      </c>
      <c r="L982" s="4">
        <f t="shared" si="4"/>
        <v>-0.08680555556</v>
      </c>
      <c r="M982" s="4">
        <f t="shared" si="5"/>
        <v>4.913194444</v>
      </c>
    </row>
    <row r="983">
      <c r="A983" s="4" t="s">
        <v>186</v>
      </c>
      <c r="B983" s="4" t="s">
        <v>981</v>
      </c>
      <c r="C983" s="4" t="s">
        <v>982</v>
      </c>
      <c r="D983" s="4" t="s">
        <v>983</v>
      </c>
      <c r="E983" s="10">
        <f>IFERROR(__xludf.DUMMYFUNCTION("SPLIT(B983,""T"")"),42243.0)</f>
        <v>42243</v>
      </c>
      <c r="F983" s="4" t="str">
        <f>IFERROR(__xludf.DUMMYFUNCTION("""COMPUTED_VALUE"""),"15:15:00Z")</f>
        <v>15:15:00Z</v>
      </c>
      <c r="G983" s="11" t="str">
        <f t="shared" si="1"/>
        <v>15:15:00</v>
      </c>
      <c r="H983" s="10">
        <f>IFERROR(__xludf.DUMMYFUNCTION("SPLIT(D983,""T"")"),42238.0)</f>
        <v>42238</v>
      </c>
      <c r="I983" s="4" t="str">
        <f>IFERROR(__xludf.DUMMYFUNCTION("""COMPUTED_VALUE"""),"17:30:00Z")</f>
        <v>17:30:00Z</v>
      </c>
      <c r="J983" s="4" t="str">
        <f t="shared" si="2"/>
        <v>17:30:00</v>
      </c>
      <c r="K983" s="4">
        <f t="shared" si="3"/>
        <v>5</v>
      </c>
      <c r="L983" s="4">
        <f t="shared" si="4"/>
        <v>-0.09375</v>
      </c>
      <c r="M983" s="4">
        <f t="shared" si="5"/>
        <v>4.90625</v>
      </c>
    </row>
    <row r="984">
      <c r="A984" s="4" t="s">
        <v>62</v>
      </c>
      <c r="B984" s="4" t="s">
        <v>562</v>
      </c>
      <c r="C984" s="4" t="s">
        <v>164</v>
      </c>
      <c r="D984" s="4" t="s">
        <v>715</v>
      </c>
      <c r="E984" s="10">
        <f>IFERROR(__xludf.DUMMYFUNCTION("SPLIT(B984,""T"")"),41778.0)</f>
        <v>41778</v>
      </c>
      <c r="F984" s="4" t="str">
        <f>IFERROR(__xludf.DUMMYFUNCTION("""COMPUTED_VALUE"""),"09:20:00Z")</f>
        <v>09:20:00Z</v>
      </c>
      <c r="G984" s="11" t="str">
        <f t="shared" si="1"/>
        <v>09:20:00</v>
      </c>
      <c r="H984" s="10">
        <f>IFERROR(__xludf.DUMMYFUNCTION("SPLIT(D984,""T"")"),41773.0)</f>
        <v>41773</v>
      </c>
      <c r="I984" s="4" t="str">
        <f>IFERROR(__xludf.DUMMYFUNCTION("""COMPUTED_VALUE"""),"12:12:00Z")</f>
        <v>12:12:00Z</v>
      </c>
      <c r="J984" s="4" t="str">
        <f t="shared" si="2"/>
        <v>12:12:00</v>
      </c>
      <c r="K984" s="4">
        <f t="shared" si="3"/>
        <v>5</v>
      </c>
      <c r="L984" s="4">
        <f t="shared" si="4"/>
        <v>-0.1194444444</v>
      </c>
      <c r="M984" s="4">
        <f t="shared" si="5"/>
        <v>4.880555556</v>
      </c>
    </row>
    <row r="985">
      <c r="A985" s="4" t="s">
        <v>114</v>
      </c>
      <c r="B985" s="4" t="s">
        <v>115</v>
      </c>
      <c r="C985" s="4" t="s">
        <v>116</v>
      </c>
      <c r="D985" s="4" t="s">
        <v>117</v>
      </c>
      <c r="E985" s="10">
        <f>IFERROR(__xludf.DUMMYFUNCTION("SPLIT(B985,""T"")"),41628.0)</f>
        <v>41628</v>
      </c>
      <c r="F985" s="4" t="str">
        <f>IFERROR(__xludf.DUMMYFUNCTION("""COMPUTED_VALUE"""),"20:00:00Z")</f>
        <v>20:00:00Z</v>
      </c>
      <c r="G985" s="11" t="str">
        <f t="shared" si="1"/>
        <v>20:00:00</v>
      </c>
      <c r="H985" s="10">
        <f>IFERROR(__xludf.DUMMYFUNCTION("SPLIT(D985,""T"")"),41624.0)</f>
        <v>41624</v>
      </c>
      <c r="I985" s="4" t="str">
        <f>IFERROR(__xludf.DUMMYFUNCTION("""COMPUTED_VALUE"""),"00:20:00Z")</f>
        <v>00:20:00Z</v>
      </c>
      <c r="J985" s="4" t="str">
        <f t="shared" si="2"/>
        <v>00:20:00</v>
      </c>
      <c r="K985" s="4">
        <f t="shared" si="3"/>
        <v>4</v>
      </c>
      <c r="L985" s="4">
        <f t="shared" si="4"/>
        <v>0.8194444444</v>
      </c>
      <c r="M985" s="4">
        <f t="shared" si="5"/>
        <v>4.819444444</v>
      </c>
    </row>
    <row r="986">
      <c r="A986" s="4" t="s">
        <v>313</v>
      </c>
      <c r="B986" s="4" t="s">
        <v>1594</v>
      </c>
      <c r="C986" s="4" t="s">
        <v>1595</v>
      </c>
      <c r="D986" s="4" t="s">
        <v>1596</v>
      </c>
      <c r="E986" s="10">
        <f>IFERROR(__xludf.DUMMYFUNCTION("SPLIT(B986,""T"")"),42628.0)</f>
        <v>42628</v>
      </c>
      <c r="F986" s="4" t="str">
        <f>IFERROR(__xludf.DUMMYFUNCTION("""COMPUTED_VALUE"""),"09:10:00Z")</f>
        <v>09:10:00Z</v>
      </c>
      <c r="G986" s="11" t="str">
        <f t="shared" si="1"/>
        <v>09:10:00</v>
      </c>
      <c r="H986" s="10">
        <f>IFERROR(__xludf.DUMMYFUNCTION("SPLIT(D986,""T"")"),42623.0)</f>
        <v>42623</v>
      </c>
      <c r="I986" s="4" t="str">
        <f>IFERROR(__xludf.DUMMYFUNCTION("""COMPUTED_VALUE"""),"14:06:00Z")</f>
        <v>14:06:00Z</v>
      </c>
      <c r="J986" s="4" t="str">
        <f t="shared" si="2"/>
        <v>14:06:00</v>
      </c>
      <c r="K986" s="4">
        <f t="shared" si="3"/>
        <v>5</v>
      </c>
      <c r="L986" s="4">
        <f t="shared" si="4"/>
        <v>-0.2055555556</v>
      </c>
      <c r="M986" s="4">
        <f t="shared" si="5"/>
        <v>4.794444444</v>
      </c>
    </row>
    <row r="987">
      <c r="A987" s="4" t="s">
        <v>149</v>
      </c>
      <c r="B987" s="4" t="s">
        <v>1080</v>
      </c>
      <c r="C987" s="4" t="s">
        <v>56</v>
      </c>
      <c r="D987" s="4" t="s">
        <v>1081</v>
      </c>
      <c r="E987" s="10">
        <f>IFERROR(__xludf.DUMMYFUNCTION("SPLIT(B987,""T"")"),42200.0)</f>
        <v>42200</v>
      </c>
      <c r="F987" s="4" t="str">
        <f>IFERROR(__xludf.DUMMYFUNCTION("""COMPUTED_VALUE"""),"07:00:00Z")</f>
        <v>07:00:00Z</v>
      </c>
      <c r="G987" s="11" t="str">
        <f t="shared" si="1"/>
        <v>07:00:00</v>
      </c>
      <c r="H987" s="10">
        <f>IFERROR(__xludf.DUMMYFUNCTION("SPLIT(D987,""T"")"),42195.0)</f>
        <v>42195</v>
      </c>
      <c r="I987" s="4" t="str">
        <f>IFERROR(__xludf.DUMMYFUNCTION("""COMPUTED_VALUE"""),"12:41:00Z")</f>
        <v>12:41:00Z</v>
      </c>
      <c r="J987" s="4" t="str">
        <f t="shared" si="2"/>
        <v>12:41:00</v>
      </c>
      <c r="K987" s="4">
        <f t="shared" si="3"/>
        <v>5</v>
      </c>
      <c r="L987" s="4">
        <f t="shared" si="4"/>
        <v>-0.2368055556</v>
      </c>
      <c r="M987" s="4">
        <f t="shared" si="5"/>
        <v>4.763194444</v>
      </c>
    </row>
    <row r="988">
      <c r="A988" s="4" t="s">
        <v>62</v>
      </c>
      <c r="B988" s="4" t="s">
        <v>108</v>
      </c>
      <c r="C988" s="4" t="s">
        <v>109</v>
      </c>
      <c r="D988" s="4" t="s">
        <v>110</v>
      </c>
      <c r="E988" s="10">
        <f>IFERROR(__xludf.DUMMYFUNCTION("SPLIT(B988,""T"")"),41425.0)</f>
        <v>41425</v>
      </c>
      <c r="F988" s="4" t="str">
        <f>IFERROR(__xludf.DUMMYFUNCTION("""COMPUTED_VALUE"""),"06:15:00Z")</f>
        <v>06:15:00Z</v>
      </c>
      <c r="G988" s="11" t="str">
        <f t="shared" si="1"/>
        <v>06:15:00</v>
      </c>
      <c r="H988" s="10">
        <f>IFERROR(__xludf.DUMMYFUNCTION("SPLIT(D988,""T"")"),41420.0)</f>
        <v>41420</v>
      </c>
      <c r="I988" s="4" t="str">
        <f>IFERROR(__xludf.DUMMYFUNCTION("""COMPUTED_VALUE"""),"12:04:00Z")</f>
        <v>12:04:00Z</v>
      </c>
      <c r="J988" s="4" t="str">
        <f t="shared" si="2"/>
        <v>12:04:00</v>
      </c>
      <c r="K988" s="4">
        <f t="shared" si="3"/>
        <v>5</v>
      </c>
      <c r="L988" s="4">
        <f t="shared" si="4"/>
        <v>-0.2423611111</v>
      </c>
      <c r="M988" s="4">
        <f t="shared" si="5"/>
        <v>4.757638889</v>
      </c>
    </row>
    <row r="989">
      <c r="A989" s="4" t="s">
        <v>46</v>
      </c>
      <c r="B989" s="4" t="s">
        <v>3849</v>
      </c>
      <c r="C989" s="4" t="s">
        <v>3850</v>
      </c>
      <c r="D989" s="4" t="s">
        <v>3851</v>
      </c>
      <c r="E989" s="10">
        <f>IFERROR(__xludf.DUMMYFUNCTION("SPLIT(B989,""T"")"),43637.0)</f>
        <v>43637</v>
      </c>
      <c r="F989" s="4" t="str">
        <f>IFERROR(__xludf.DUMMYFUNCTION("""COMPUTED_VALUE"""),"14:23:00Z")</f>
        <v>14:23:00Z</v>
      </c>
      <c r="G989" s="11" t="str">
        <f t="shared" si="1"/>
        <v>14:23:00</v>
      </c>
      <c r="H989" s="10">
        <f>IFERROR(__xludf.DUMMYFUNCTION("SPLIT(D989,""T"")"),43632.0)</f>
        <v>43632</v>
      </c>
      <c r="I989" s="4" t="str">
        <f>IFERROR(__xludf.DUMMYFUNCTION("""COMPUTED_VALUE"""),"20:33:00Z")</f>
        <v>20:33:00Z</v>
      </c>
      <c r="J989" s="4" t="str">
        <f t="shared" si="2"/>
        <v>20:33:00</v>
      </c>
      <c r="K989" s="4">
        <f t="shared" si="3"/>
        <v>5</v>
      </c>
      <c r="L989" s="4">
        <f t="shared" si="4"/>
        <v>-0.2569444444</v>
      </c>
      <c r="M989" s="4">
        <f t="shared" si="5"/>
        <v>4.743055556</v>
      </c>
    </row>
    <row r="990">
      <c r="A990" s="4" t="s">
        <v>50</v>
      </c>
      <c r="B990" s="4" t="s">
        <v>1707</v>
      </c>
      <c r="C990" s="4" t="s">
        <v>1708</v>
      </c>
      <c r="D990" s="4" t="s">
        <v>1709</v>
      </c>
      <c r="E990" s="10">
        <f>IFERROR(__xludf.DUMMYFUNCTION("SPLIT(B990,""T"")"),42598.0)</f>
        <v>42598</v>
      </c>
      <c r="F990" s="4" t="str">
        <f>IFERROR(__xludf.DUMMYFUNCTION("""COMPUTED_VALUE"""),"08:45:00Z")</f>
        <v>08:45:00Z</v>
      </c>
      <c r="G990" s="11" t="str">
        <f t="shared" si="1"/>
        <v>08:45:00</v>
      </c>
      <c r="H990" s="10">
        <f>IFERROR(__xludf.DUMMYFUNCTION("SPLIT(D990,""T"")"),42593.0)</f>
        <v>42593</v>
      </c>
      <c r="I990" s="4" t="str">
        <f>IFERROR(__xludf.DUMMYFUNCTION("""COMPUTED_VALUE"""),"14:57:00Z")</f>
        <v>14:57:00Z</v>
      </c>
      <c r="J990" s="4" t="str">
        <f t="shared" si="2"/>
        <v>14:57:00</v>
      </c>
      <c r="K990" s="4">
        <f t="shared" si="3"/>
        <v>5</v>
      </c>
      <c r="L990" s="4">
        <f t="shared" si="4"/>
        <v>-0.2583333333</v>
      </c>
      <c r="M990" s="4">
        <f t="shared" si="5"/>
        <v>4.741666667</v>
      </c>
    </row>
    <row r="991">
      <c r="A991" s="4" t="s">
        <v>69</v>
      </c>
      <c r="B991" s="4" t="s">
        <v>3514</v>
      </c>
      <c r="C991" s="4" t="s">
        <v>3515</v>
      </c>
      <c r="D991" s="4" t="s">
        <v>3516</v>
      </c>
      <c r="E991" s="10">
        <f>IFERROR(__xludf.DUMMYFUNCTION("SPLIT(B991,""T"")"),43593.0)</f>
        <v>43593</v>
      </c>
      <c r="F991" s="4" t="str">
        <f>IFERROR(__xludf.DUMMYFUNCTION("""COMPUTED_VALUE"""),"08:48:00Z")</f>
        <v>08:48:00Z</v>
      </c>
      <c r="G991" s="11" t="str">
        <f t="shared" si="1"/>
        <v>08:48:00</v>
      </c>
      <c r="H991" s="10">
        <f>IFERROR(__xludf.DUMMYFUNCTION("SPLIT(D991,""T"")"),43588.0)</f>
        <v>43588</v>
      </c>
      <c r="I991" s="4" t="str">
        <f>IFERROR(__xludf.DUMMYFUNCTION("""COMPUTED_VALUE"""),"15:04:00Z")</f>
        <v>15:04:00Z</v>
      </c>
      <c r="J991" s="4" t="str">
        <f t="shared" si="2"/>
        <v>15:04:00</v>
      </c>
      <c r="K991" s="4">
        <f t="shared" si="3"/>
        <v>5</v>
      </c>
      <c r="L991" s="4">
        <f t="shared" si="4"/>
        <v>-0.2611111111</v>
      </c>
      <c r="M991" s="4">
        <f t="shared" si="5"/>
        <v>4.738888889</v>
      </c>
    </row>
    <row r="992">
      <c r="A992" s="4" t="s">
        <v>212</v>
      </c>
      <c r="B992" s="4" t="s">
        <v>213</v>
      </c>
      <c r="C992" s="4" t="s">
        <v>214</v>
      </c>
      <c r="D992" s="4" t="s">
        <v>215</v>
      </c>
      <c r="E992" s="10">
        <f>IFERROR(__xludf.DUMMYFUNCTION("SPLIT(B992,""T"")"),41442.0)</f>
        <v>41442</v>
      </c>
      <c r="F992" s="4" t="str">
        <f>IFERROR(__xludf.DUMMYFUNCTION("""COMPUTED_VALUE"""),"09:00:00Z")</f>
        <v>09:00:00Z</v>
      </c>
      <c r="G992" s="11" t="str">
        <f t="shared" si="1"/>
        <v>09:00:00</v>
      </c>
      <c r="H992" s="10">
        <f>IFERROR(__xludf.DUMMYFUNCTION("SPLIT(D992,""T"")"),41437.0)</f>
        <v>41437</v>
      </c>
      <c r="I992" s="4" t="str">
        <f>IFERROR(__xludf.DUMMYFUNCTION("""COMPUTED_VALUE"""),"15:17:00Z")</f>
        <v>15:17:00Z</v>
      </c>
      <c r="J992" s="4" t="str">
        <f t="shared" si="2"/>
        <v>15:17:00</v>
      </c>
      <c r="K992" s="4">
        <f t="shared" si="3"/>
        <v>5</v>
      </c>
      <c r="L992" s="4">
        <f t="shared" si="4"/>
        <v>-0.2618055556</v>
      </c>
      <c r="M992" s="4">
        <f t="shared" si="5"/>
        <v>4.738194444</v>
      </c>
    </row>
    <row r="993">
      <c r="A993" s="4" t="s">
        <v>27</v>
      </c>
      <c r="B993" s="4" t="s">
        <v>3625</v>
      </c>
      <c r="C993" s="4" t="s">
        <v>955</v>
      </c>
      <c r="D993" s="4" t="s">
        <v>3626</v>
      </c>
      <c r="E993" s="10">
        <f>IFERROR(__xludf.DUMMYFUNCTION("SPLIT(B993,""T"")"),43663.0)</f>
        <v>43663</v>
      </c>
      <c r="F993" s="4" t="str">
        <f>IFERROR(__xludf.DUMMYFUNCTION("""COMPUTED_VALUE"""),"10:00:00Z")</f>
        <v>10:00:00Z</v>
      </c>
      <c r="G993" s="11" t="str">
        <f t="shared" si="1"/>
        <v>10:00:00</v>
      </c>
      <c r="H993" s="10">
        <f>IFERROR(__xludf.DUMMYFUNCTION("SPLIT(D993,""T"")"),43658.0)</f>
        <v>43658</v>
      </c>
      <c r="I993" s="4" t="str">
        <f>IFERROR(__xludf.DUMMYFUNCTION("""COMPUTED_VALUE"""),"17:15:31Z")</f>
        <v>17:15:31Z</v>
      </c>
      <c r="J993" s="4" t="str">
        <f t="shared" si="2"/>
        <v>17:15:31</v>
      </c>
      <c r="K993" s="4">
        <f t="shared" si="3"/>
        <v>5</v>
      </c>
      <c r="L993" s="4">
        <f t="shared" si="4"/>
        <v>-0.3024421296</v>
      </c>
      <c r="M993" s="4">
        <f t="shared" si="5"/>
        <v>4.69755787</v>
      </c>
    </row>
    <row r="994">
      <c r="A994" s="4" t="s">
        <v>149</v>
      </c>
      <c r="B994" s="4" t="s">
        <v>3388</v>
      </c>
      <c r="C994" s="4" t="s">
        <v>3389</v>
      </c>
      <c r="D994" s="4" t="s">
        <v>3390</v>
      </c>
      <c r="E994" s="10">
        <f>IFERROR(__xludf.DUMMYFUNCTION("SPLIT(B994,""T"")"),43619.0)</f>
        <v>43619</v>
      </c>
      <c r="F994" s="4" t="str">
        <f>IFERROR(__xludf.DUMMYFUNCTION("""COMPUTED_VALUE"""),"08:44:00Z")</f>
        <v>08:44:00Z</v>
      </c>
      <c r="G994" s="11" t="str">
        <f t="shared" si="1"/>
        <v>08:44:00</v>
      </c>
      <c r="H994" s="10">
        <f>IFERROR(__xludf.DUMMYFUNCTION("SPLIT(D994,""T"")"),43614.0)</f>
        <v>43614</v>
      </c>
      <c r="I994" s="4" t="str">
        <f>IFERROR(__xludf.DUMMYFUNCTION("""COMPUTED_VALUE"""),"17:10:00Z")</f>
        <v>17:10:00Z</v>
      </c>
      <c r="J994" s="4" t="str">
        <f t="shared" si="2"/>
        <v>17:10:00</v>
      </c>
      <c r="K994" s="4">
        <f t="shared" si="3"/>
        <v>5</v>
      </c>
      <c r="L994" s="4">
        <f t="shared" si="4"/>
        <v>-0.3513888889</v>
      </c>
      <c r="M994" s="4">
        <f t="shared" si="5"/>
        <v>4.648611111</v>
      </c>
    </row>
    <row r="995">
      <c r="A995" s="4" t="s">
        <v>114</v>
      </c>
      <c r="B995" s="4" t="s">
        <v>3679</v>
      </c>
      <c r="C995" s="4" t="s">
        <v>3696</v>
      </c>
      <c r="D995" s="4" t="s">
        <v>3697</v>
      </c>
      <c r="E995" s="10">
        <f>IFERROR(__xludf.DUMMYFUNCTION("SPLIT(B995,""T"")"),43633.0)</f>
        <v>43633</v>
      </c>
      <c r="F995" s="4" t="str">
        <f>IFERROR(__xludf.DUMMYFUNCTION("""COMPUTED_VALUE"""),"08:46:00Z")</f>
        <v>08:46:00Z</v>
      </c>
      <c r="G995" s="11" t="str">
        <f t="shared" si="1"/>
        <v>08:46:00</v>
      </c>
      <c r="H995" s="10">
        <f>IFERROR(__xludf.DUMMYFUNCTION("SPLIT(D995,""T"")"),43628.0)</f>
        <v>43628</v>
      </c>
      <c r="I995" s="4" t="str">
        <f>IFERROR(__xludf.DUMMYFUNCTION("""COMPUTED_VALUE"""),"17:23:00Z")</f>
        <v>17:23:00Z</v>
      </c>
      <c r="J995" s="4" t="str">
        <f t="shared" si="2"/>
        <v>17:23:00</v>
      </c>
      <c r="K995" s="4">
        <f t="shared" si="3"/>
        <v>5</v>
      </c>
      <c r="L995" s="4">
        <f t="shared" si="4"/>
        <v>-0.3590277778</v>
      </c>
      <c r="M995" s="4">
        <f t="shared" si="5"/>
        <v>4.640972222</v>
      </c>
    </row>
    <row r="996">
      <c r="A996" s="4" t="s">
        <v>411</v>
      </c>
      <c r="B996" s="4" t="s">
        <v>1050</v>
      </c>
      <c r="C996" s="4" t="s">
        <v>1051</v>
      </c>
      <c r="D996" s="4" t="s">
        <v>1052</v>
      </c>
      <c r="E996" s="10">
        <f>IFERROR(__xludf.DUMMYFUNCTION("SPLIT(B996,""T"")"),42234.0)</f>
        <v>42234</v>
      </c>
      <c r="F996" s="4" t="str">
        <f>IFERROR(__xludf.DUMMYFUNCTION("""COMPUTED_VALUE"""),"07:15:00Z")</f>
        <v>07:15:00Z</v>
      </c>
      <c r="G996" s="11" t="str">
        <f t="shared" si="1"/>
        <v>07:15:00</v>
      </c>
      <c r="H996" s="10">
        <f>IFERROR(__xludf.DUMMYFUNCTION("SPLIT(D996,""T"")"),42229.0)</f>
        <v>42229</v>
      </c>
      <c r="I996" s="4" t="str">
        <f>IFERROR(__xludf.DUMMYFUNCTION("""COMPUTED_VALUE"""),"16:15:00Z")</f>
        <v>16:15:00Z</v>
      </c>
      <c r="J996" s="4" t="str">
        <f t="shared" si="2"/>
        <v>16:15:00</v>
      </c>
      <c r="K996" s="4">
        <f t="shared" si="3"/>
        <v>5</v>
      </c>
      <c r="L996" s="4">
        <f t="shared" si="4"/>
        <v>-0.375</v>
      </c>
      <c r="M996" s="4">
        <f t="shared" si="5"/>
        <v>4.625</v>
      </c>
    </row>
    <row r="997">
      <c r="A997" s="4" t="s">
        <v>73</v>
      </c>
      <c r="B997" s="4" t="s">
        <v>486</v>
      </c>
      <c r="C997" s="4" t="s">
        <v>487</v>
      </c>
      <c r="D997" s="4" t="s">
        <v>488</v>
      </c>
      <c r="E997" s="10">
        <f>IFERROR(__xludf.DUMMYFUNCTION("SPLIT(B997,""T"")"),41439.0)</f>
        <v>41439</v>
      </c>
      <c r="F997" s="4" t="str">
        <f>IFERROR(__xludf.DUMMYFUNCTION("""COMPUTED_VALUE"""),"15:45:00Z")</f>
        <v>15:45:00Z</v>
      </c>
      <c r="G997" s="11" t="str">
        <f t="shared" si="1"/>
        <v>15:45:00</v>
      </c>
      <c r="H997" s="10">
        <f>IFERROR(__xludf.DUMMYFUNCTION("SPLIT(D997,""T"")"),41435.0)</f>
        <v>41435</v>
      </c>
      <c r="I997" s="4" t="str">
        <f>IFERROR(__xludf.DUMMYFUNCTION("""COMPUTED_VALUE"""),"00:46:00Z")</f>
        <v>00:46:00Z</v>
      </c>
      <c r="J997" s="4" t="str">
        <f t="shared" si="2"/>
        <v>00:46:00</v>
      </c>
      <c r="K997" s="4">
        <f t="shared" si="3"/>
        <v>4</v>
      </c>
      <c r="L997" s="4">
        <f t="shared" si="4"/>
        <v>0.6243055556</v>
      </c>
      <c r="M997" s="4">
        <f t="shared" si="5"/>
        <v>4.624305556</v>
      </c>
    </row>
    <row r="998">
      <c r="A998" s="4" t="s">
        <v>278</v>
      </c>
      <c r="B998" s="4" t="s">
        <v>486</v>
      </c>
      <c r="C998" s="4" t="s">
        <v>487</v>
      </c>
      <c r="D998" s="4" t="s">
        <v>488</v>
      </c>
      <c r="E998" s="10">
        <f>IFERROR(__xludf.DUMMYFUNCTION("SPLIT(B998,""T"")"),41439.0)</f>
        <v>41439</v>
      </c>
      <c r="F998" s="4" t="str">
        <f>IFERROR(__xludf.DUMMYFUNCTION("""COMPUTED_VALUE"""),"15:45:00Z")</f>
        <v>15:45:00Z</v>
      </c>
      <c r="G998" s="11" t="str">
        <f t="shared" si="1"/>
        <v>15:45:00</v>
      </c>
      <c r="H998" s="10">
        <f>IFERROR(__xludf.DUMMYFUNCTION("SPLIT(D998,""T"")"),41435.0)</f>
        <v>41435</v>
      </c>
      <c r="I998" s="4" t="str">
        <f>IFERROR(__xludf.DUMMYFUNCTION("""COMPUTED_VALUE"""),"00:46:00Z")</f>
        <v>00:46:00Z</v>
      </c>
      <c r="J998" s="4" t="str">
        <f t="shared" si="2"/>
        <v>00:46:00</v>
      </c>
      <c r="K998" s="4">
        <f t="shared" si="3"/>
        <v>4</v>
      </c>
      <c r="L998" s="4">
        <f t="shared" si="4"/>
        <v>0.6243055556</v>
      </c>
      <c r="M998" s="4">
        <f t="shared" si="5"/>
        <v>4.624305556</v>
      </c>
    </row>
    <row r="999">
      <c r="A999" s="4" t="s">
        <v>186</v>
      </c>
      <c r="B999" s="4" t="s">
        <v>486</v>
      </c>
      <c r="C999" s="4" t="s">
        <v>487</v>
      </c>
      <c r="D999" s="4" t="s">
        <v>488</v>
      </c>
      <c r="E999" s="10">
        <f>IFERROR(__xludf.DUMMYFUNCTION("SPLIT(B999,""T"")"),41439.0)</f>
        <v>41439</v>
      </c>
      <c r="F999" s="4" t="str">
        <f>IFERROR(__xludf.DUMMYFUNCTION("""COMPUTED_VALUE"""),"15:45:00Z")</f>
        <v>15:45:00Z</v>
      </c>
      <c r="G999" s="11" t="str">
        <f t="shared" si="1"/>
        <v>15:45:00</v>
      </c>
      <c r="H999" s="10">
        <f>IFERROR(__xludf.DUMMYFUNCTION("SPLIT(D999,""T"")"),41435.0)</f>
        <v>41435</v>
      </c>
      <c r="I999" s="4" t="str">
        <f>IFERROR(__xludf.DUMMYFUNCTION("""COMPUTED_VALUE"""),"00:46:00Z")</f>
        <v>00:46:00Z</v>
      </c>
      <c r="J999" s="4" t="str">
        <f t="shared" si="2"/>
        <v>00:46:00</v>
      </c>
      <c r="K999" s="4">
        <f t="shared" si="3"/>
        <v>4</v>
      </c>
      <c r="L999" s="4">
        <f t="shared" si="4"/>
        <v>0.6243055556</v>
      </c>
      <c r="M999" s="4">
        <f t="shared" si="5"/>
        <v>4.624305556</v>
      </c>
    </row>
    <row r="1000">
      <c r="A1000" s="4" t="s">
        <v>489</v>
      </c>
      <c r="B1000" s="4" t="s">
        <v>486</v>
      </c>
      <c r="C1000" s="4" t="s">
        <v>487</v>
      </c>
      <c r="D1000" s="4" t="s">
        <v>488</v>
      </c>
      <c r="E1000" s="10">
        <f>IFERROR(__xludf.DUMMYFUNCTION("SPLIT(B1000,""T"")"),41439.0)</f>
        <v>41439</v>
      </c>
      <c r="F1000" s="4" t="str">
        <f>IFERROR(__xludf.DUMMYFUNCTION("""COMPUTED_VALUE"""),"15:45:00Z")</f>
        <v>15:45:00Z</v>
      </c>
      <c r="G1000" s="11" t="str">
        <f t="shared" si="1"/>
        <v>15:45:00</v>
      </c>
      <c r="H1000" s="10">
        <f>IFERROR(__xludf.DUMMYFUNCTION("SPLIT(D1000,""T"")"),41435.0)</f>
        <v>41435</v>
      </c>
      <c r="I1000" s="4" t="str">
        <f>IFERROR(__xludf.DUMMYFUNCTION("""COMPUTED_VALUE"""),"00:46:00Z")</f>
        <v>00:46:00Z</v>
      </c>
      <c r="J1000" s="4" t="str">
        <f t="shared" si="2"/>
        <v>00:46:00</v>
      </c>
      <c r="K1000" s="4">
        <f t="shared" si="3"/>
        <v>4</v>
      </c>
      <c r="L1000" s="4">
        <f t="shared" si="4"/>
        <v>0.6243055556</v>
      </c>
      <c r="M1000" s="4">
        <f t="shared" si="5"/>
        <v>4.624305556</v>
      </c>
    </row>
    <row r="1001">
      <c r="A1001" s="4" t="s">
        <v>97</v>
      </c>
      <c r="B1001" s="4" t="s">
        <v>3502</v>
      </c>
      <c r="C1001" s="4" t="s">
        <v>3503</v>
      </c>
      <c r="D1001" s="4" t="s">
        <v>3504</v>
      </c>
      <c r="E1001" s="10">
        <f>IFERROR(__xludf.DUMMYFUNCTION("SPLIT(B1001,""T"")"),43722.0)</f>
        <v>43722</v>
      </c>
      <c r="F1001" s="4" t="str">
        <f>IFERROR(__xludf.DUMMYFUNCTION("""COMPUTED_VALUE"""),"08:00:00Z")</f>
        <v>08:00:00Z</v>
      </c>
      <c r="G1001" s="11" t="str">
        <f t="shared" si="1"/>
        <v>08:00:00</v>
      </c>
      <c r="H1001" s="10">
        <f>IFERROR(__xludf.DUMMYFUNCTION("SPLIT(D1001,""T"")"),43717.0)</f>
        <v>43717</v>
      </c>
      <c r="I1001" s="4" t="str">
        <f>IFERROR(__xludf.DUMMYFUNCTION("""COMPUTED_VALUE"""),"17:42:43Z")</f>
        <v>17:42:43Z</v>
      </c>
      <c r="J1001" s="4" t="str">
        <f t="shared" si="2"/>
        <v>17:42:43</v>
      </c>
      <c r="K1001" s="4">
        <f t="shared" si="3"/>
        <v>5</v>
      </c>
      <c r="L1001" s="4">
        <f t="shared" si="4"/>
        <v>-0.4046643519</v>
      </c>
      <c r="M1001" s="4">
        <f t="shared" si="5"/>
        <v>4.595335648</v>
      </c>
    </row>
    <row r="1002">
      <c r="A1002" s="4" t="s">
        <v>69</v>
      </c>
      <c r="B1002" s="4" t="s">
        <v>757</v>
      </c>
      <c r="C1002" s="4" t="s">
        <v>758</v>
      </c>
      <c r="D1002" s="4" t="s">
        <v>759</v>
      </c>
      <c r="E1002" s="10">
        <f>IFERROR(__xludf.DUMMYFUNCTION("SPLIT(B1002,""T"")"),41826.0)</f>
        <v>41826</v>
      </c>
      <c r="F1002" s="4" t="str">
        <f>IFERROR(__xludf.DUMMYFUNCTION("""COMPUTED_VALUE"""),"08:30:00Z")</f>
        <v>08:30:00Z</v>
      </c>
      <c r="G1002" s="11" t="str">
        <f t="shared" si="1"/>
        <v>08:30:00</v>
      </c>
      <c r="H1002" s="10">
        <f>IFERROR(__xludf.DUMMYFUNCTION("SPLIT(D1002,""T"")"),41821.0)</f>
        <v>41821</v>
      </c>
      <c r="I1002" s="4" t="str">
        <f>IFERROR(__xludf.DUMMYFUNCTION("""COMPUTED_VALUE"""),"18:15:00Z")</f>
        <v>18:15:00Z</v>
      </c>
      <c r="J1002" s="4" t="str">
        <f t="shared" si="2"/>
        <v>18:15:00</v>
      </c>
      <c r="K1002" s="4">
        <f t="shared" si="3"/>
        <v>5</v>
      </c>
      <c r="L1002" s="4">
        <f t="shared" si="4"/>
        <v>-0.40625</v>
      </c>
      <c r="M1002" s="4">
        <f t="shared" si="5"/>
        <v>4.59375</v>
      </c>
    </row>
    <row r="1003">
      <c r="A1003" s="4" t="s">
        <v>23</v>
      </c>
      <c r="B1003" s="4" t="s">
        <v>196</v>
      </c>
      <c r="C1003" s="4" t="s">
        <v>197</v>
      </c>
      <c r="D1003" s="4" t="s">
        <v>198</v>
      </c>
      <c r="E1003" s="10">
        <f>IFERROR(__xludf.DUMMYFUNCTION("SPLIT(B1003,""T"")"),41545.0)</f>
        <v>41545</v>
      </c>
      <c r="F1003" s="4" t="str">
        <f>IFERROR(__xludf.DUMMYFUNCTION("""COMPUTED_VALUE"""),"08:00:00Z")</f>
        <v>08:00:00Z</v>
      </c>
      <c r="G1003" s="11" t="str">
        <f t="shared" si="1"/>
        <v>08:00:00</v>
      </c>
      <c r="H1003" s="10">
        <f>IFERROR(__xludf.DUMMYFUNCTION("SPLIT(D1003,""T"")"),41540.0)</f>
        <v>41540</v>
      </c>
      <c r="I1003" s="4" t="str">
        <f>IFERROR(__xludf.DUMMYFUNCTION("""COMPUTED_VALUE"""),"18:00:00Z")</f>
        <v>18:00:00Z</v>
      </c>
      <c r="J1003" s="4" t="str">
        <f t="shared" si="2"/>
        <v>18:00:00</v>
      </c>
      <c r="K1003" s="4">
        <f t="shared" si="3"/>
        <v>5</v>
      </c>
      <c r="L1003" s="4">
        <f t="shared" si="4"/>
        <v>-0.4166666667</v>
      </c>
      <c r="M1003" s="4">
        <f t="shared" si="5"/>
        <v>4.583333333</v>
      </c>
    </row>
    <row r="1004">
      <c r="A1004" s="4" t="s">
        <v>162</v>
      </c>
      <c r="B1004" s="4" t="s">
        <v>763</v>
      </c>
      <c r="C1004" s="4" t="s">
        <v>764</v>
      </c>
      <c r="D1004" s="4" t="s">
        <v>765</v>
      </c>
      <c r="E1004" s="10">
        <f>IFERROR(__xludf.DUMMYFUNCTION("SPLIT(B1004,""T"")"),41903.0)</f>
        <v>41903</v>
      </c>
      <c r="F1004" s="4" t="str">
        <f>IFERROR(__xludf.DUMMYFUNCTION("""COMPUTED_VALUE"""),"09:00:00Z")</f>
        <v>09:00:00Z</v>
      </c>
      <c r="G1004" s="11" t="str">
        <f t="shared" si="1"/>
        <v>09:00:00</v>
      </c>
      <c r="H1004" s="10">
        <f>IFERROR(__xludf.DUMMYFUNCTION("SPLIT(D1004,""T"")"),41898.0)</f>
        <v>41898</v>
      </c>
      <c r="I1004" s="4" t="str">
        <f>IFERROR(__xludf.DUMMYFUNCTION("""COMPUTED_VALUE"""),"19:07:00Z")</f>
        <v>19:07:00Z</v>
      </c>
      <c r="J1004" s="4" t="str">
        <f t="shared" si="2"/>
        <v>19:07:00</v>
      </c>
      <c r="K1004" s="4">
        <f t="shared" si="3"/>
        <v>5</v>
      </c>
      <c r="L1004" s="4">
        <f t="shared" si="4"/>
        <v>-0.4215277778</v>
      </c>
      <c r="M1004" s="4">
        <f t="shared" si="5"/>
        <v>4.578472222</v>
      </c>
    </row>
    <row r="1005">
      <c r="A1005" s="4" t="s">
        <v>62</v>
      </c>
      <c r="B1005" s="4" t="s">
        <v>606</v>
      </c>
      <c r="C1005" s="4" t="s">
        <v>607</v>
      </c>
      <c r="D1005" s="4" t="s">
        <v>608</v>
      </c>
      <c r="E1005" s="10">
        <f>IFERROR(__xludf.DUMMYFUNCTION("SPLIT(B1005,""T"")"),41779.0)</f>
        <v>41779</v>
      </c>
      <c r="F1005" s="4" t="str">
        <f>IFERROR(__xludf.DUMMYFUNCTION("""COMPUTED_VALUE"""),"23:30:00Z")</f>
        <v>23:30:00Z</v>
      </c>
      <c r="G1005" s="11" t="str">
        <f t="shared" si="1"/>
        <v>23:30:00</v>
      </c>
      <c r="H1005" s="10">
        <f>IFERROR(__xludf.DUMMYFUNCTION("SPLIT(D1005,""T"")"),41775.0)</f>
        <v>41775</v>
      </c>
      <c r="I1005" s="4" t="str">
        <f>IFERROR(__xludf.DUMMYFUNCTION("""COMPUTED_VALUE"""),"11:24:00Z")</f>
        <v>11:24:00Z</v>
      </c>
      <c r="J1005" s="4" t="str">
        <f t="shared" si="2"/>
        <v>11:24:00</v>
      </c>
      <c r="K1005" s="4">
        <f t="shared" si="3"/>
        <v>4</v>
      </c>
      <c r="L1005" s="4">
        <f t="shared" si="4"/>
        <v>0.5041666667</v>
      </c>
      <c r="M1005" s="4">
        <f t="shared" si="5"/>
        <v>4.504166667</v>
      </c>
    </row>
    <row r="1006">
      <c r="A1006" s="4" t="s">
        <v>162</v>
      </c>
      <c r="B1006" s="4" t="s">
        <v>163</v>
      </c>
      <c r="C1006" s="4" t="s">
        <v>164</v>
      </c>
      <c r="D1006" s="4" t="s">
        <v>165</v>
      </c>
      <c r="E1006" s="10">
        <f>IFERROR(__xludf.DUMMYFUNCTION("SPLIT(B1006,""T"")"),41333.0)</f>
        <v>41333</v>
      </c>
      <c r="F1006" s="4" t="str">
        <f>IFERROR(__xludf.DUMMYFUNCTION("""COMPUTED_VALUE"""),"20:00:00Z")</f>
        <v>20:00:00Z</v>
      </c>
      <c r="G1006" s="11" t="str">
        <f t="shared" si="1"/>
        <v>20:00:00</v>
      </c>
      <c r="H1006" s="10">
        <f>IFERROR(__xludf.DUMMYFUNCTION("SPLIT(D1006,""T"")"),41329.0)</f>
        <v>41329</v>
      </c>
      <c r="I1006" s="4" t="str">
        <f>IFERROR(__xludf.DUMMYFUNCTION("""COMPUTED_VALUE"""),"08:16:00Z")</f>
        <v>08:16:00Z</v>
      </c>
      <c r="J1006" s="4" t="str">
        <f t="shared" si="2"/>
        <v>08:16:00</v>
      </c>
      <c r="K1006" s="4">
        <f t="shared" si="3"/>
        <v>4</v>
      </c>
      <c r="L1006" s="4">
        <f t="shared" si="4"/>
        <v>0.4888888889</v>
      </c>
      <c r="M1006" s="4">
        <f t="shared" si="5"/>
        <v>4.488888889</v>
      </c>
    </row>
    <row r="1007">
      <c r="A1007" s="4" t="s">
        <v>62</v>
      </c>
      <c r="B1007" s="4" t="s">
        <v>600</v>
      </c>
      <c r="C1007" s="4" t="s">
        <v>601</v>
      </c>
      <c r="D1007" s="4" t="s">
        <v>602</v>
      </c>
      <c r="E1007" s="10">
        <f>IFERROR(__xludf.DUMMYFUNCTION("SPLIT(B1007,""T"")"),41776.0)</f>
        <v>41776</v>
      </c>
      <c r="F1007" s="4" t="str">
        <f>IFERROR(__xludf.DUMMYFUNCTION("""COMPUTED_VALUE"""),"20:14:00Z")</f>
        <v>20:14:00Z</v>
      </c>
      <c r="G1007" s="11" t="str">
        <f t="shared" si="1"/>
        <v>20:14:00</v>
      </c>
      <c r="H1007" s="10">
        <f>IFERROR(__xludf.DUMMYFUNCTION("SPLIT(D1007,""T"")"),41772.0)</f>
        <v>41772</v>
      </c>
      <c r="I1007" s="4" t="str">
        <f>IFERROR(__xludf.DUMMYFUNCTION("""COMPUTED_VALUE"""),"11:00:00Z")</f>
        <v>11:00:00Z</v>
      </c>
      <c r="J1007" s="4" t="str">
        <f t="shared" si="2"/>
        <v>11:00:00</v>
      </c>
      <c r="K1007" s="4">
        <f t="shared" si="3"/>
        <v>4</v>
      </c>
      <c r="L1007" s="4">
        <f t="shared" si="4"/>
        <v>0.3847222222</v>
      </c>
      <c r="M1007" s="4">
        <f t="shared" si="5"/>
        <v>4.384722222</v>
      </c>
    </row>
    <row r="1008">
      <c r="A1008" s="4" t="s">
        <v>27</v>
      </c>
      <c r="B1008" s="4" t="s">
        <v>105</v>
      </c>
      <c r="C1008" s="4" t="s">
        <v>106</v>
      </c>
      <c r="D1008" s="4" t="s">
        <v>107</v>
      </c>
      <c r="E1008" s="10">
        <f>IFERROR(__xludf.DUMMYFUNCTION("SPLIT(B1008,""T"")"),41495.0)</f>
        <v>41495</v>
      </c>
      <c r="F1008" s="4" t="str">
        <f>IFERROR(__xludf.DUMMYFUNCTION("""COMPUTED_VALUE"""),"18:45:00Z")</f>
        <v>18:45:00Z</v>
      </c>
      <c r="G1008" s="11" t="str">
        <f t="shared" si="1"/>
        <v>18:45:00</v>
      </c>
      <c r="H1008" s="10">
        <f>IFERROR(__xludf.DUMMYFUNCTION("SPLIT(D1008,""T"")"),41491.0)</f>
        <v>41491</v>
      </c>
      <c r="I1008" s="4" t="str">
        <f>IFERROR(__xludf.DUMMYFUNCTION("""COMPUTED_VALUE"""),"10:10:00Z")</f>
        <v>10:10:00Z</v>
      </c>
      <c r="J1008" s="4" t="str">
        <f t="shared" si="2"/>
        <v>10:10:00</v>
      </c>
      <c r="K1008" s="4">
        <f t="shared" si="3"/>
        <v>4</v>
      </c>
      <c r="L1008" s="4">
        <f t="shared" si="4"/>
        <v>0.3576388889</v>
      </c>
      <c r="M1008" s="4">
        <f t="shared" si="5"/>
        <v>4.357638889</v>
      </c>
    </row>
    <row r="1009">
      <c r="A1009" s="4" t="s">
        <v>50</v>
      </c>
      <c r="B1009" s="4" t="s">
        <v>657</v>
      </c>
      <c r="C1009" s="4" t="s">
        <v>658</v>
      </c>
      <c r="D1009" s="4" t="s">
        <v>659</v>
      </c>
      <c r="E1009" s="10">
        <f>IFERROR(__xludf.DUMMYFUNCTION("SPLIT(B1009,""T"")"),41647.0)</f>
        <v>41647</v>
      </c>
      <c r="F1009" s="4" t="str">
        <f>IFERROR(__xludf.DUMMYFUNCTION("""COMPUTED_VALUE"""),"19:15:00Z")</f>
        <v>19:15:00Z</v>
      </c>
      <c r="G1009" s="11" t="str">
        <f t="shared" si="1"/>
        <v>19:15:00</v>
      </c>
      <c r="H1009" s="10">
        <f>IFERROR(__xludf.DUMMYFUNCTION("SPLIT(D1009,""T"")"),41643.0)</f>
        <v>41643</v>
      </c>
      <c r="I1009" s="4" t="str">
        <f>IFERROR(__xludf.DUMMYFUNCTION("""COMPUTED_VALUE"""),"12:00:00Z")</f>
        <v>12:00:00Z</v>
      </c>
      <c r="J1009" s="4" t="str">
        <f t="shared" si="2"/>
        <v>12:00:00</v>
      </c>
      <c r="K1009" s="4">
        <f t="shared" si="3"/>
        <v>4</v>
      </c>
      <c r="L1009" s="4">
        <f t="shared" si="4"/>
        <v>0.3020833333</v>
      </c>
      <c r="M1009" s="4">
        <f t="shared" si="5"/>
        <v>4.302083333</v>
      </c>
    </row>
    <row r="1010">
      <c r="A1010" s="4" t="s">
        <v>156</v>
      </c>
      <c r="B1010" s="4" t="s">
        <v>1558</v>
      </c>
      <c r="C1010" s="4" t="s">
        <v>1559</v>
      </c>
      <c r="D1010" s="4" t="s">
        <v>1560</v>
      </c>
      <c r="E1010" s="10">
        <f>IFERROR(__xludf.DUMMYFUNCTION("SPLIT(B1010,""T"")"),42576.0)</f>
        <v>42576</v>
      </c>
      <c r="F1010" s="4" t="str">
        <f>IFERROR(__xludf.DUMMYFUNCTION("""COMPUTED_VALUE"""),"19:20:00Z")</f>
        <v>19:20:00Z</v>
      </c>
      <c r="G1010" s="11" t="str">
        <f t="shared" si="1"/>
        <v>19:20:00</v>
      </c>
      <c r="H1010" s="10">
        <f>IFERROR(__xludf.DUMMYFUNCTION("SPLIT(D1010,""T"")"),42572.0)</f>
        <v>42572</v>
      </c>
      <c r="I1010" s="4" t="str">
        <f>IFERROR(__xludf.DUMMYFUNCTION("""COMPUTED_VALUE"""),"12:53:00Z")</f>
        <v>12:53:00Z</v>
      </c>
      <c r="J1010" s="4" t="str">
        <f t="shared" si="2"/>
        <v>12:53:00</v>
      </c>
      <c r="K1010" s="4">
        <f t="shared" si="3"/>
        <v>4</v>
      </c>
      <c r="L1010" s="4">
        <f t="shared" si="4"/>
        <v>0.26875</v>
      </c>
      <c r="M1010" s="4">
        <f t="shared" si="5"/>
        <v>4.26875</v>
      </c>
    </row>
    <row r="1011">
      <c r="A1011" s="4" t="s">
        <v>73</v>
      </c>
      <c r="B1011" s="4" t="s">
        <v>1347</v>
      </c>
      <c r="C1011" s="4" t="s">
        <v>1348</v>
      </c>
      <c r="D1011" s="4" t="s">
        <v>1349</v>
      </c>
      <c r="E1011" s="10">
        <f>IFERROR(__xludf.DUMMYFUNCTION("SPLIT(B1011,""T"")"),42642.0)</f>
        <v>42642</v>
      </c>
      <c r="F1011" s="4" t="str">
        <f>IFERROR(__xludf.DUMMYFUNCTION("""COMPUTED_VALUE"""),"17:00:00Z")</f>
        <v>17:00:00Z</v>
      </c>
      <c r="G1011" s="11" t="str">
        <f t="shared" si="1"/>
        <v>17:00:00</v>
      </c>
      <c r="H1011" s="10">
        <f>IFERROR(__xludf.DUMMYFUNCTION("SPLIT(D1011,""T"")"),42638.0)</f>
        <v>42638</v>
      </c>
      <c r="I1011" s="4" t="str">
        <f>IFERROR(__xludf.DUMMYFUNCTION("""COMPUTED_VALUE"""),"10:43:00Z")</f>
        <v>10:43:00Z</v>
      </c>
      <c r="J1011" s="4" t="str">
        <f t="shared" si="2"/>
        <v>10:43:00</v>
      </c>
      <c r="K1011" s="4">
        <f t="shared" si="3"/>
        <v>4</v>
      </c>
      <c r="L1011" s="4">
        <f t="shared" si="4"/>
        <v>0.2618055556</v>
      </c>
      <c r="M1011" s="4">
        <f t="shared" si="5"/>
        <v>4.261805556</v>
      </c>
    </row>
    <row r="1012">
      <c r="A1012" s="4" t="s">
        <v>27</v>
      </c>
      <c r="B1012" s="4" t="s">
        <v>1091</v>
      </c>
      <c r="C1012" s="4" t="s">
        <v>1092</v>
      </c>
      <c r="D1012" s="4" t="s">
        <v>1093</v>
      </c>
      <c r="E1012" s="10">
        <f>IFERROR(__xludf.DUMMYFUNCTION("SPLIT(B1012,""T"")"),42160.0)</f>
        <v>42160</v>
      </c>
      <c r="F1012" s="4" t="str">
        <f>IFERROR(__xludf.DUMMYFUNCTION("""COMPUTED_VALUE"""),"16:32:00Z")</f>
        <v>16:32:00Z</v>
      </c>
      <c r="G1012" s="11" t="str">
        <f t="shared" si="1"/>
        <v>16:32:00</v>
      </c>
      <c r="H1012" s="10">
        <f>IFERROR(__xludf.DUMMYFUNCTION("SPLIT(D1012,""T"")"),42156.0)</f>
        <v>42156</v>
      </c>
      <c r="I1012" s="4" t="str">
        <f>IFERROR(__xludf.DUMMYFUNCTION("""COMPUTED_VALUE"""),"10:16:00Z")</f>
        <v>10:16:00Z</v>
      </c>
      <c r="J1012" s="4" t="str">
        <f t="shared" si="2"/>
        <v>10:16:00</v>
      </c>
      <c r="K1012" s="4">
        <f t="shared" si="3"/>
        <v>4</v>
      </c>
      <c r="L1012" s="4">
        <f t="shared" si="4"/>
        <v>0.2611111111</v>
      </c>
      <c r="M1012" s="4">
        <f t="shared" si="5"/>
        <v>4.261111111</v>
      </c>
    </row>
    <row r="1013">
      <c r="A1013" s="4" t="s">
        <v>62</v>
      </c>
      <c r="B1013" s="4" t="s">
        <v>91</v>
      </c>
      <c r="C1013" s="4" t="s">
        <v>92</v>
      </c>
      <c r="D1013" s="4" t="s">
        <v>93</v>
      </c>
      <c r="E1013" s="10">
        <f>IFERROR(__xludf.DUMMYFUNCTION("SPLIT(B1013,""T"")"),41556.0)</f>
        <v>41556</v>
      </c>
      <c r="F1013" s="4" t="str">
        <f>IFERROR(__xludf.DUMMYFUNCTION("""COMPUTED_VALUE"""),"19:00:00Z")</f>
        <v>19:00:00Z</v>
      </c>
      <c r="G1013" s="11" t="str">
        <f t="shared" si="1"/>
        <v>19:00:00</v>
      </c>
      <c r="H1013" s="10">
        <f>IFERROR(__xludf.DUMMYFUNCTION("SPLIT(D1013,""T"")"),41552.0)</f>
        <v>41552</v>
      </c>
      <c r="I1013" s="4" t="str">
        <f>IFERROR(__xludf.DUMMYFUNCTION("""COMPUTED_VALUE"""),"12:45:00Z")</f>
        <v>12:45:00Z</v>
      </c>
      <c r="J1013" s="4" t="str">
        <f t="shared" si="2"/>
        <v>12:45:00</v>
      </c>
      <c r="K1013" s="4">
        <f t="shared" si="3"/>
        <v>4</v>
      </c>
      <c r="L1013" s="4">
        <f t="shared" si="4"/>
        <v>0.2604166667</v>
      </c>
      <c r="M1013" s="4">
        <f t="shared" si="5"/>
        <v>4.260416667</v>
      </c>
    </row>
    <row r="1014">
      <c r="A1014" s="4" t="s">
        <v>58</v>
      </c>
      <c r="B1014" s="4" t="s">
        <v>3403</v>
      </c>
      <c r="C1014" s="4" t="s">
        <v>29</v>
      </c>
      <c r="D1014" s="4" t="s">
        <v>3404</v>
      </c>
      <c r="E1014" s="10">
        <f>IFERROR(__xludf.DUMMYFUNCTION("SPLIT(B1014,""T"")"),43703.0)</f>
        <v>43703</v>
      </c>
      <c r="F1014" s="4" t="str">
        <f>IFERROR(__xludf.DUMMYFUNCTION("""COMPUTED_VALUE"""),"17:00:00Z")</f>
        <v>17:00:00Z</v>
      </c>
      <c r="G1014" s="11" t="str">
        <f t="shared" si="1"/>
        <v>17:00:00</v>
      </c>
      <c r="H1014" s="10">
        <f>IFERROR(__xludf.DUMMYFUNCTION("SPLIT(D1014,""T"")"),43699.0)</f>
        <v>43699</v>
      </c>
      <c r="I1014" s="4" t="str">
        <f>IFERROR(__xludf.DUMMYFUNCTION("""COMPUTED_VALUE"""),"11:02:09Z")</f>
        <v>11:02:09Z</v>
      </c>
      <c r="J1014" s="4" t="str">
        <f t="shared" si="2"/>
        <v>11:02:09</v>
      </c>
      <c r="K1014" s="4">
        <f t="shared" si="3"/>
        <v>4</v>
      </c>
      <c r="L1014" s="4">
        <f t="shared" si="4"/>
        <v>0.2485069444</v>
      </c>
      <c r="M1014" s="4">
        <f t="shared" si="5"/>
        <v>4.248506944</v>
      </c>
    </row>
    <row r="1015">
      <c r="A1015" s="4" t="s">
        <v>411</v>
      </c>
      <c r="B1015" s="4" t="s">
        <v>1403</v>
      </c>
      <c r="C1015" s="4" t="s">
        <v>979</v>
      </c>
      <c r="D1015" s="4" t="s">
        <v>1404</v>
      </c>
      <c r="E1015" s="10">
        <f>IFERROR(__xludf.DUMMYFUNCTION("SPLIT(B1015,""T"")"),42567.0)</f>
        <v>42567</v>
      </c>
      <c r="F1015" s="4" t="str">
        <f>IFERROR(__xludf.DUMMYFUNCTION("""COMPUTED_VALUE"""),"18:30:00Z")</f>
        <v>18:30:00Z</v>
      </c>
      <c r="G1015" s="11" t="str">
        <f t="shared" si="1"/>
        <v>18:30:00</v>
      </c>
      <c r="H1015" s="10">
        <f>IFERROR(__xludf.DUMMYFUNCTION("SPLIT(D1015,""T"")"),42563.0)</f>
        <v>42563</v>
      </c>
      <c r="I1015" s="4" t="str">
        <f>IFERROR(__xludf.DUMMYFUNCTION("""COMPUTED_VALUE"""),"13:14:00Z")</f>
        <v>13:14:00Z</v>
      </c>
      <c r="J1015" s="4" t="str">
        <f t="shared" si="2"/>
        <v>13:14:00</v>
      </c>
      <c r="K1015" s="4">
        <f t="shared" si="3"/>
        <v>4</v>
      </c>
      <c r="L1015" s="4">
        <f t="shared" si="4"/>
        <v>0.2194444444</v>
      </c>
      <c r="M1015" s="4">
        <f t="shared" si="5"/>
        <v>4.219444444</v>
      </c>
    </row>
    <row r="1016">
      <c r="A1016" s="4" t="s">
        <v>630</v>
      </c>
      <c r="B1016" s="4" t="s">
        <v>1041</v>
      </c>
      <c r="C1016" s="4" t="s">
        <v>1042</v>
      </c>
      <c r="D1016" s="4" t="s">
        <v>1043</v>
      </c>
      <c r="E1016" s="10">
        <f>IFERROR(__xludf.DUMMYFUNCTION("SPLIT(B1016,""T"")"),42245.0)</f>
        <v>42245</v>
      </c>
      <c r="F1016" s="4" t="str">
        <f>IFERROR(__xludf.DUMMYFUNCTION("""COMPUTED_VALUE"""),"18:45:00Z")</f>
        <v>18:45:00Z</v>
      </c>
      <c r="G1016" s="11" t="str">
        <f t="shared" si="1"/>
        <v>18:45:00</v>
      </c>
      <c r="H1016" s="10">
        <f>IFERROR(__xludf.DUMMYFUNCTION("SPLIT(D1016,""T"")"),42241.0)</f>
        <v>42241</v>
      </c>
      <c r="I1016" s="4" t="str">
        <f>IFERROR(__xludf.DUMMYFUNCTION("""COMPUTED_VALUE"""),"14:08:00Z")</f>
        <v>14:08:00Z</v>
      </c>
      <c r="J1016" s="4" t="str">
        <f t="shared" si="2"/>
        <v>14:08:00</v>
      </c>
      <c r="K1016" s="4">
        <f t="shared" si="3"/>
        <v>4</v>
      </c>
      <c r="L1016" s="4">
        <f t="shared" si="4"/>
        <v>0.1923611111</v>
      </c>
      <c r="M1016" s="4">
        <f t="shared" si="5"/>
        <v>4.192361111</v>
      </c>
    </row>
    <row r="1017">
      <c r="A1017" s="4" t="s">
        <v>87</v>
      </c>
      <c r="B1017" s="4" t="s">
        <v>649</v>
      </c>
      <c r="C1017" s="4" t="s">
        <v>650</v>
      </c>
      <c r="D1017" s="4" t="s">
        <v>651</v>
      </c>
      <c r="E1017" s="10">
        <f>IFERROR(__xludf.DUMMYFUNCTION("SPLIT(B1017,""T"")"),41852.0)</f>
        <v>41852</v>
      </c>
      <c r="F1017" s="4" t="str">
        <f>IFERROR(__xludf.DUMMYFUNCTION("""COMPUTED_VALUE"""),"17:30:00Z")</f>
        <v>17:30:00Z</v>
      </c>
      <c r="G1017" s="11" t="str">
        <f t="shared" si="1"/>
        <v>17:30:00</v>
      </c>
      <c r="H1017" s="10">
        <f>IFERROR(__xludf.DUMMYFUNCTION("SPLIT(D1017,""T"")"),41848.0)</f>
        <v>41848</v>
      </c>
      <c r="I1017" s="4" t="str">
        <f>IFERROR(__xludf.DUMMYFUNCTION("""COMPUTED_VALUE"""),"13:11:00Z")</f>
        <v>13:11:00Z</v>
      </c>
      <c r="J1017" s="4" t="str">
        <f t="shared" si="2"/>
        <v>13:11:00</v>
      </c>
      <c r="K1017" s="4">
        <f t="shared" si="3"/>
        <v>4</v>
      </c>
      <c r="L1017" s="4">
        <f t="shared" si="4"/>
        <v>0.1798611111</v>
      </c>
      <c r="M1017" s="4">
        <f t="shared" si="5"/>
        <v>4.179861111</v>
      </c>
    </row>
    <row r="1018">
      <c r="A1018" s="4" t="s">
        <v>856</v>
      </c>
      <c r="B1018" s="4" t="s">
        <v>1458</v>
      </c>
      <c r="C1018" s="4" t="s">
        <v>1459</v>
      </c>
      <c r="D1018" s="4" t="s">
        <v>1460</v>
      </c>
      <c r="E1018" s="10">
        <f>IFERROR(__xludf.DUMMYFUNCTION("SPLIT(B1018,""T"")"),42630.0)</f>
        <v>42630</v>
      </c>
      <c r="F1018" s="4" t="str">
        <f>IFERROR(__xludf.DUMMYFUNCTION("""COMPUTED_VALUE"""),"18:00:00Z")</f>
        <v>18:00:00Z</v>
      </c>
      <c r="G1018" s="11" t="str">
        <f t="shared" si="1"/>
        <v>18:00:00</v>
      </c>
      <c r="H1018" s="10">
        <f>IFERROR(__xludf.DUMMYFUNCTION("SPLIT(D1018,""T"")"),42626.0)</f>
        <v>42626</v>
      </c>
      <c r="I1018" s="4" t="str">
        <f>IFERROR(__xludf.DUMMYFUNCTION("""COMPUTED_VALUE"""),"13:55:00Z")</f>
        <v>13:55:00Z</v>
      </c>
      <c r="J1018" s="4" t="str">
        <f t="shared" si="2"/>
        <v>13:55:00</v>
      </c>
      <c r="K1018" s="4">
        <f t="shared" si="3"/>
        <v>4</v>
      </c>
      <c r="L1018" s="4">
        <f t="shared" si="4"/>
        <v>0.1701388889</v>
      </c>
      <c r="M1018" s="4">
        <f t="shared" si="5"/>
        <v>4.170138889</v>
      </c>
    </row>
    <row r="1019">
      <c r="A1019" s="4" t="s">
        <v>149</v>
      </c>
      <c r="B1019" s="4" t="s">
        <v>905</v>
      </c>
      <c r="C1019" s="4" t="s">
        <v>906</v>
      </c>
      <c r="D1019" s="4" t="s">
        <v>907</v>
      </c>
      <c r="E1019" s="10">
        <f>IFERROR(__xludf.DUMMYFUNCTION("SPLIT(B1019,""T"")"),42179.0)</f>
        <v>42179</v>
      </c>
      <c r="F1019" s="4" t="str">
        <f>IFERROR(__xludf.DUMMYFUNCTION("""COMPUTED_VALUE"""),"18:30:00Z")</f>
        <v>18:30:00Z</v>
      </c>
      <c r="G1019" s="11" t="str">
        <f t="shared" si="1"/>
        <v>18:30:00</v>
      </c>
      <c r="H1019" s="10">
        <f>IFERROR(__xludf.DUMMYFUNCTION("SPLIT(D1019,""T"")"),42175.0)</f>
        <v>42175</v>
      </c>
      <c r="I1019" s="4" t="str">
        <f>IFERROR(__xludf.DUMMYFUNCTION("""COMPUTED_VALUE"""),"14:41:00Z")</f>
        <v>14:41:00Z</v>
      </c>
      <c r="J1019" s="4" t="str">
        <f t="shared" si="2"/>
        <v>14:41:00</v>
      </c>
      <c r="K1019" s="4">
        <f t="shared" si="3"/>
        <v>4</v>
      </c>
      <c r="L1019" s="4">
        <f t="shared" si="4"/>
        <v>0.1590277778</v>
      </c>
      <c r="M1019" s="4">
        <f t="shared" si="5"/>
        <v>4.159027778</v>
      </c>
    </row>
    <row r="1020">
      <c r="A1020" s="4" t="s">
        <v>324</v>
      </c>
      <c r="B1020" s="4" t="s">
        <v>1434</v>
      </c>
      <c r="C1020" s="4" t="s">
        <v>1435</v>
      </c>
      <c r="D1020" s="4" t="s">
        <v>1436</v>
      </c>
      <c r="E1020" s="10">
        <f>IFERROR(__xludf.DUMMYFUNCTION("SPLIT(B1020,""T"")"),42542.0)</f>
        <v>42542</v>
      </c>
      <c r="F1020" s="4" t="str">
        <f>IFERROR(__xludf.DUMMYFUNCTION("""COMPUTED_VALUE"""),"18:30:00Z")</f>
        <v>18:30:00Z</v>
      </c>
      <c r="G1020" s="11" t="str">
        <f t="shared" si="1"/>
        <v>18:30:00</v>
      </c>
      <c r="H1020" s="10">
        <f>IFERROR(__xludf.DUMMYFUNCTION("SPLIT(D1020,""T"")"),42538.0)</f>
        <v>42538</v>
      </c>
      <c r="I1020" s="4" t="str">
        <f>IFERROR(__xludf.DUMMYFUNCTION("""COMPUTED_VALUE"""),"14:54:00Z")</f>
        <v>14:54:00Z</v>
      </c>
      <c r="J1020" s="4" t="str">
        <f t="shared" si="2"/>
        <v>14:54:00</v>
      </c>
      <c r="K1020" s="4">
        <f t="shared" si="3"/>
        <v>4</v>
      </c>
      <c r="L1020" s="4">
        <f t="shared" si="4"/>
        <v>0.15</v>
      </c>
      <c r="M1020" s="4">
        <f t="shared" si="5"/>
        <v>4.15</v>
      </c>
    </row>
    <row r="1021">
      <c r="A1021" s="4" t="s">
        <v>54</v>
      </c>
      <c r="B1021" s="4" t="s">
        <v>3555</v>
      </c>
      <c r="C1021" s="4" t="s">
        <v>232</v>
      </c>
      <c r="D1021" s="4" t="s">
        <v>3654</v>
      </c>
      <c r="E1021" s="10">
        <f>IFERROR(__xludf.DUMMYFUNCTION("SPLIT(B1021,""T"")"),43609.0)</f>
        <v>43609</v>
      </c>
      <c r="F1021" s="4" t="str">
        <f>IFERROR(__xludf.DUMMYFUNCTION("""COMPUTED_VALUE"""),"14:23:00Z")</f>
        <v>14:23:00Z</v>
      </c>
      <c r="G1021" s="11" t="str">
        <f t="shared" si="1"/>
        <v>14:23:00</v>
      </c>
      <c r="H1021" s="10">
        <f>IFERROR(__xludf.DUMMYFUNCTION("SPLIT(D1021,""T"")"),43605.0)</f>
        <v>43605</v>
      </c>
      <c r="I1021" s="4" t="str">
        <f>IFERROR(__xludf.DUMMYFUNCTION("""COMPUTED_VALUE"""),"10:57:00Z")</f>
        <v>10:57:00Z</v>
      </c>
      <c r="J1021" s="4" t="str">
        <f t="shared" si="2"/>
        <v>10:57:00</v>
      </c>
      <c r="K1021" s="4">
        <f t="shared" si="3"/>
        <v>4</v>
      </c>
      <c r="L1021" s="4">
        <f t="shared" si="4"/>
        <v>0.1430555556</v>
      </c>
      <c r="M1021" s="4">
        <f t="shared" si="5"/>
        <v>4.143055556</v>
      </c>
    </row>
    <row r="1022">
      <c r="A1022" s="4" t="s">
        <v>87</v>
      </c>
      <c r="B1022" s="4" t="s">
        <v>1528</v>
      </c>
      <c r="C1022" s="4" t="s">
        <v>1529</v>
      </c>
      <c r="D1022" s="4" t="s">
        <v>1530</v>
      </c>
      <c r="E1022" s="10">
        <f>IFERROR(__xludf.DUMMYFUNCTION("SPLIT(B1022,""T"")"),42612.0)</f>
        <v>42612</v>
      </c>
      <c r="F1022" s="4" t="str">
        <f>IFERROR(__xludf.DUMMYFUNCTION("""COMPUTED_VALUE"""),"18:40:00Z")</f>
        <v>18:40:00Z</v>
      </c>
      <c r="G1022" s="11" t="str">
        <f t="shared" si="1"/>
        <v>18:40:00</v>
      </c>
      <c r="H1022" s="10">
        <f>IFERROR(__xludf.DUMMYFUNCTION("SPLIT(D1022,""T"")"),42608.0)</f>
        <v>42608</v>
      </c>
      <c r="I1022" s="4" t="str">
        <f>IFERROR(__xludf.DUMMYFUNCTION("""COMPUTED_VALUE"""),"15:30:00Z")</f>
        <v>15:30:00Z</v>
      </c>
      <c r="J1022" s="4" t="str">
        <f t="shared" si="2"/>
        <v>15:30:00</v>
      </c>
      <c r="K1022" s="4">
        <f t="shared" si="3"/>
        <v>4</v>
      </c>
      <c r="L1022" s="4">
        <f t="shared" si="4"/>
        <v>0.1319444444</v>
      </c>
      <c r="M1022" s="4">
        <f t="shared" si="5"/>
        <v>4.131944444</v>
      </c>
    </row>
    <row r="1023">
      <c r="A1023" s="4" t="s">
        <v>630</v>
      </c>
      <c r="B1023" s="4" t="s">
        <v>631</v>
      </c>
      <c r="C1023" s="4" t="s">
        <v>632</v>
      </c>
      <c r="D1023" s="4" t="s">
        <v>633</v>
      </c>
      <c r="E1023" s="10">
        <f>IFERROR(__xludf.DUMMYFUNCTION("SPLIT(B1023,""T"")"),41879.0)</f>
        <v>41879</v>
      </c>
      <c r="F1023" s="4" t="str">
        <f>IFERROR(__xludf.DUMMYFUNCTION("""COMPUTED_VALUE"""),"19:00:00Z")</f>
        <v>19:00:00Z</v>
      </c>
      <c r="G1023" s="11" t="str">
        <f t="shared" si="1"/>
        <v>19:00:00</v>
      </c>
      <c r="H1023" s="10">
        <f>IFERROR(__xludf.DUMMYFUNCTION("SPLIT(D1023,""T"")"),41875.0)</f>
        <v>41875</v>
      </c>
      <c r="I1023" s="4" t="str">
        <f>IFERROR(__xludf.DUMMYFUNCTION("""COMPUTED_VALUE"""),"16:36:00Z")</f>
        <v>16:36:00Z</v>
      </c>
      <c r="J1023" s="4" t="str">
        <f t="shared" si="2"/>
        <v>16:36:00</v>
      </c>
      <c r="K1023" s="4">
        <f t="shared" si="3"/>
        <v>4</v>
      </c>
      <c r="L1023" s="4">
        <f t="shared" si="4"/>
        <v>0.1</v>
      </c>
      <c r="M1023" s="4">
        <f t="shared" si="5"/>
        <v>4.1</v>
      </c>
    </row>
    <row r="1024">
      <c r="A1024" s="4" t="s">
        <v>170</v>
      </c>
      <c r="B1024" s="4" t="s">
        <v>931</v>
      </c>
      <c r="C1024" s="4" t="s">
        <v>932</v>
      </c>
      <c r="D1024" s="4" t="s">
        <v>933</v>
      </c>
      <c r="E1024" s="10">
        <f>IFERROR(__xludf.DUMMYFUNCTION("SPLIT(B1024,""T"")"),42293.0)</f>
        <v>42293</v>
      </c>
      <c r="F1024" s="4" t="str">
        <f>IFERROR(__xludf.DUMMYFUNCTION("""COMPUTED_VALUE"""),"18:00:00Z")</f>
        <v>18:00:00Z</v>
      </c>
      <c r="G1024" s="11" t="str">
        <f t="shared" si="1"/>
        <v>18:00:00</v>
      </c>
      <c r="H1024" s="10">
        <f>IFERROR(__xludf.DUMMYFUNCTION("SPLIT(D1024,""T"")"),42289.0)</f>
        <v>42289</v>
      </c>
      <c r="I1024" s="4" t="str">
        <f>IFERROR(__xludf.DUMMYFUNCTION("""COMPUTED_VALUE"""),"16:00:00Z")</f>
        <v>16:00:00Z</v>
      </c>
      <c r="J1024" s="4" t="str">
        <f t="shared" si="2"/>
        <v>16:00:00</v>
      </c>
      <c r="K1024" s="4">
        <f t="shared" si="3"/>
        <v>4</v>
      </c>
      <c r="L1024" s="4">
        <f t="shared" si="4"/>
        <v>0.08333333333</v>
      </c>
      <c r="M1024" s="4">
        <f t="shared" si="5"/>
        <v>4.083333333</v>
      </c>
    </row>
    <row r="1025">
      <c r="A1025" s="4" t="s">
        <v>31</v>
      </c>
      <c r="B1025" s="4" t="s">
        <v>3748</v>
      </c>
      <c r="C1025" s="4" t="s">
        <v>3749</v>
      </c>
      <c r="D1025" s="4" t="s">
        <v>3750</v>
      </c>
      <c r="E1025" s="10">
        <f>IFERROR(__xludf.DUMMYFUNCTION("SPLIT(B1025,""T"")"),43627.0)</f>
        <v>43627</v>
      </c>
      <c r="F1025" s="4" t="str">
        <f>IFERROR(__xludf.DUMMYFUNCTION("""COMPUTED_VALUE"""),"14:50:00Z")</f>
        <v>14:50:00Z</v>
      </c>
      <c r="G1025" s="11" t="str">
        <f t="shared" si="1"/>
        <v>14:50:00</v>
      </c>
      <c r="H1025" s="10">
        <f>IFERROR(__xludf.DUMMYFUNCTION("SPLIT(D1025,""T"")"),43623.0)</f>
        <v>43623</v>
      </c>
      <c r="I1025" s="4" t="str">
        <f>IFERROR(__xludf.DUMMYFUNCTION("""COMPUTED_VALUE"""),"12:59:00Z")</f>
        <v>12:59:00Z</v>
      </c>
      <c r="J1025" s="4" t="str">
        <f t="shared" si="2"/>
        <v>12:59:00</v>
      </c>
      <c r="K1025" s="4">
        <f t="shared" si="3"/>
        <v>4</v>
      </c>
      <c r="L1025" s="4">
        <f t="shared" si="4"/>
        <v>0.07708333333</v>
      </c>
      <c r="M1025" s="4">
        <f t="shared" si="5"/>
        <v>4.077083333</v>
      </c>
    </row>
    <row r="1026">
      <c r="A1026" s="4" t="s">
        <v>58</v>
      </c>
      <c r="B1026" s="4" t="s">
        <v>228</v>
      </c>
      <c r="C1026" s="4" t="s">
        <v>229</v>
      </c>
      <c r="D1026" s="4" t="s">
        <v>230</v>
      </c>
      <c r="E1026" s="10">
        <f>IFERROR(__xludf.DUMMYFUNCTION("SPLIT(B1026,""T"")"),41509.0)</f>
        <v>41509</v>
      </c>
      <c r="F1026" s="4" t="str">
        <f>IFERROR(__xludf.DUMMYFUNCTION("""COMPUTED_VALUE"""),"19:15:00Z")</f>
        <v>19:15:00Z</v>
      </c>
      <c r="G1026" s="11" t="str">
        <f t="shared" si="1"/>
        <v>19:15:00</v>
      </c>
      <c r="H1026" s="10">
        <f>IFERROR(__xludf.DUMMYFUNCTION("SPLIT(D1026,""T"")"),41505.0)</f>
        <v>41505</v>
      </c>
      <c r="I1026" s="4" t="str">
        <f>IFERROR(__xludf.DUMMYFUNCTION("""COMPUTED_VALUE"""),"17:48:00Z")</f>
        <v>17:48:00Z</v>
      </c>
      <c r="J1026" s="4" t="str">
        <f t="shared" si="2"/>
        <v>17:48:00</v>
      </c>
      <c r="K1026" s="4">
        <f t="shared" si="3"/>
        <v>4</v>
      </c>
      <c r="L1026" s="4">
        <f t="shared" si="4"/>
        <v>0.06041666667</v>
      </c>
      <c r="M1026" s="4">
        <f t="shared" si="5"/>
        <v>4.060416667</v>
      </c>
    </row>
    <row r="1027">
      <c r="A1027" s="4" t="s">
        <v>46</v>
      </c>
      <c r="B1027" s="4" t="s">
        <v>523</v>
      </c>
      <c r="C1027" s="4" t="s">
        <v>524</v>
      </c>
      <c r="D1027" s="4" t="s">
        <v>525</v>
      </c>
      <c r="E1027" s="10">
        <f>IFERROR(__xludf.DUMMYFUNCTION("SPLIT(B1027,""T"")"),41857.0)</f>
        <v>41857</v>
      </c>
      <c r="F1027" s="4" t="str">
        <f>IFERROR(__xludf.DUMMYFUNCTION("""COMPUTED_VALUE"""),"10:00:00Z")</f>
        <v>10:00:00Z</v>
      </c>
      <c r="G1027" s="11" t="str">
        <f t="shared" si="1"/>
        <v>10:00:00</v>
      </c>
      <c r="H1027" s="10">
        <f>IFERROR(__xludf.DUMMYFUNCTION("SPLIT(D1027,""T"")"),41853.0)</f>
        <v>41853</v>
      </c>
      <c r="I1027" s="4" t="str">
        <f>IFERROR(__xludf.DUMMYFUNCTION("""COMPUTED_VALUE"""),"09:00:00Z")</f>
        <v>09:00:00Z</v>
      </c>
      <c r="J1027" s="4" t="str">
        <f t="shared" si="2"/>
        <v>09:00:00</v>
      </c>
      <c r="K1027" s="4">
        <f t="shared" si="3"/>
        <v>4</v>
      </c>
      <c r="L1027" s="4">
        <f t="shared" si="4"/>
        <v>0.04166666667</v>
      </c>
      <c r="M1027" s="4">
        <f t="shared" si="5"/>
        <v>4.041666667</v>
      </c>
    </row>
    <row r="1028">
      <c r="A1028" s="4" t="s">
        <v>27</v>
      </c>
      <c r="B1028" s="4" t="s">
        <v>3555</v>
      </c>
      <c r="C1028" s="4" t="s">
        <v>811</v>
      </c>
      <c r="D1028" s="4" t="s">
        <v>3751</v>
      </c>
      <c r="E1028" s="10">
        <f>IFERROR(__xludf.DUMMYFUNCTION("SPLIT(B1028,""T"")"),43609.0)</f>
        <v>43609</v>
      </c>
      <c r="F1028" s="4" t="str">
        <f>IFERROR(__xludf.DUMMYFUNCTION("""COMPUTED_VALUE"""),"14:23:00Z")</f>
        <v>14:23:00Z</v>
      </c>
      <c r="G1028" s="11" t="str">
        <f t="shared" si="1"/>
        <v>14:23:00</v>
      </c>
      <c r="H1028" s="10">
        <f>IFERROR(__xludf.DUMMYFUNCTION("SPLIT(D1028,""T"")"),43605.0)</f>
        <v>43605</v>
      </c>
      <c r="I1028" s="4" t="str">
        <f>IFERROR(__xludf.DUMMYFUNCTION("""COMPUTED_VALUE"""),"13:50:00Z")</f>
        <v>13:50:00Z</v>
      </c>
      <c r="J1028" s="4" t="str">
        <f t="shared" si="2"/>
        <v>13:50:00</v>
      </c>
      <c r="K1028" s="4">
        <f t="shared" si="3"/>
        <v>4</v>
      </c>
      <c r="L1028" s="4">
        <f t="shared" si="4"/>
        <v>0.02291666667</v>
      </c>
      <c r="M1028" s="4">
        <f t="shared" si="5"/>
        <v>4.022916667</v>
      </c>
    </row>
    <row r="1029">
      <c r="A1029" s="4" t="s">
        <v>313</v>
      </c>
      <c r="B1029" s="4" t="s">
        <v>643</v>
      </c>
      <c r="C1029" s="4" t="s">
        <v>644</v>
      </c>
      <c r="D1029" s="4" t="s">
        <v>645</v>
      </c>
      <c r="E1029" s="10">
        <f>IFERROR(__xludf.DUMMYFUNCTION("SPLIT(B1029,""T"")"),41899.0)</f>
        <v>41899</v>
      </c>
      <c r="F1029" s="4" t="str">
        <f>IFERROR(__xludf.DUMMYFUNCTION("""COMPUTED_VALUE"""),"16:10:00Z")</f>
        <v>16:10:00Z</v>
      </c>
      <c r="G1029" s="11" t="str">
        <f t="shared" si="1"/>
        <v>16:10:00</v>
      </c>
      <c r="H1029" s="10">
        <f>IFERROR(__xludf.DUMMYFUNCTION("SPLIT(D1029,""T"")"),41895.0)</f>
        <v>41895</v>
      </c>
      <c r="I1029" s="4" t="str">
        <f>IFERROR(__xludf.DUMMYFUNCTION("""COMPUTED_VALUE"""),"15:48:00Z")</f>
        <v>15:48:00Z</v>
      </c>
      <c r="J1029" s="4" t="str">
        <f t="shared" si="2"/>
        <v>15:48:00</v>
      </c>
      <c r="K1029" s="4">
        <f t="shared" si="3"/>
        <v>4</v>
      </c>
      <c r="L1029" s="4">
        <f t="shared" si="4"/>
        <v>0.01527777778</v>
      </c>
      <c r="M1029" s="4">
        <f t="shared" si="5"/>
        <v>4.015277778</v>
      </c>
    </row>
    <row r="1030">
      <c r="A1030" s="4" t="s">
        <v>260</v>
      </c>
      <c r="B1030" s="4" t="s">
        <v>3405</v>
      </c>
      <c r="C1030" s="4" t="s">
        <v>3011</v>
      </c>
      <c r="D1030" s="4" t="s">
        <v>3406</v>
      </c>
      <c r="E1030" s="10">
        <f>IFERROR(__xludf.DUMMYFUNCTION("SPLIT(B1030,""T"")"),43627.0)</f>
        <v>43627</v>
      </c>
      <c r="F1030" s="4" t="str">
        <f>IFERROR(__xludf.DUMMYFUNCTION("""COMPUTED_VALUE"""),"17:14:00Z")</f>
        <v>17:14:00Z</v>
      </c>
      <c r="G1030" s="11" t="str">
        <f t="shared" si="1"/>
        <v>17:14:00</v>
      </c>
      <c r="H1030" s="10">
        <f>IFERROR(__xludf.DUMMYFUNCTION("SPLIT(D1030,""T"")"),43623.0)</f>
        <v>43623</v>
      </c>
      <c r="I1030" s="4" t="str">
        <f>IFERROR(__xludf.DUMMYFUNCTION("""COMPUTED_VALUE"""),"16:55:00Z")</f>
        <v>16:55:00Z</v>
      </c>
      <c r="J1030" s="4" t="str">
        <f t="shared" si="2"/>
        <v>16:55:00</v>
      </c>
      <c r="K1030" s="4">
        <f t="shared" si="3"/>
        <v>4</v>
      </c>
      <c r="L1030" s="4">
        <f t="shared" si="4"/>
        <v>0.01319444444</v>
      </c>
      <c r="M1030" s="4">
        <f t="shared" si="5"/>
        <v>4.013194444</v>
      </c>
    </row>
    <row r="1031">
      <c r="A1031" s="4" t="s">
        <v>166</v>
      </c>
      <c r="B1031" s="4" t="s">
        <v>807</v>
      </c>
      <c r="C1031" s="4" t="s">
        <v>808</v>
      </c>
      <c r="D1031" s="4" t="s">
        <v>809</v>
      </c>
      <c r="E1031" s="10">
        <f>IFERROR(__xludf.DUMMYFUNCTION("SPLIT(B1031,""T"")"),41897.0)</f>
        <v>41897</v>
      </c>
      <c r="F1031" s="4" t="str">
        <f>IFERROR(__xludf.DUMMYFUNCTION("""COMPUTED_VALUE"""),"14:20:00Z")</f>
        <v>14:20:00Z</v>
      </c>
      <c r="G1031" s="11" t="str">
        <f t="shared" si="1"/>
        <v>14:20:00</v>
      </c>
      <c r="H1031" s="10">
        <f>IFERROR(__xludf.DUMMYFUNCTION("SPLIT(D1031,""T"")"),41893.0)</f>
        <v>41893</v>
      </c>
      <c r="I1031" s="4" t="str">
        <f>IFERROR(__xludf.DUMMYFUNCTION("""COMPUTED_VALUE"""),"15:14:00Z")</f>
        <v>15:14:00Z</v>
      </c>
      <c r="J1031" s="4" t="str">
        <f t="shared" si="2"/>
        <v>15:14:00</v>
      </c>
      <c r="K1031" s="4">
        <f t="shared" si="3"/>
        <v>4</v>
      </c>
      <c r="L1031" s="4">
        <f t="shared" si="4"/>
        <v>-0.0375</v>
      </c>
      <c r="M1031" s="4">
        <f t="shared" si="5"/>
        <v>3.9625</v>
      </c>
    </row>
    <row r="1032">
      <c r="A1032" s="4" t="s">
        <v>212</v>
      </c>
      <c r="B1032" s="4" t="s">
        <v>216</v>
      </c>
      <c r="C1032" s="4" t="s">
        <v>217</v>
      </c>
      <c r="D1032" s="4" t="s">
        <v>218</v>
      </c>
      <c r="E1032" s="10">
        <f>IFERROR(__xludf.DUMMYFUNCTION("SPLIT(B1032,""T"")"),41399.0)</f>
        <v>41399</v>
      </c>
      <c r="F1032" s="4" t="str">
        <f>IFERROR(__xludf.DUMMYFUNCTION("""COMPUTED_VALUE"""),"18:00:00Z")</f>
        <v>18:00:00Z</v>
      </c>
      <c r="G1032" s="11" t="str">
        <f t="shared" si="1"/>
        <v>18:00:00</v>
      </c>
      <c r="H1032" s="10">
        <f>IFERROR(__xludf.DUMMYFUNCTION("SPLIT(D1032,""T"")"),41395.0)</f>
        <v>41395</v>
      </c>
      <c r="I1032" s="4" t="str">
        <f>IFERROR(__xludf.DUMMYFUNCTION("""COMPUTED_VALUE"""),"19:00:00Z")</f>
        <v>19:00:00Z</v>
      </c>
      <c r="J1032" s="4" t="str">
        <f t="shared" si="2"/>
        <v>19:00:00</v>
      </c>
      <c r="K1032" s="4">
        <f t="shared" si="3"/>
        <v>4</v>
      </c>
      <c r="L1032" s="4">
        <f t="shared" si="4"/>
        <v>-0.04166666667</v>
      </c>
      <c r="M1032" s="4">
        <f t="shared" si="5"/>
        <v>3.958333333</v>
      </c>
    </row>
    <row r="1033">
      <c r="A1033" s="4" t="s">
        <v>367</v>
      </c>
      <c r="B1033" s="4" t="s">
        <v>1025</v>
      </c>
      <c r="C1033" s="4" t="s">
        <v>1026</v>
      </c>
      <c r="D1033" s="4" t="s">
        <v>1027</v>
      </c>
      <c r="E1033" s="10">
        <f>IFERROR(__xludf.DUMMYFUNCTION("SPLIT(B1033,""T"")"),42177.0)</f>
        <v>42177</v>
      </c>
      <c r="F1033" s="4" t="str">
        <f>IFERROR(__xludf.DUMMYFUNCTION("""COMPUTED_VALUE"""),"11:45:00Z")</f>
        <v>11:45:00Z</v>
      </c>
      <c r="G1033" s="11" t="str">
        <f t="shared" si="1"/>
        <v>11:45:00</v>
      </c>
      <c r="H1033" s="10">
        <f>IFERROR(__xludf.DUMMYFUNCTION("SPLIT(D1033,""T"")"),42173.0)</f>
        <v>42173</v>
      </c>
      <c r="I1033" s="4" t="str">
        <f>IFERROR(__xludf.DUMMYFUNCTION("""COMPUTED_VALUE"""),"13:07:00Z")</f>
        <v>13:07:00Z</v>
      </c>
      <c r="J1033" s="4" t="str">
        <f t="shared" si="2"/>
        <v>13:07:00</v>
      </c>
      <c r="K1033" s="4">
        <f t="shared" si="3"/>
        <v>4</v>
      </c>
      <c r="L1033" s="4">
        <f t="shared" si="4"/>
        <v>-0.05694444444</v>
      </c>
      <c r="M1033" s="4">
        <f t="shared" si="5"/>
        <v>3.943055556</v>
      </c>
    </row>
    <row r="1034">
      <c r="A1034" s="4" t="s">
        <v>630</v>
      </c>
      <c r="B1034" s="4" t="s">
        <v>860</v>
      </c>
      <c r="C1034" s="4" t="s">
        <v>861</v>
      </c>
      <c r="D1034" s="4" t="s">
        <v>862</v>
      </c>
      <c r="E1034" s="10">
        <f>IFERROR(__xludf.DUMMYFUNCTION("SPLIT(B1034,""T"")"),42219.0)</f>
        <v>42219</v>
      </c>
      <c r="F1034" s="4" t="str">
        <f>IFERROR(__xludf.DUMMYFUNCTION("""COMPUTED_VALUE"""),"14:00:00Z")</f>
        <v>14:00:00Z</v>
      </c>
      <c r="G1034" s="11" t="str">
        <f t="shared" si="1"/>
        <v>14:00:00</v>
      </c>
      <c r="H1034" s="10">
        <f>IFERROR(__xludf.DUMMYFUNCTION("SPLIT(D1034,""T"")"),42215.0)</f>
        <v>42215</v>
      </c>
      <c r="I1034" s="4" t="str">
        <f>IFERROR(__xludf.DUMMYFUNCTION("""COMPUTED_VALUE"""),"16:00:00Z")</f>
        <v>16:00:00Z</v>
      </c>
      <c r="J1034" s="4" t="str">
        <f t="shared" si="2"/>
        <v>16:00:00</v>
      </c>
      <c r="K1034" s="4">
        <f t="shared" si="3"/>
        <v>4</v>
      </c>
      <c r="L1034" s="4">
        <f t="shared" si="4"/>
        <v>-0.08333333333</v>
      </c>
      <c r="M1034" s="4">
        <f t="shared" si="5"/>
        <v>3.916666667</v>
      </c>
    </row>
    <row r="1035">
      <c r="A1035" s="4" t="s">
        <v>46</v>
      </c>
      <c r="B1035" s="4" t="s">
        <v>798</v>
      </c>
      <c r="C1035" s="4" t="s">
        <v>799</v>
      </c>
      <c r="D1035" s="4" t="s">
        <v>800</v>
      </c>
      <c r="E1035" s="10">
        <f>IFERROR(__xludf.DUMMYFUNCTION("SPLIT(B1035,""T"")"),41853.0)</f>
        <v>41853</v>
      </c>
      <c r="F1035" s="4" t="str">
        <f>IFERROR(__xludf.DUMMYFUNCTION("""COMPUTED_VALUE"""),"11:00:00Z")</f>
        <v>11:00:00Z</v>
      </c>
      <c r="G1035" s="11" t="str">
        <f t="shared" si="1"/>
        <v>11:00:00</v>
      </c>
      <c r="H1035" s="10">
        <f>IFERROR(__xludf.DUMMYFUNCTION("SPLIT(D1035,""T"")"),41849.0)</f>
        <v>41849</v>
      </c>
      <c r="I1035" s="4" t="str">
        <f>IFERROR(__xludf.DUMMYFUNCTION("""COMPUTED_VALUE"""),"13:00:00Z")</f>
        <v>13:00:00Z</v>
      </c>
      <c r="J1035" s="4" t="str">
        <f t="shared" si="2"/>
        <v>13:00:00</v>
      </c>
      <c r="K1035" s="4">
        <f t="shared" si="3"/>
        <v>4</v>
      </c>
      <c r="L1035" s="4">
        <f t="shared" si="4"/>
        <v>-0.08333333333</v>
      </c>
      <c r="M1035" s="4">
        <f t="shared" si="5"/>
        <v>3.916666667</v>
      </c>
    </row>
    <row r="1036">
      <c r="A1036" s="4" t="s">
        <v>27</v>
      </c>
      <c r="B1036" s="4" t="s">
        <v>3690</v>
      </c>
      <c r="C1036" s="4" t="s">
        <v>3691</v>
      </c>
      <c r="D1036" s="4" t="s">
        <v>3692</v>
      </c>
      <c r="E1036" s="10">
        <f>IFERROR(__xludf.DUMMYFUNCTION("SPLIT(B1036,""T"")"),43619.0)</f>
        <v>43619</v>
      </c>
      <c r="F1036" s="4" t="str">
        <f>IFERROR(__xludf.DUMMYFUNCTION("""COMPUTED_VALUE"""),"08:48:00Z")</f>
        <v>08:48:00Z</v>
      </c>
      <c r="G1036" s="11" t="str">
        <f t="shared" si="1"/>
        <v>08:48:00</v>
      </c>
      <c r="H1036" s="10">
        <f>IFERROR(__xludf.DUMMYFUNCTION("SPLIT(D1036,""T"")"),43615.0)</f>
        <v>43615</v>
      </c>
      <c r="I1036" s="4" t="str">
        <f>IFERROR(__xludf.DUMMYFUNCTION("""COMPUTED_VALUE"""),"12:41:00Z")</f>
        <v>12:41:00Z</v>
      </c>
      <c r="J1036" s="4" t="str">
        <f t="shared" si="2"/>
        <v>12:41:00</v>
      </c>
      <c r="K1036" s="4">
        <f t="shared" si="3"/>
        <v>4</v>
      </c>
      <c r="L1036" s="4">
        <f t="shared" si="4"/>
        <v>-0.1618055556</v>
      </c>
      <c r="M1036" s="4">
        <f t="shared" si="5"/>
        <v>3.838194444</v>
      </c>
    </row>
    <row r="1037">
      <c r="A1037" s="4" t="s">
        <v>145</v>
      </c>
      <c r="B1037" s="4" t="s">
        <v>1165</v>
      </c>
      <c r="C1037" s="4" t="s">
        <v>1166</v>
      </c>
      <c r="D1037" s="4" t="s">
        <v>1167</v>
      </c>
      <c r="E1037" s="10">
        <f>IFERROR(__xludf.DUMMYFUNCTION("SPLIT(B1037,""T"")"),42198.0)</f>
        <v>42198</v>
      </c>
      <c r="F1037" s="4" t="str">
        <f>IFERROR(__xludf.DUMMYFUNCTION("""COMPUTED_VALUE"""),"11:00:00Z")</f>
        <v>11:00:00Z</v>
      </c>
      <c r="G1037" s="11" t="str">
        <f t="shared" si="1"/>
        <v>11:00:00</v>
      </c>
      <c r="H1037" s="10">
        <f>IFERROR(__xludf.DUMMYFUNCTION("SPLIT(D1037,""T"")"),42194.0)</f>
        <v>42194</v>
      </c>
      <c r="I1037" s="4" t="str">
        <f>IFERROR(__xludf.DUMMYFUNCTION("""COMPUTED_VALUE"""),"15:00:00Z")</f>
        <v>15:00:00Z</v>
      </c>
      <c r="J1037" s="4" t="str">
        <f t="shared" si="2"/>
        <v>15:00:00</v>
      </c>
      <c r="K1037" s="4">
        <f t="shared" si="3"/>
        <v>4</v>
      </c>
      <c r="L1037" s="4">
        <f t="shared" si="4"/>
        <v>-0.1666666667</v>
      </c>
      <c r="M1037" s="4">
        <f t="shared" si="5"/>
        <v>3.833333333</v>
      </c>
    </row>
    <row r="1038">
      <c r="A1038" s="4" t="s">
        <v>134</v>
      </c>
      <c r="B1038" s="4" t="s">
        <v>1114</v>
      </c>
      <c r="C1038" s="4" t="s">
        <v>1115</v>
      </c>
      <c r="D1038" s="4" t="s">
        <v>1116</v>
      </c>
      <c r="E1038" s="10">
        <f>IFERROR(__xludf.DUMMYFUNCTION("SPLIT(B1038,""T"")"),42221.0)</f>
        <v>42221</v>
      </c>
      <c r="F1038" s="4" t="str">
        <f>IFERROR(__xludf.DUMMYFUNCTION("""COMPUTED_VALUE"""),"09:00:00Z")</f>
        <v>09:00:00Z</v>
      </c>
      <c r="G1038" s="11" t="str">
        <f t="shared" si="1"/>
        <v>09:00:00</v>
      </c>
      <c r="H1038" s="10">
        <f>IFERROR(__xludf.DUMMYFUNCTION("SPLIT(D1038,""T"")"),42217.0)</f>
        <v>42217</v>
      </c>
      <c r="I1038" s="4" t="str">
        <f>IFERROR(__xludf.DUMMYFUNCTION("""COMPUTED_VALUE"""),"13:04:00Z")</f>
        <v>13:04:00Z</v>
      </c>
      <c r="J1038" s="4" t="str">
        <f t="shared" si="2"/>
        <v>13:04:00</v>
      </c>
      <c r="K1038" s="4">
        <f t="shared" si="3"/>
        <v>4</v>
      </c>
      <c r="L1038" s="4">
        <f t="shared" si="4"/>
        <v>-0.1694444444</v>
      </c>
      <c r="M1038" s="4">
        <f t="shared" si="5"/>
        <v>3.830555556</v>
      </c>
    </row>
    <row r="1039">
      <c r="A1039" s="4" t="s">
        <v>313</v>
      </c>
      <c r="B1039" s="4" t="s">
        <v>1153</v>
      </c>
      <c r="C1039" s="4" t="s">
        <v>1154</v>
      </c>
      <c r="D1039" s="4" t="s">
        <v>1155</v>
      </c>
      <c r="E1039" s="10">
        <f>IFERROR(__xludf.DUMMYFUNCTION("SPLIT(B1039,""T"")"),42219.0)</f>
        <v>42219</v>
      </c>
      <c r="F1039" s="4" t="str">
        <f>IFERROR(__xludf.DUMMYFUNCTION("""COMPUTED_VALUE"""),"08:55:00Z")</f>
        <v>08:55:00Z</v>
      </c>
      <c r="G1039" s="11" t="str">
        <f t="shared" si="1"/>
        <v>08:55:00</v>
      </c>
      <c r="H1039" s="10">
        <f>IFERROR(__xludf.DUMMYFUNCTION("SPLIT(D1039,""T"")"),42215.0)</f>
        <v>42215</v>
      </c>
      <c r="I1039" s="4" t="str">
        <f>IFERROR(__xludf.DUMMYFUNCTION("""COMPUTED_VALUE"""),"13:36:00Z")</f>
        <v>13:36:00Z</v>
      </c>
      <c r="J1039" s="4" t="str">
        <f t="shared" si="2"/>
        <v>13:36:00</v>
      </c>
      <c r="K1039" s="4">
        <f t="shared" si="3"/>
        <v>4</v>
      </c>
      <c r="L1039" s="4">
        <f t="shared" si="4"/>
        <v>-0.1951388889</v>
      </c>
      <c r="M1039" s="4">
        <f t="shared" si="5"/>
        <v>3.804861111</v>
      </c>
    </row>
    <row r="1040">
      <c r="A1040" s="4" t="s">
        <v>23</v>
      </c>
      <c r="B1040" s="4" t="s">
        <v>954</v>
      </c>
      <c r="C1040" s="4" t="s">
        <v>955</v>
      </c>
      <c r="D1040" s="4" t="s">
        <v>956</v>
      </c>
      <c r="E1040" s="10">
        <f>IFERROR(__xludf.DUMMYFUNCTION("SPLIT(B1040,""T"")"),42236.0)</f>
        <v>42236</v>
      </c>
      <c r="F1040" s="4" t="str">
        <f>IFERROR(__xludf.DUMMYFUNCTION("""COMPUTED_VALUE"""),"08:10:00Z")</f>
        <v>08:10:00Z</v>
      </c>
      <c r="G1040" s="11" t="str">
        <f t="shared" si="1"/>
        <v>08:10:00</v>
      </c>
      <c r="H1040" s="10">
        <f>IFERROR(__xludf.DUMMYFUNCTION("SPLIT(D1040,""T"")"),42232.0)</f>
        <v>42232</v>
      </c>
      <c r="I1040" s="4" t="str">
        <f>IFERROR(__xludf.DUMMYFUNCTION("""COMPUTED_VALUE"""),"13:30:00Z")</f>
        <v>13:30:00Z</v>
      </c>
      <c r="J1040" s="4" t="str">
        <f t="shared" si="2"/>
        <v>13:30:00</v>
      </c>
      <c r="K1040" s="4">
        <f t="shared" si="3"/>
        <v>4</v>
      </c>
      <c r="L1040" s="4">
        <f t="shared" si="4"/>
        <v>-0.2222222222</v>
      </c>
      <c r="M1040" s="4">
        <f t="shared" si="5"/>
        <v>3.777777778</v>
      </c>
    </row>
    <row r="1041">
      <c r="A1041" s="4" t="s">
        <v>54</v>
      </c>
      <c r="B1041" s="4" t="s">
        <v>1383</v>
      </c>
      <c r="C1041" s="4" t="s">
        <v>1384</v>
      </c>
      <c r="D1041" s="4" t="s">
        <v>1385</v>
      </c>
      <c r="E1041" s="10">
        <f>IFERROR(__xludf.DUMMYFUNCTION("SPLIT(B1041,""T"")"),42555.0)</f>
        <v>42555</v>
      </c>
      <c r="F1041" s="4" t="str">
        <f>IFERROR(__xludf.DUMMYFUNCTION("""COMPUTED_VALUE"""),"07:45:00Z")</f>
        <v>07:45:00Z</v>
      </c>
      <c r="G1041" s="11" t="str">
        <f t="shared" si="1"/>
        <v>07:45:00</v>
      </c>
      <c r="H1041" s="10">
        <f>IFERROR(__xludf.DUMMYFUNCTION("SPLIT(D1041,""T"")"),42551.0)</f>
        <v>42551</v>
      </c>
      <c r="I1041" s="4" t="str">
        <f>IFERROR(__xludf.DUMMYFUNCTION("""COMPUTED_VALUE"""),"13:32:00Z")</f>
        <v>13:32:00Z</v>
      </c>
      <c r="J1041" s="4" t="str">
        <f t="shared" si="2"/>
        <v>13:32:00</v>
      </c>
      <c r="K1041" s="4">
        <f t="shared" si="3"/>
        <v>4</v>
      </c>
      <c r="L1041" s="4">
        <f t="shared" si="4"/>
        <v>-0.2409722222</v>
      </c>
      <c r="M1041" s="4">
        <f t="shared" si="5"/>
        <v>3.759027778</v>
      </c>
    </row>
    <row r="1042">
      <c r="A1042" s="4" t="s">
        <v>39</v>
      </c>
      <c r="B1042" s="4" t="s">
        <v>1117</v>
      </c>
      <c r="C1042" s="4" t="s">
        <v>1118</v>
      </c>
      <c r="D1042" s="4" t="s">
        <v>1119</v>
      </c>
      <c r="E1042" s="10">
        <f>IFERROR(__xludf.DUMMYFUNCTION("SPLIT(B1042,""T"")"),42207.0)</f>
        <v>42207</v>
      </c>
      <c r="F1042" s="4" t="str">
        <f>IFERROR(__xludf.DUMMYFUNCTION("""COMPUTED_VALUE"""),"10:00:00Z")</f>
        <v>10:00:00Z</v>
      </c>
      <c r="G1042" s="11" t="str">
        <f t="shared" si="1"/>
        <v>10:00:00</v>
      </c>
      <c r="H1042" s="10">
        <f>IFERROR(__xludf.DUMMYFUNCTION("SPLIT(D1042,""T"")"),42203.0)</f>
        <v>42203</v>
      </c>
      <c r="I1042" s="4" t="str">
        <f>IFERROR(__xludf.DUMMYFUNCTION("""COMPUTED_VALUE"""),"16:31:00Z")</f>
        <v>16:31:00Z</v>
      </c>
      <c r="J1042" s="4" t="str">
        <f t="shared" si="2"/>
        <v>16:31:00</v>
      </c>
      <c r="K1042" s="4">
        <f t="shared" si="3"/>
        <v>4</v>
      </c>
      <c r="L1042" s="4">
        <f t="shared" si="4"/>
        <v>-0.2715277778</v>
      </c>
      <c r="M1042" s="4">
        <f t="shared" si="5"/>
        <v>3.728472222</v>
      </c>
    </row>
    <row r="1043">
      <c r="A1043" s="4" t="s">
        <v>134</v>
      </c>
      <c r="B1043" s="4" t="s">
        <v>887</v>
      </c>
      <c r="C1043" s="4" t="s">
        <v>888</v>
      </c>
      <c r="D1043" s="4" t="s">
        <v>889</v>
      </c>
      <c r="E1043" s="10">
        <f>IFERROR(__xludf.DUMMYFUNCTION("SPLIT(B1043,""T"")"),42206.0)</f>
        <v>42206</v>
      </c>
      <c r="F1043" s="4" t="str">
        <f>IFERROR(__xludf.DUMMYFUNCTION("""COMPUTED_VALUE"""),"07:00:00Z")</f>
        <v>07:00:00Z</v>
      </c>
      <c r="G1043" s="11" t="str">
        <f t="shared" si="1"/>
        <v>07:00:00</v>
      </c>
      <c r="H1043" s="10">
        <f>IFERROR(__xludf.DUMMYFUNCTION("SPLIT(D1043,""T"")"),42202.0)</f>
        <v>42202</v>
      </c>
      <c r="I1043" s="4" t="str">
        <f>IFERROR(__xludf.DUMMYFUNCTION("""COMPUTED_VALUE"""),"14:33:00Z")</f>
        <v>14:33:00Z</v>
      </c>
      <c r="J1043" s="4" t="str">
        <f t="shared" si="2"/>
        <v>14:33:00</v>
      </c>
      <c r="K1043" s="4">
        <f t="shared" si="3"/>
        <v>4</v>
      </c>
      <c r="L1043" s="4">
        <f t="shared" si="4"/>
        <v>-0.3145833333</v>
      </c>
      <c r="M1043" s="4">
        <f t="shared" si="5"/>
        <v>3.685416667</v>
      </c>
    </row>
    <row r="1044">
      <c r="A1044" s="4" t="s">
        <v>80</v>
      </c>
      <c r="B1044" s="4" t="s">
        <v>3391</v>
      </c>
      <c r="C1044" s="4" t="s">
        <v>3392</v>
      </c>
      <c r="D1044" s="4" t="s">
        <v>3393</v>
      </c>
      <c r="E1044" s="10">
        <f>IFERROR(__xludf.DUMMYFUNCTION("SPLIT(B1044,""T"")"),43683.0)</f>
        <v>43683</v>
      </c>
      <c r="F1044" s="4" t="str">
        <f>IFERROR(__xludf.DUMMYFUNCTION("""COMPUTED_VALUE"""),"18:42:00Z")</f>
        <v>18:42:00Z</v>
      </c>
      <c r="G1044" s="11" t="str">
        <f t="shared" si="1"/>
        <v>18:42:00</v>
      </c>
      <c r="H1044" s="10">
        <f>IFERROR(__xludf.DUMMYFUNCTION("SPLIT(D1044,""T"")"),43680.0)</f>
        <v>43680</v>
      </c>
      <c r="I1044" s="4" t="str">
        <f>IFERROR(__xludf.DUMMYFUNCTION("""COMPUTED_VALUE"""),"03:16:00Z")</f>
        <v>03:16:00Z</v>
      </c>
      <c r="J1044" s="4" t="str">
        <f t="shared" si="2"/>
        <v>03:16:00</v>
      </c>
      <c r="K1044" s="4">
        <f t="shared" si="3"/>
        <v>3</v>
      </c>
      <c r="L1044" s="4">
        <f t="shared" si="4"/>
        <v>0.6430555556</v>
      </c>
      <c r="M1044" s="4">
        <f t="shared" si="5"/>
        <v>3.643055556</v>
      </c>
    </row>
    <row r="1045">
      <c r="A1045" s="4" t="s">
        <v>145</v>
      </c>
      <c r="B1045" s="4" t="s">
        <v>603</v>
      </c>
      <c r="C1045" s="4" t="s">
        <v>604</v>
      </c>
      <c r="D1045" s="4" t="s">
        <v>605</v>
      </c>
      <c r="E1045" s="10">
        <f>IFERROR(__xludf.DUMMYFUNCTION("SPLIT(B1045,""T"")"),41827.0)</f>
        <v>41827</v>
      </c>
      <c r="F1045" s="4" t="str">
        <f>IFERROR(__xludf.DUMMYFUNCTION("""COMPUTED_VALUE"""),"07:00:00Z")</f>
        <v>07:00:00Z</v>
      </c>
      <c r="G1045" s="11" t="str">
        <f t="shared" si="1"/>
        <v>07:00:00</v>
      </c>
      <c r="H1045" s="10">
        <f>IFERROR(__xludf.DUMMYFUNCTION("SPLIT(D1045,""T"")"),41823.0)</f>
        <v>41823</v>
      </c>
      <c r="I1045" s="4" t="str">
        <f>IFERROR(__xludf.DUMMYFUNCTION("""COMPUTED_VALUE"""),"15:46:00Z")</f>
        <v>15:46:00Z</v>
      </c>
      <c r="J1045" s="4" t="str">
        <f t="shared" si="2"/>
        <v>15:46:00</v>
      </c>
      <c r="K1045" s="4">
        <f t="shared" si="3"/>
        <v>4</v>
      </c>
      <c r="L1045" s="4">
        <f t="shared" si="4"/>
        <v>-0.3652777778</v>
      </c>
      <c r="M1045" s="4">
        <f t="shared" si="5"/>
        <v>3.634722222</v>
      </c>
    </row>
    <row r="1046">
      <c r="A1046" s="4" t="s">
        <v>87</v>
      </c>
      <c r="B1046" s="4" t="s">
        <v>371</v>
      </c>
      <c r="C1046" s="4" t="s">
        <v>372</v>
      </c>
      <c r="D1046" s="4" t="s">
        <v>373</v>
      </c>
      <c r="E1046" s="10">
        <f>IFERROR(__xludf.DUMMYFUNCTION("SPLIT(B1046,""T"")"),41398.0)</f>
        <v>41398</v>
      </c>
      <c r="F1046" s="4" t="str">
        <f>IFERROR(__xludf.DUMMYFUNCTION("""COMPUTED_VALUE"""),"19:00:00Z")</f>
        <v>19:00:00Z</v>
      </c>
      <c r="G1046" s="11" t="str">
        <f t="shared" si="1"/>
        <v>19:00:00</v>
      </c>
      <c r="H1046" s="10">
        <f>IFERROR(__xludf.DUMMYFUNCTION("SPLIT(D1046,""T"")"),41395.0)</f>
        <v>41395</v>
      </c>
      <c r="I1046" s="4" t="str">
        <f>IFERROR(__xludf.DUMMYFUNCTION("""COMPUTED_VALUE"""),"04:16:00Z")</f>
        <v>04:16:00Z</v>
      </c>
      <c r="J1046" s="4" t="str">
        <f t="shared" si="2"/>
        <v>04:16:00</v>
      </c>
      <c r="K1046" s="4">
        <f t="shared" si="3"/>
        <v>3</v>
      </c>
      <c r="L1046" s="4">
        <f t="shared" si="4"/>
        <v>0.6138888889</v>
      </c>
      <c r="M1046" s="4">
        <f t="shared" si="5"/>
        <v>3.613888889</v>
      </c>
    </row>
    <row r="1047">
      <c r="A1047" s="4" t="s">
        <v>35</v>
      </c>
      <c r="B1047" s="4" t="s">
        <v>3444</v>
      </c>
      <c r="C1047" s="4" t="s">
        <v>3445</v>
      </c>
      <c r="D1047" s="4" t="s">
        <v>3446</v>
      </c>
      <c r="E1047" s="10">
        <f>IFERROR(__xludf.DUMMYFUNCTION("SPLIT(B1047,""T"")"),43713.0)</f>
        <v>43713</v>
      </c>
      <c r="F1047" s="4" t="str">
        <f>IFERROR(__xludf.DUMMYFUNCTION("""COMPUTED_VALUE"""),"08:14:00Z")</f>
        <v>08:14:00Z</v>
      </c>
      <c r="G1047" s="11" t="str">
        <f t="shared" si="1"/>
        <v>08:14:00</v>
      </c>
      <c r="H1047" s="10">
        <f>IFERROR(__xludf.DUMMYFUNCTION("SPLIT(D1047,""T"")"),43709.0)</f>
        <v>43709</v>
      </c>
      <c r="I1047" s="4" t="str">
        <f>IFERROR(__xludf.DUMMYFUNCTION("""COMPUTED_VALUE"""),"17:37:43Z")</f>
        <v>17:37:43Z</v>
      </c>
      <c r="J1047" s="4" t="str">
        <f t="shared" si="2"/>
        <v>17:37:43</v>
      </c>
      <c r="K1047" s="4">
        <f t="shared" si="3"/>
        <v>4</v>
      </c>
      <c r="L1047" s="4">
        <f t="shared" si="4"/>
        <v>-0.3914699074</v>
      </c>
      <c r="M1047" s="4">
        <f t="shared" si="5"/>
        <v>3.608530093</v>
      </c>
    </row>
    <row r="1048">
      <c r="A1048" s="4" t="s">
        <v>134</v>
      </c>
      <c r="B1048" s="4" t="s">
        <v>908</v>
      </c>
      <c r="C1048" s="4" t="s">
        <v>1075</v>
      </c>
      <c r="D1048" s="4" t="s">
        <v>1076</v>
      </c>
      <c r="E1048" s="10">
        <f>IFERROR(__xludf.DUMMYFUNCTION("SPLIT(B1048,""T"")"),42184.0)</f>
        <v>42184</v>
      </c>
      <c r="F1048" s="4" t="str">
        <f>IFERROR(__xludf.DUMMYFUNCTION("""COMPUTED_VALUE"""),"09:00:00Z")</f>
        <v>09:00:00Z</v>
      </c>
      <c r="G1048" s="11" t="str">
        <f t="shared" si="1"/>
        <v>09:00:00</v>
      </c>
      <c r="H1048" s="10">
        <f>IFERROR(__xludf.DUMMYFUNCTION("SPLIT(D1048,""T"")"),42180.0)</f>
        <v>42180</v>
      </c>
      <c r="I1048" s="4" t="str">
        <f>IFERROR(__xludf.DUMMYFUNCTION("""COMPUTED_VALUE"""),"18:30:00Z")</f>
        <v>18:30:00Z</v>
      </c>
      <c r="J1048" s="4" t="str">
        <f t="shared" si="2"/>
        <v>18:30:00</v>
      </c>
      <c r="K1048" s="4">
        <f t="shared" si="3"/>
        <v>4</v>
      </c>
      <c r="L1048" s="4">
        <f t="shared" si="4"/>
        <v>-0.3958333333</v>
      </c>
      <c r="M1048" s="4">
        <f t="shared" si="5"/>
        <v>3.604166667</v>
      </c>
    </row>
    <row r="1049">
      <c r="A1049" s="4" t="s">
        <v>39</v>
      </c>
      <c r="B1049" s="4" t="s">
        <v>1320</v>
      </c>
      <c r="C1049" s="4" t="s">
        <v>1321</v>
      </c>
      <c r="D1049" s="4" t="s">
        <v>1322</v>
      </c>
      <c r="E1049" s="10">
        <f>IFERROR(__xludf.DUMMYFUNCTION("SPLIT(B1049,""T"")"),42556.0)</f>
        <v>42556</v>
      </c>
      <c r="F1049" s="4" t="str">
        <f>IFERROR(__xludf.DUMMYFUNCTION("""COMPUTED_VALUE"""),"07:05:00Z")</f>
        <v>07:05:00Z</v>
      </c>
      <c r="G1049" s="11" t="str">
        <f t="shared" si="1"/>
        <v>07:05:00</v>
      </c>
      <c r="H1049" s="10">
        <f>IFERROR(__xludf.DUMMYFUNCTION("SPLIT(D1049,""T"")"),42552.0)</f>
        <v>42552</v>
      </c>
      <c r="I1049" s="4" t="str">
        <f>IFERROR(__xludf.DUMMYFUNCTION("""COMPUTED_VALUE"""),"17:16:00Z")</f>
        <v>17:16:00Z</v>
      </c>
      <c r="J1049" s="4" t="str">
        <f t="shared" si="2"/>
        <v>17:16:00</v>
      </c>
      <c r="K1049" s="4">
        <f t="shared" si="3"/>
        <v>4</v>
      </c>
      <c r="L1049" s="4">
        <f t="shared" si="4"/>
        <v>-0.4243055556</v>
      </c>
      <c r="M1049" s="4">
        <f t="shared" si="5"/>
        <v>3.575694444</v>
      </c>
    </row>
    <row r="1050">
      <c r="A1050" s="4" t="s">
        <v>101</v>
      </c>
      <c r="B1050" s="4" t="s">
        <v>946</v>
      </c>
      <c r="C1050" s="4" t="s">
        <v>947</v>
      </c>
      <c r="D1050" s="4" t="s">
        <v>948</v>
      </c>
      <c r="E1050" s="10">
        <f>IFERROR(__xludf.DUMMYFUNCTION("SPLIT(B1050,""T"")"),42258.0)</f>
        <v>42258</v>
      </c>
      <c r="F1050" s="4" t="str">
        <f>IFERROR(__xludf.DUMMYFUNCTION("""COMPUTED_VALUE"""),"11:00:00Z")</f>
        <v>11:00:00Z</v>
      </c>
      <c r="G1050" s="11" t="str">
        <f t="shared" si="1"/>
        <v>11:00:00</v>
      </c>
      <c r="H1050" s="10">
        <f>IFERROR(__xludf.DUMMYFUNCTION("SPLIT(D1050,""T"")"),42254.0)</f>
        <v>42254</v>
      </c>
      <c r="I1050" s="4" t="str">
        <f>IFERROR(__xludf.DUMMYFUNCTION("""COMPUTED_VALUE"""),"21:23:00Z")</f>
        <v>21:23:00Z</v>
      </c>
      <c r="J1050" s="4" t="str">
        <f t="shared" si="2"/>
        <v>21:23:00</v>
      </c>
      <c r="K1050" s="4">
        <f t="shared" si="3"/>
        <v>4</v>
      </c>
      <c r="L1050" s="4">
        <f t="shared" si="4"/>
        <v>-0.4326388889</v>
      </c>
      <c r="M1050" s="4">
        <f t="shared" si="5"/>
        <v>3.567361111</v>
      </c>
    </row>
    <row r="1051">
      <c r="A1051" s="4" t="s">
        <v>97</v>
      </c>
      <c r="B1051" s="4" t="s">
        <v>3421</v>
      </c>
      <c r="C1051" s="4" t="s">
        <v>3422</v>
      </c>
      <c r="D1051" s="4" t="s">
        <v>3423</v>
      </c>
      <c r="E1051" s="10">
        <f>IFERROR(__xludf.DUMMYFUNCTION("SPLIT(B1051,""T"")"),43759.0)</f>
        <v>43759</v>
      </c>
      <c r="F1051" s="4" t="str">
        <f>IFERROR(__xludf.DUMMYFUNCTION("""COMPUTED_VALUE"""),"06:00:00Z")</f>
        <v>06:00:00Z</v>
      </c>
      <c r="G1051" s="11" t="str">
        <f t="shared" si="1"/>
        <v>06:00:00</v>
      </c>
      <c r="H1051" s="10">
        <f>IFERROR(__xludf.DUMMYFUNCTION("SPLIT(D1051,""T"")"),43755.0)</f>
        <v>43755</v>
      </c>
      <c r="I1051" s="4" t="str">
        <f>IFERROR(__xludf.DUMMYFUNCTION("""COMPUTED_VALUE"""),"16:31:00Z")</f>
        <v>16:31:00Z</v>
      </c>
      <c r="J1051" s="4" t="str">
        <f t="shared" si="2"/>
        <v>16:31:00</v>
      </c>
      <c r="K1051" s="4">
        <f t="shared" si="3"/>
        <v>4</v>
      </c>
      <c r="L1051" s="4">
        <f t="shared" si="4"/>
        <v>-0.4381944444</v>
      </c>
      <c r="M1051" s="4">
        <f t="shared" si="5"/>
        <v>3.561805556</v>
      </c>
    </row>
    <row r="1052">
      <c r="A1052" s="4" t="s">
        <v>856</v>
      </c>
      <c r="B1052" s="4" t="s">
        <v>857</v>
      </c>
      <c r="C1052" s="4" t="s">
        <v>858</v>
      </c>
      <c r="D1052" s="4" t="s">
        <v>859</v>
      </c>
      <c r="E1052" s="10">
        <f>IFERROR(__xludf.DUMMYFUNCTION("SPLIT(B1052,""T"")"),42220.0)</f>
        <v>42220</v>
      </c>
      <c r="F1052" s="4" t="str">
        <f>IFERROR(__xludf.DUMMYFUNCTION("""COMPUTED_VALUE"""),"09:00:00Z")</f>
        <v>09:00:00Z</v>
      </c>
      <c r="G1052" s="11" t="str">
        <f t="shared" si="1"/>
        <v>09:00:00</v>
      </c>
      <c r="H1052" s="10">
        <f>IFERROR(__xludf.DUMMYFUNCTION("SPLIT(D1052,""T"")"),42216.0)</f>
        <v>42216</v>
      </c>
      <c r="I1052" s="4" t="str">
        <f>IFERROR(__xludf.DUMMYFUNCTION("""COMPUTED_VALUE"""),"21:00:00Z")</f>
        <v>21:00:00Z</v>
      </c>
      <c r="J1052" s="4" t="str">
        <f t="shared" si="2"/>
        <v>21:00:00</v>
      </c>
      <c r="K1052" s="4">
        <f t="shared" si="3"/>
        <v>4</v>
      </c>
      <c r="L1052" s="4">
        <f t="shared" si="4"/>
        <v>-0.5</v>
      </c>
      <c r="M1052" s="4">
        <f t="shared" si="5"/>
        <v>3.5</v>
      </c>
    </row>
    <row r="1053">
      <c r="A1053" s="4" t="s">
        <v>134</v>
      </c>
      <c r="B1053" s="4" t="s">
        <v>3812</v>
      </c>
      <c r="C1053" s="4" t="s">
        <v>3813</v>
      </c>
      <c r="D1053" s="4" t="s">
        <v>3814</v>
      </c>
      <c r="E1053" s="10">
        <f>IFERROR(__xludf.DUMMYFUNCTION("SPLIT(B1053,""T"")"),43714.0)</f>
        <v>43714</v>
      </c>
      <c r="F1053" s="4" t="str">
        <f>IFERROR(__xludf.DUMMYFUNCTION("""COMPUTED_VALUE"""),"08:00:00Z")</f>
        <v>08:00:00Z</v>
      </c>
      <c r="G1053" s="11" t="str">
        <f t="shared" si="1"/>
        <v>08:00:00</v>
      </c>
      <c r="H1053" s="10">
        <f>IFERROR(__xludf.DUMMYFUNCTION("SPLIT(D1053,""T"")"),43710.0)</f>
        <v>43710</v>
      </c>
      <c r="I1053" s="4" t="str">
        <f>IFERROR(__xludf.DUMMYFUNCTION("""COMPUTED_VALUE"""),"20:27:29Z")</f>
        <v>20:27:29Z</v>
      </c>
      <c r="J1053" s="4" t="str">
        <f t="shared" si="2"/>
        <v>20:27:29</v>
      </c>
      <c r="K1053" s="4">
        <f t="shared" si="3"/>
        <v>4</v>
      </c>
      <c r="L1053" s="4">
        <f t="shared" si="4"/>
        <v>-0.5190856481</v>
      </c>
      <c r="M1053" s="4">
        <f t="shared" si="5"/>
        <v>3.480914352</v>
      </c>
    </row>
    <row r="1054">
      <c r="A1054" s="4" t="s">
        <v>35</v>
      </c>
      <c r="B1054" s="4" t="s">
        <v>3252</v>
      </c>
      <c r="C1054" s="4" t="s">
        <v>3253</v>
      </c>
      <c r="D1054" s="4" t="s">
        <v>3254</v>
      </c>
      <c r="E1054" s="10">
        <f>IFERROR(__xludf.DUMMYFUNCTION("SPLIT(B1054,""T"")"),43771.0)</f>
        <v>43771</v>
      </c>
      <c r="F1054" s="4" t="str">
        <f>IFERROR(__xludf.DUMMYFUNCTION("""COMPUTED_VALUE"""),"18:57:00Z")</f>
        <v>18:57:00Z</v>
      </c>
      <c r="G1054" s="11" t="str">
        <f t="shared" si="1"/>
        <v>18:57:00</v>
      </c>
      <c r="H1054" s="10">
        <f>IFERROR(__xludf.DUMMYFUNCTION("SPLIT(D1054,""T"")"),43768.0)</f>
        <v>43768</v>
      </c>
      <c r="I1054" s="4" t="str">
        <f>IFERROR(__xludf.DUMMYFUNCTION("""COMPUTED_VALUE"""),"07:45:14Z")</f>
        <v>07:45:14Z</v>
      </c>
      <c r="J1054" s="4" t="str">
        <f t="shared" si="2"/>
        <v>07:45:14</v>
      </c>
      <c r="K1054" s="4">
        <f t="shared" si="3"/>
        <v>3</v>
      </c>
      <c r="L1054" s="4">
        <f t="shared" si="4"/>
        <v>0.4665046296</v>
      </c>
      <c r="M1054" s="4">
        <f t="shared" si="5"/>
        <v>3.46650463</v>
      </c>
    </row>
    <row r="1055">
      <c r="A1055" s="4" t="s">
        <v>130</v>
      </c>
      <c r="B1055" s="4" t="s">
        <v>1440</v>
      </c>
      <c r="C1055" s="4" t="s">
        <v>1441</v>
      </c>
      <c r="D1055" s="4" t="s">
        <v>1442</v>
      </c>
      <c r="E1055" s="10">
        <f>IFERROR(__xludf.DUMMYFUNCTION("SPLIT(B1055,""T"")"),42660.0)</f>
        <v>42660</v>
      </c>
      <c r="F1055" s="4" t="str">
        <f>IFERROR(__xludf.DUMMYFUNCTION("""COMPUTED_VALUE"""),"11:45:00Z")</f>
        <v>11:45:00Z</v>
      </c>
      <c r="G1055" s="11" t="str">
        <f t="shared" si="1"/>
        <v>11:45:00</v>
      </c>
      <c r="H1055" s="10">
        <f>IFERROR(__xludf.DUMMYFUNCTION("SPLIT(D1055,""T"")"),42657.0)</f>
        <v>42657</v>
      </c>
      <c r="I1055" s="4" t="str">
        <f>IFERROR(__xludf.DUMMYFUNCTION("""COMPUTED_VALUE"""),"01:28:00Z")</f>
        <v>01:28:00Z</v>
      </c>
      <c r="J1055" s="4" t="str">
        <f t="shared" si="2"/>
        <v>01:28:00</v>
      </c>
      <c r="K1055" s="4">
        <f t="shared" si="3"/>
        <v>3</v>
      </c>
      <c r="L1055" s="4">
        <f t="shared" si="4"/>
        <v>0.4284722222</v>
      </c>
      <c r="M1055" s="4">
        <f t="shared" si="5"/>
        <v>3.428472222</v>
      </c>
    </row>
    <row r="1056">
      <c r="A1056" s="4" t="s">
        <v>27</v>
      </c>
      <c r="B1056" s="4" t="s">
        <v>3429</v>
      </c>
      <c r="C1056" s="4" t="s">
        <v>3430</v>
      </c>
      <c r="D1056" s="4" t="s">
        <v>3431</v>
      </c>
      <c r="E1056" s="10">
        <f>IFERROR(__xludf.DUMMYFUNCTION("SPLIT(B1056,""T"")"),43772.0)</f>
        <v>43772</v>
      </c>
      <c r="F1056" s="4" t="str">
        <f>IFERROR(__xludf.DUMMYFUNCTION("""COMPUTED_VALUE"""),"16:15:00Z")</f>
        <v>16:15:00Z</v>
      </c>
      <c r="G1056" s="11" t="str">
        <f t="shared" si="1"/>
        <v>16:15:00</v>
      </c>
      <c r="H1056" s="10">
        <f>IFERROR(__xludf.DUMMYFUNCTION("SPLIT(D1056,""T"")"),43769.0)</f>
        <v>43769</v>
      </c>
      <c r="I1056" s="4" t="str">
        <f>IFERROR(__xludf.DUMMYFUNCTION("""COMPUTED_VALUE"""),"06:22:34Z")</f>
        <v>06:22:34Z</v>
      </c>
      <c r="J1056" s="4" t="str">
        <f t="shared" si="2"/>
        <v>06:22:34</v>
      </c>
      <c r="K1056" s="4">
        <f t="shared" si="3"/>
        <v>3</v>
      </c>
      <c r="L1056" s="4">
        <f t="shared" si="4"/>
        <v>0.411412037</v>
      </c>
      <c r="M1056" s="4">
        <f t="shared" si="5"/>
        <v>3.411412037</v>
      </c>
    </row>
    <row r="1057">
      <c r="A1057" s="4" t="s">
        <v>130</v>
      </c>
      <c r="B1057" s="4" t="s">
        <v>724</v>
      </c>
      <c r="C1057" s="4" t="s">
        <v>725</v>
      </c>
      <c r="D1057" s="4" t="s">
        <v>726</v>
      </c>
      <c r="E1057" s="10">
        <f>IFERROR(__xludf.DUMMYFUNCTION("SPLIT(B1057,""T"")"),41899.0)</f>
        <v>41899</v>
      </c>
      <c r="F1057" s="4" t="str">
        <f>IFERROR(__xludf.DUMMYFUNCTION("""COMPUTED_VALUE"""),"18:45:00Z")</f>
        <v>18:45:00Z</v>
      </c>
      <c r="G1057" s="11" t="str">
        <f t="shared" si="1"/>
        <v>18:45:00</v>
      </c>
      <c r="H1057" s="10">
        <f>IFERROR(__xludf.DUMMYFUNCTION("SPLIT(D1057,""T"")"),41896.0)</f>
        <v>41896</v>
      </c>
      <c r="I1057" s="4" t="str">
        <f>IFERROR(__xludf.DUMMYFUNCTION("""COMPUTED_VALUE"""),"09:15:00Z")</f>
        <v>09:15:00Z</v>
      </c>
      <c r="J1057" s="4" t="str">
        <f t="shared" si="2"/>
        <v>09:15:00</v>
      </c>
      <c r="K1057" s="4">
        <f t="shared" si="3"/>
        <v>3</v>
      </c>
      <c r="L1057" s="4">
        <f t="shared" si="4"/>
        <v>0.3958333333</v>
      </c>
      <c r="M1057" s="4">
        <f t="shared" si="5"/>
        <v>3.395833333</v>
      </c>
    </row>
    <row r="1058">
      <c r="A1058" s="4" t="s">
        <v>62</v>
      </c>
      <c r="B1058" s="4" t="s">
        <v>3585</v>
      </c>
      <c r="C1058" s="4" t="s">
        <v>3586</v>
      </c>
      <c r="D1058" s="4" t="s">
        <v>3587</v>
      </c>
      <c r="E1058" s="10">
        <f>IFERROR(__xludf.DUMMYFUNCTION("SPLIT(B1058,""T"")"),43766.0)</f>
        <v>43766</v>
      </c>
      <c r="F1058" s="4" t="str">
        <f>IFERROR(__xludf.DUMMYFUNCTION("""COMPUTED_VALUE"""),"19:31:00Z")</f>
        <v>19:31:00Z</v>
      </c>
      <c r="G1058" s="11" t="str">
        <f t="shared" si="1"/>
        <v>19:31:00</v>
      </c>
      <c r="H1058" s="10">
        <f>IFERROR(__xludf.DUMMYFUNCTION("SPLIT(D1058,""T"")"),43763.0)</f>
        <v>43763</v>
      </c>
      <c r="I1058" s="4" t="str">
        <f>IFERROR(__xludf.DUMMYFUNCTION("""COMPUTED_VALUE"""),"10:52:04Z")</f>
        <v>10:52:04Z</v>
      </c>
      <c r="J1058" s="4" t="str">
        <f t="shared" si="2"/>
        <v>10:52:04</v>
      </c>
      <c r="K1058" s="4">
        <f t="shared" si="3"/>
        <v>3</v>
      </c>
      <c r="L1058" s="4">
        <f t="shared" si="4"/>
        <v>0.3603703704</v>
      </c>
      <c r="M1058" s="4">
        <f t="shared" si="5"/>
        <v>3.36037037</v>
      </c>
    </row>
    <row r="1059">
      <c r="A1059" s="4" t="s">
        <v>58</v>
      </c>
      <c r="B1059" s="4" t="s">
        <v>1388</v>
      </c>
      <c r="C1059" s="4" t="s">
        <v>424</v>
      </c>
      <c r="D1059" s="4" t="s">
        <v>1389</v>
      </c>
      <c r="E1059" s="10">
        <f>IFERROR(__xludf.DUMMYFUNCTION("SPLIT(B1059,""T"")"),42563.0)</f>
        <v>42563</v>
      </c>
      <c r="F1059" s="4" t="str">
        <f>IFERROR(__xludf.DUMMYFUNCTION("""COMPUTED_VALUE"""),"07:00:00Z")</f>
        <v>07:00:00Z</v>
      </c>
      <c r="G1059" s="11" t="str">
        <f t="shared" si="1"/>
        <v>07:00:00</v>
      </c>
      <c r="H1059" s="10">
        <f>IFERROR(__xludf.DUMMYFUNCTION("SPLIT(D1059,""T"")"),42559.0)</f>
        <v>42559</v>
      </c>
      <c r="I1059" s="4" t="str">
        <f>IFERROR(__xludf.DUMMYFUNCTION("""COMPUTED_VALUE"""),"22:45:00Z")</f>
        <v>22:45:00Z</v>
      </c>
      <c r="J1059" s="4" t="str">
        <f t="shared" si="2"/>
        <v>22:45:00</v>
      </c>
      <c r="K1059" s="4">
        <f t="shared" si="3"/>
        <v>4</v>
      </c>
      <c r="L1059" s="4">
        <f t="shared" si="4"/>
        <v>-0.65625</v>
      </c>
      <c r="M1059" s="4">
        <f t="shared" si="5"/>
        <v>3.34375</v>
      </c>
    </row>
    <row r="1060">
      <c r="A1060" s="4" t="s">
        <v>27</v>
      </c>
      <c r="B1060" s="4" t="s">
        <v>3262</v>
      </c>
      <c r="C1060" s="4" t="s">
        <v>1914</v>
      </c>
      <c r="D1060" s="4" t="s">
        <v>3263</v>
      </c>
      <c r="E1060" s="10">
        <f>IFERROR(__xludf.DUMMYFUNCTION("SPLIT(B1060,""T"")"),43771.0)</f>
        <v>43771</v>
      </c>
      <c r="F1060" s="4" t="str">
        <f>IFERROR(__xludf.DUMMYFUNCTION("""COMPUTED_VALUE"""),"18:44:00Z")</f>
        <v>18:44:00Z</v>
      </c>
      <c r="G1060" s="11" t="str">
        <f t="shared" si="1"/>
        <v>18:44:00</v>
      </c>
      <c r="H1060" s="10">
        <f>IFERROR(__xludf.DUMMYFUNCTION("SPLIT(D1060,""T"")"),43768.0)</f>
        <v>43768</v>
      </c>
      <c r="I1060" s="4" t="str">
        <f>IFERROR(__xludf.DUMMYFUNCTION("""COMPUTED_VALUE"""),"11:19:00Z")</f>
        <v>11:19:00Z</v>
      </c>
      <c r="J1060" s="4" t="str">
        <f t="shared" si="2"/>
        <v>11:19:00</v>
      </c>
      <c r="K1060" s="4">
        <f t="shared" si="3"/>
        <v>3</v>
      </c>
      <c r="L1060" s="4">
        <f t="shared" si="4"/>
        <v>0.3090277778</v>
      </c>
      <c r="M1060" s="4">
        <f t="shared" si="5"/>
        <v>3.309027778</v>
      </c>
    </row>
    <row r="1061">
      <c r="A1061" s="4" t="s">
        <v>69</v>
      </c>
      <c r="B1061" s="4" t="s">
        <v>121</v>
      </c>
      <c r="C1061" s="4" t="s">
        <v>122</v>
      </c>
      <c r="D1061" s="4" t="s">
        <v>123</v>
      </c>
      <c r="E1061" s="10">
        <f>IFERROR(__xludf.DUMMYFUNCTION("SPLIT(B1061,""T"")"),41477.0)</f>
        <v>41477</v>
      </c>
      <c r="F1061" s="4" t="str">
        <f>IFERROR(__xludf.DUMMYFUNCTION("""COMPUTED_VALUE"""),"18:45:00Z")</f>
        <v>18:45:00Z</v>
      </c>
      <c r="G1061" s="11" t="str">
        <f t="shared" si="1"/>
        <v>18:45:00</v>
      </c>
      <c r="H1061" s="10">
        <f>IFERROR(__xludf.DUMMYFUNCTION("SPLIT(D1061,""T"")"),41474.0)</f>
        <v>41474</v>
      </c>
      <c r="I1061" s="4" t="str">
        <f>IFERROR(__xludf.DUMMYFUNCTION("""COMPUTED_VALUE"""),"12:00:00Z")</f>
        <v>12:00:00Z</v>
      </c>
      <c r="J1061" s="4" t="str">
        <f t="shared" si="2"/>
        <v>12:00:00</v>
      </c>
      <c r="K1061" s="4">
        <f t="shared" si="3"/>
        <v>3</v>
      </c>
      <c r="L1061" s="4">
        <f t="shared" si="4"/>
        <v>0.28125</v>
      </c>
      <c r="M1061" s="4">
        <f t="shared" si="5"/>
        <v>3.28125</v>
      </c>
    </row>
    <row r="1062">
      <c r="A1062" s="4" t="s">
        <v>27</v>
      </c>
      <c r="B1062" s="4" t="s">
        <v>1476</v>
      </c>
      <c r="C1062" s="4" t="s">
        <v>1477</v>
      </c>
      <c r="D1062" s="4" t="s">
        <v>1478</v>
      </c>
      <c r="E1062" s="10">
        <f>IFERROR(__xludf.DUMMYFUNCTION("SPLIT(B1062,""T"")"),42528.0)</f>
        <v>42528</v>
      </c>
      <c r="F1062" s="4" t="str">
        <f>IFERROR(__xludf.DUMMYFUNCTION("""COMPUTED_VALUE"""),"18:15:00Z")</f>
        <v>18:15:00Z</v>
      </c>
      <c r="G1062" s="11" t="str">
        <f t="shared" si="1"/>
        <v>18:15:00</v>
      </c>
      <c r="H1062" s="10">
        <f>IFERROR(__xludf.DUMMYFUNCTION("SPLIT(D1062,""T"")"),42525.0)</f>
        <v>42525</v>
      </c>
      <c r="I1062" s="4" t="str">
        <f>IFERROR(__xludf.DUMMYFUNCTION("""COMPUTED_VALUE"""),"11:40:00Z")</f>
        <v>11:40:00Z</v>
      </c>
      <c r="J1062" s="4" t="str">
        <f t="shared" si="2"/>
        <v>11:40:00</v>
      </c>
      <c r="K1062" s="4">
        <f t="shared" si="3"/>
        <v>3</v>
      </c>
      <c r="L1062" s="4">
        <f t="shared" si="4"/>
        <v>0.2743055556</v>
      </c>
      <c r="M1062" s="4">
        <f t="shared" si="5"/>
        <v>3.274305556</v>
      </c>
    </row>
    <row r="1063">
      <c r="A1063" s="4" t="s">
        <v>401</v>
      </c>
      <c r="B1063" s="4" t="s">
        <v>3558</v>
      </c>
      <c r="C1063" s="4" t="s">
        <v>1430</v>
      </c>
      <c r="D1063" s="4" t="s">
        <v>3559</v>
      </c>
      <c r="E1063" s="10">
        <f>IFERROR(__xludf.DUMMYFUNCTION("SPLIT(B1063,""T"")"),43732.0)</f>
        <v>43732</v>
      </c>
      <c r="F1063" s="4" t="str">
        <f>IFERROR(__xludf.DUMMYFUNCTION("""COMPUTED_VALUE"""),"18:00:00Z")</f>
        <v>18:00:00Z</v>
      </c>
      <c r="G1063" s="11" t="str">
        <f t="shared" si="1"/>
        <v>18:00:00</v>
      </c>
      <c r="H1063" s="10">
        <f>IFERROR(__xludf.DUMMYFUNCTION("SPLIT(D1063,""T"")"),43729.0)</f>
        <v>43729</v>
      </c>
      <c r="I1063" s="4" t="str">
        <f>IFERROR(__xludf.DUMMYFUNCTION("""COMPUTED_VALUE"""),"11:49:00Z")</f>
        <v>11:49:00Z</v>
      </c>
      <c r="J1063" s="4" t="str">
        <f t="shared" si="2"/>
        <v>11:49:00</v>
      </c>
      <c r="K1063" s="4">
        <f t="shared" si="3"/>
        <v>3</v>
      </c>
      <c r="L1063" s="4">
        <f t="shared" si="4"/>
        <v>0.2576388889</v>
      </c>
      <c r="M1063" s="4">
        <f t="shared" si="5"/>
        <v>3.257638889</v>
      </c>
    </row>
    <row r="1064">
      <c r="A1064" s="4" t="s">
        <v>27</v>
      </c>
      <c r="B1064" s="4" t="s">
        <v>77</v>
      </c>
      <c r="C1064" s="4" t="s">
        <v>78</v>
      </c>
      <c r="D1064" s="4" t="s">
        <v>79</v>
      </c>
      <c r="E1064" s="10">
        <f>IFERROR(__xludf.DUMMYFUNCTION("SPLIT(B1064,""T"")"),41398.0)</f>
        <v>41398</v>
      </c>
      <c r="F1064" s="4" t="str">
        <f>IFERROR(__xludf.DUMMYFUNCTION("""COMPUTED_VALUE"""),"18:30:00Z")</f>
        <v>18:30:00Z</v>
      </c>
      <c r="G1064" s="11" t="str">
        <f t="shared" si="1"/>
        <v>18:30:00</v>
      </c>
      <c r="H1064" s="10">
        <f>IFERROR(__xludf.DUMMYFUNCTION("SPLIT(D1064,""T"")"),41395.0)</f>
        <v>41395</v>
      </c>
      <c r="I1064" s="4" t="str">
        <f>IFERROR(__xludf.DUMMYFUNCTION("""COMPUTED_VALUE"""),"12:38:00Z")</f>
        <v>12:38:00Z</v>
      </c>
      <c r="J1064" s="4" t="str">
        <f t="shared" si="2"/>
        <v>12:38:00</v>
      </c>
      <c r="K1064" s="4">
        <f t="shared" si="3"/>
        <v>3</v>
      </c>
      <c r="L1064" s="4">
        <f t="shared" si="4"/>
        <v>0.2444444444</v>
      </c>
      <c r="M1064" s="4">
        <f t="shared" si="5"/>
        <v>3.244444444</v>
      </c>
    </row>
    <row r="1065">
      <c r="A1065" s="4" t="s">
        <v>130</v>
      </c>
      <c r="B1065" s="4" t="s">
        <v>131</v>
      </c>
      <c r="C1065" s="4" t="s">
        <v>132</v>
      </c>
      <c r="D1065" s="4" t="s">
        <v>133</v>
      </c>
      <c r="E1065" s="10">
        <f>IFERROR(__xludf.DUMMYFUNCTION("SPLIT(B1065,""T"")"),41466.0)</f>
        <v>41466</v>
      </c>
      <c r="F1065" s="4" t="str">
        <f>IFERROR(__xludf.DUMMYFUNCTION("""COMPUTED_VALUE"""),"18:30:00Z")</f>
        <v>18:30:00Z</v>
      </c>
      <c r="G1065" s="11" t="str">
        <f t="shared" si="1"/>
        <v>18:30:00</v>
      </c>
      <c r="H1065" s="10">
        <f>IFERROR(__xludf.DUMMYFUNCTION("SPLIT(D1065,""T"")"),41463.0)</f>
        <v>41463</v>
      </c>
      <c r="I1065" s="4" t="str">
        <f>IFERROR(__xludf.DUMMYFUNCTION("""COMPUTED_VALUE"""),"12:45:00Z")</f>
        <v>12:45:00Z</v>
      </c>
      <c r="J1065" s="4" t="str">
        <f t="shared" si="2"/>
        <v>12:45:00</v>
      </c>
      <c r="K1065" s="4">
        <f t="shared" si="3"/>
        <v>3</v>
      </c>
      <c r="L1065" s="4">
        <f t="shared" si="4"/>
        <v>0.2395833333</v>
      </c>
      <c r="M1065" s="4">
        <f t="shared" si="5"/>
        <v>3.239583333</v>
      </c>
    </row>
    <row r="1066">
      <c r="A1066" s="4" t="s">
        <v>27</v>
      </c>
      <c r="B1066" s="4" t="s">
        <v>1350</v>
      </c>
      <c r="C1066" s="4" t="s">
        <v>796</v>
      </c>
      <c r="D1066" s="4" t="s">
        <v>1351</v>
      </c>
      <c r="E1066" s="10">
        <f>IFERROR(__xludf.DUMMYFUNCTION("SPLIT(B1066,""T"")"),42615.0)</f>
        <v>42615</v>
      </c>
      <c r="F1066" s="4" t="str">
        <f>IFERROR(__xludf.DUMMYFUNCTION("""COMPUTED_VALUE"""),"18:10:00Z")</f>
        <v>18:10:00Z</v>
      </c>
      <c r="G1066" s="11" t="str">
        <f t="shared" si="1"/>
        <v>18:10:00</v>
      </c>
      <c r="H1066" s="10">
        <f>IFERROR(__xludf.DUMMYFUNCTION("SPLIT(D1066,""T"")"),42612.0)</f>
        <v>42612</v>
      </c>
      <c r="I1066" s="4" t="str">
        <f>IFERROR(__xludf.DUMMYFUNCTION("""COMPUTED_VALUE"""),"12:25:00Z")</f>
        <v>12:25:00Z</v>
      </c>
      <c r="J1066" s="4" t="str">
        <f t="shared" si="2"/>
        <v>12:25:00</v>
      </c>
      <c r="K1066" s="4">
        <f t="shared" si="3"/>
        <v>3</v>
      </c>
      <c r="L1066" s="4">
        <f t="shared" si="4"/>
        <v>0.2395833333</v>
      </c>
      <c r="M1066" s="4">
        <f t="shared" si="5"/>
        <v>3.239583333</v>
      </c>
    </row>
    <row r="1067">
      <c r="A1067" s="4" t="s">
        <v>411</v>
      </c>
      <c r="B1067" s="4" t="s">
        <v>1386</v>
      </c>
      <c r="C1067" s="4" t="s">
        <v>879</v>
      </c>
      <c r="D1067" s="4" t="s">
        <v>1387</v>
      </c>
      <c r="E1067" s="10">
        <f>IFERROR(__xludf.DUMMYFUNCTION("SPLIT(B1067,""T"")"),42613.0)</f>
        <v>42613</v>
      </c>
      <c r="F1067" s="4" t="str">
        <f>IFERROR(__xludf.DUMMYFUNCTION("""COMPUTED_VALUE"""),"18:50:00Z")</f>
        <v>18:50:00Z</v>
      </c>
      <c r="G1067" s="11" t="str">
        <f t="shared" si="1"/>
        <v>18:50:00</v>
      </c>
      <c r="H1067" s="10">
        <f>IFERROR(__xludf.DUMMYFUNCTION("SPLIT(D1067,""T"")"),42610.0)</f>
        <v>42610</v>
      </c>
      <c r="I1067" s="4" t="str">
        <f>IFERROR(__xludf.DUMMYFUNCTION("""COMPUTED_VALUE"""),"13:07:00Z")</f>
        <v>13:07:00Z</v>
      </c>
      <c r="J1067" s="4" t="str">
        <f t="shared" si="2"/>
        <v>13:07:00</v>
      </c>
      <c r="K1067" s="4">
        <f t="shared" si="3"/>
        <v>3</v>
      </c>
      <c r="L1067" s="4">
        <f t="shared" si="4"/>
        <v>0.2381944444</v>
      </c>
      <c r="M1067" s="4">
        <f t="shared" si="5"/>
        <v>3.238194444</v>
      </c>
    </row>
    <row r="1068">
      <c r="A1068" s="4" t="s">
        <v>62</v>
      </c>
      <c r="B1068" s="4" t="s">
        <v>84</v>
      </c>
      <c r="C1068" s="4" t="s">
        <v>85</v>
      </c>
      <c r="D1068" s="4" t="s">
        <v>86</v>
      </c>
      <c r="E1068" s="10">
        <f>IFERROR(__xludf.DUMMYFUNCTION("SPLIT(B1068,""T"")"),41420.0)</f>
        <v>41420</v>
      </c>
      <c r="F1068" s="4" t="str">
        <f>IFERROR(__xludf.DUMMYFUNCTION("""COMPUTED_VALUE"""),"17:45:00Z")</f>
        <v>17:45:00Z</v>
      </c>
      <c r="G1068" s="11" t="str">
        <f t="shared" si="1"/>
        <v>17:45:00</v>
      </c>
      <c r="H1068" s="10">
        <f>IFERROR(__xludf.DUMMYFUNCTION("SPLIT(D1068,""T"")"),41417.0)</f>
        <v>41417</v>
      </c>
      <c r="I1068" s="4" t="str">
        <f>IFERROR(__xludf.DUMMYFUNCTION("""COMPUTED_VALUE"""),"12:20:00Z")</f>
        <v>12:20:00Z</v>
      </c>
      <c r="J1068" s="4" t="str">
        <f t="shared" si="2"/>
        <v>12:20:00</v>
      </c>
      <c r="K1068" s="4">
        <f t="shared" si="3"/>
        <v>3</v>
      </c>
      <c r="L1068" s="4">
        <f t="shared" si="4"/>
        <v>0.2256944444</v>
      </c>
      <c r="M1068" s="4">
        <f t="shared" si="5"/>
        <v>3.225694444</v>
      </c>
    </row>
    <row r="1069">
      <c r="A1069" s="4" t="s">
        <v>435</v>
      </c>
      <c r="B1069" s="4" t="s">
        <v>1611</v>
      </c>
      <c r="C1069" s="4" t="s">
        <v>1612</v>
      </c>
      <c r="D1069" s="4" t="s">
        <v>1613</v>
      </c>
      <c r="E1069" s="10">
        <f>IFERROR(__xludf.DUMMYFUNCTION("SPLIT(B1069,""T"")"),42550.0)</f>
        <v>42550</v>
      </c>
      <c r="F1069" s="4" t="str">
        <f>IFERROR(__xludf.DUMMYFUNCTION("""COMPUTED_VALUE"""),"18:30:00Z")</f>
        <v>18:30:00Z</v>
      </c>
      <c r="G1069" s="11" t="str">
        <f t="shared" si="1"/>
        <v>18:30:00</v>
      </c>
      <c r="H1069" s="10">
        <f>IFERROR(__xludf.DUMMYFUNCTION("SPLIT(D1069,""T"")"),42547.0)</f>
        <v>42547</v>
      </c>
      <c r="I1069" s="4" t="str">
        <f>IFERROR(__xludf.DUMMYFUNCTION("""COMPUTED_VALUE"""),"13:10:00Z")</f>
        <v>13:10:00Z</v>
      </c>
      <c r="J1069" s="4" t="str">
        <f t="shared" si="2"/>
        <v>13:10:00</v>
      </c>
      <c r="K1069" s="4">
        <f t="shared" si="3"/>
        <v>3</v>
      </c>
      <c r="L1069" s="4">
        <f t="shared" si="4"/>
        <v>0.2222222222</v>
      </c>
      <c r="M1069" s="4">
        <f t="shared" si="5"/>
        <v>3.222222222</v>
      </c>
    </row>
    <row r="1070">
      <c r="A1070" s="4" t="s">
        <v>62</v>
      </c>
      <c r="B1070" s="4" t="s">
        <v>199</v>
      </c>
      <c r="C1070" s="4" t="s">
        <v>200</v>
      </c>
      <c r="D1070" s="4" t="s">
        <v>201</v>
      </c>
      <c r="E1070" s="10">
        <f>IFERROR(__xludf.DUMMYFUNCTION("SPLIT(B1070,""T"")"),41529.0)</f>
        <v>41529</v>
      </c>
      <c r="F1070" s="4" t="str">
        <f>IFERROR(__xludf.DUMMYFUNCTION("""COMPUTED_VALUE"""),"18:15:00Z")</f>
        <v>18:15:00Z</v>
      </c>
      <c r="G1070" s="11" t="str">
        <f t="shared" si="1"/>
        <v>18:15:00</v>
      </c>
      <c r="H1070" s="10">
        <f>IFERROR(__xludf.DUMMYFUNCTION("SPLIT(D1070,""T"")"),41526.0)</f>
        <v>41526</v>
      </c>
      <c r="I1070" s="4" t="str">
        <f>IFERROR(__xludf.DUMMYFUNCTION("""COMPUTED_VALUE"""),"13:09:00Z")</f>
        <v>13:09:00Z</v>
      </c>
      <c r="J1070" s="4" t="str">
        <f t="shared" si="2"/>
        <v>13:09:00</v>
      </c>
      <c r="K1070" s="4">
        <f t="shared" si="3"/>
        <v>3</v>
      </c>
      <c r="L1070" s="4">
        <f t="shared" si="4"/>
        <v>0.2125</v>
      </c>
      <c r="M1070" s="4">
        <f t="shared" si="5"/>
        <v>3.2125</v>
      </c>
    </row>
    <row r="1071">
      <c r="A1071" s="4" t="s">
        <v>874</v>
      </c>
      <c r="B1071" s="4" t="s">
        <v>1326</v>
      </c>
      <c r="C1071" s="4" t="s">
        <v>1327</v>
      </c>
      <c r="D1071" s="4" t="s">
        <v>1328</v>
      </c>
      <c r="E1071" s="10">
        <f>IFERROR(__xludf.DUMMYFUNCTION("SPLIT(B1071,""T"")"),42589.0)</f>
        <v>42589</v>
      </c>
      <c r="F1071" s="4" t="str">
        <f>IFERROR(__xludf.DUMMYFUNCTION("""COMPUTED_VALUE"""),"19:14:00Z")</f>
        <v>19:14:00Z</v>
      </c>
      <c r="G1071" s="11" t="str">
        <f t="shared" si="1"/>
        <v>19:14:00</v>
      </c>
      <c r="H1071" s="10">
        <f>IFERROR(__xludf.DUMMYFUNCTION("SPLIT(D1071,""T"")"),42586.0)</f>
        <v>42586</v>
      </c>
      <c r="I1071" s="4" t="str">
        <f>IFERROR(__xludf.DUMMYFUNCTION("""COMPUTED_VALUE"""),"14:09:00Z")</f>
        <v>14:09:00Z</v>
      </c>
      <c r="J1071" s="4" t="str">
        <f t="shared" si="2"/>
        <v>14:09:00</v>
      </c>
      <c r="K1071" s="4">
        <f t="shared" si="3"/>
        <v>3</v>
      </c>
      <c r="L1071" s="4">
        <f t="shared" si="4"/>
        <v>0.2118055556</v>
      </c>
      <c r="M1071" s="4">
        <f t="shared" si="5"/>
        <v>3.211805556</v>
      </c>
    </row>
    <row r="1072">
      <c r="A1072" s="4" t="s">
        <v>97</v>
      </c>
      <c r="B1072" s="4" t="s">
        <v>98</v>
      </c>
      <c r="C1072" s="4" t="s">
        <v>99</v>
      </c>
      <c r="D1072" s="4" t="s">
        <v>100</v>
      </c>
      <c r="E1072" s="10">
        <f>IFERROR(__xludf.DUMMYFUNCTION("SPLIT(B1072,""T"")"),41424.0)</f>
        <v>41424</v>
      </c>
      <c r="F1072" s="4" t="str">
        <f>IFERROR(__xludf.DUMMYFUNCTION("""COMPUTED_VALUE"""),"19:30:00Z")</f>
        <v>19:30:00Z</v>
      </c>
      <c r="G1072" s="11" t="str">
        <f t="shared" si="1"/>
        <v>19:30:00</v>
      </c>
      <c r="H1072" s="10">
        <f>IFERROR(__xludf.DUMMYFUNCTION("SPLIT(D1072,""T"")"),41421.0)</f>
        <v>41421</v>
      </c>
      <c r="I1072" s="4" t="str">
        <f>IFERROR(__xludf.DUMMYFUNCTION("""COMPUTED_VALUE"""),"14:45:00Z")</f>
        <v>14:45:00Z</v>
      </c>
      <c r="J1072" s="4" t="str">
        <f t="shared" si="2"/>
        <v>14:45:00</v>
      </c>
      <c r="K1072" s="4">
        <f t="shared" si="3"/>
        <v>3</v>
      </c>
      <c r="L1072" s="4">
        <f t="shared" si="4"/>
        <v>0.1979166667</v>
      </c>
      <c r="M1072" s="4">
        <f t="shared" si="5"/>
        <v>3.197916667</v>
      </c>
    </row>
    <row r="1073">
      <c r="A1073" s="4" t="s">
        <v>388</v>
      </c>
      <c r="B1073" s="4" t="s">
        <v>1413</v>
      </c>
      <c r="C1073" s="4" t="s">
        <v>1609</v>
      </c>
      <c r="D1073" s="4" t="s">
        <v>1610</v>
      </c>
      <c r="E1073" s="10">
        <f>IFERROR(__xludf.DUMMYFUNCTION("SPLIT(B1073,""T"")"),42633.0)</f>
        <v>42633</v>
      </c>
      <c r="F1073" s="4" t="str">
        <f>IFERROR(__xludf.DUMMYFUNCTION("""COMPUTED_VALUE"""),"18:00:00Z")</f>
        <v>18:00:00Z</v>
      </c>
      <c r="G1073" s="11" t="str">
        <f t="shared" si="1"/>
        <v>18:00:00</v>
      </c>
      <c r="H1073" s="10">
        <f>IFERROR(__xludf.DUMMYFUNCTION("SPLIT(D1073,""T"")"),42630.0)</f>
        <v>42630</v>
      </c>
      <c r="I1073" s="4" t="str">
        <f>IFERROR(__xludf.DUMMYFUNCTION("""COMPUTED_VALUE"""),"13:40:00Z")</f>
        <v>13:40:00Z</v>
      </c>
      <c r="J1073" s="4" t="str">
        <f t="shared" si="2"/>
        <v>13:40:00</v>
      </c>
      <c r="K1073" s="4">
        <f t="shared" si="3"/>
        <v>3</v>
      </c>
      <c r="L1073" s="4">
        <f t="shared" si="4"/>
        <v>0.1805555556</v>
      </c>
      <c r="M1073" s="4">
        <f t="shared" si="5"/>
        <v>3.180555556</v>
      </c>
    </row>
    <row r="1074">
      <c r="A1074" s="4" t="s">
        <v>2038</v>
      </c>
      <c r="B1074" s="4" t="s">
        <v>3307</v>
      </c>
      <c r="C1074" s="4" t="s">
        <v>56</v>
      </c>
      <c r="D1074" s="4" t="s">
        <v>3308</v>
      </c>
      <c r="E1074" s="10">
        <f>IFERROR(__xludf.DUMMYFUNCTION("SPLIT(B1074,""T"")"),43714.0)</f>
        <v>43714</v>
      </c>
      <c r="F1074" s="4" t="str">
        <f>IFERROR(__xludf.DUMMYFUNCTION("""COMPUTED_VALUE"""),"19:48:00Z")</f>
        <v>19:48:00Z</v>
      </c>
      <c r="G1074" s="11" t="str">
        <f t="shared" si="1"/>
        <v>19:48:00</v>
      </c>
      <c r="H1074" s="10">
        <f>IFERROR(__xludf.DUMMYFUNCTION("SPLIT(D1074,""T"")"),43711.0)</f>
        <v>43711</v>
      </c>
      <c r="I1074" s="4" t="str">
        <f>IFERROR(__xludf.DUMMYFUNCTION("""COMPUTED_VALUE"""),"15:36:45Z")</f>
        <v>15:36:45Z</v>
      </c>
      <c r="J1074" s="4" t="str">
        <f t="shared" si="2"/>
        <v>15:36:45</v>
      </c>
      <c r="K1074" s="4">
        <f t="shared" si="3"/>
        <v>3</v>
      </c>
      <c r="L1074" s="4">
        <f t="shared" si="4"/>
        <v>0.1744791667</v>
      </c>
      <c r="M1074" s="4">
        <f t="shared" si="5"/>
        <v>3.174479167</v>
      </c>
    </row>
    <row r="1075">
      <c r="A1075" s="4" t="s">
        <v>62</v>
      </c>
      <c r="B1075" s="4" t="s">
        <v>3580</v>
      </c>
      <c r="C1075" s="4" t="s">
        <v>311</v>
      </c>
      <c r="D1075" s="4" t="s">
        <v>3581</v>
      </c>
      <c r="E1075" s="10">
        <f>IFERROR(__xludf.DUMMYFUNCTION("SPLIT(B1075,""T"")"),43661.0)</f>
        <v>43661</v>
      </c>
      <c r="F1075" s="4" t="str">
        <f>IFERROR(__xludf.DUMMYFUNCTION("""COMPUTED_VALUE"""),"17:10:00Z")</f>
        <v>17:10:00Z</v>
      </c>
      <c r="G1075" s="11" t="str">
        <f t="shared" si="1"/>
        <v>17:10:00</v>
      </c>
      <c r="H1075" s="10">
        <f>IFERROR(__xludf.DUMMYFUNCTION("SPLIT(D1075,""T"")"),43658.0)</f>
        <v>43658</v>
      </c>
      <c r="I1075" s="4" t="str">
        <f>IFERROR(__xludf.DUMMYFUNCTION("""COMPUTED_VALUE"""),"13:20:39Z")</f>
        <v>13:20:39Z</v>
      </c>
      <c r="J1075" s="4" t="str">
        <f t="shared" si="2"/>
        <v>13:20:39</v>
      </c>
      <c r="K1075" s="4">
        <f t="shared" si="3"/>
        <v>3</v>
      </c>
      <c r="L1075" s="4">
        <f t="shared" si="4"/>
        <v>0.1592708333</v>
      </c>
      <c r="M1075" s="4">
        <f t="shared" si="5"/>
        <v>3.159270833</v>
      </c>
    </row>
    <row r="1076">
      <c r="A1076" s="4" t="s">
        <v>205</v>
      </c>
      <c r="B1076" s="4" t="s">
        <v>893</v>
      </c>
      <c r="C1076" s="4" t="s">
        <v>894</v>
      </c>
      <c r="D1076" s="4" t="s">
        <v>895</v>
      </c>
      <c r="E1076" s="10">
        <f>IFERROR(__xludf.DUMMYFUNCTION("SPLIT(B1076,""T"")"),42238.0)</f>
        <v>42238</v>
      </c>
      <c r="F1076" s="4" t="str">
        <f>IFERROR(__xludf.DUMMYFUNCTION("""COMPUTED_VALUE"""),"18:30:00Z")</f>
        <v>18:30:00Z</v>
      </c>
      <c r="G1076" s="11" t="str">
        <f t="shared" si="1"/>
        <v>18:30:00</v>
      </c>
      <c r="H1076" s="10">
        <f>IFERROR(__xludf.DUMMYFUNCTION("SPLIT(D1076,""T"")"),42235.0)</f>
        <v>42235</v>
      </c>
      <c r="I1076" s="4" t="str">
        <f>IFERROR(__xludf.DUMMYFUNCTION("""COMPUTED_VALUE"""),"14:45:00Z")</f>
        <v>14:45:00Z</v>
      </c>
      <c r="J1076" s="4" t="str">
        <f t="shared" si="2"/>
        <v>14:45:00</v>
      </c>
      <c r="K1076" s="4">
        <f t="shared" si="3"/>
        <v>3</v>
      </c>
      <c r="L1076" s="4">
        <f t="shared" si="4"/>
        <v>0.15625</v>
      </c>
      <c r="M1076" s="4">
        <f t="shared" si="5"/>
        <v>3.15625</v>
      </c>
    </row>
    <row r="1077">
      <c r="A1077" s="4" t="s">
        <v>145</v>
      </c>
      <c r="B1077" s="4" t="s">
        <v>1395</v>
      </c>
      <c r="C1077" s="4" t="s">
        <v>1396</v>
      </c>
      <c r="D1077" s="4" t="s">
        <v>1397</v>
      </c>
      <c r="E1077" s="10">
        <f>IFERROR(__xludf.DUMMYFUNCTION("SPLIT(B1077,""T"")"),42627.0)</f>
        <v>42627</v>
      </c>
      <c r="F1077" s="4" t="str">
        <f>IFERROR(__xludf.DUMMYFUNCTION("""COMPUTED_VALUE"""),"18:00:00Z")</f>
        <v>18:00:00Z</v>
      </c>
      <c r="G1077" s="11" t="str">
        <f t="shared" si="1"/>
        <v>18:00:00</v>
      </c>
      <c r="H1077" s="10">
        <f>IFERROR(__xludf.DUMMYFUNCTION("SPLIT(D1077,""T"")"),42624.0)</f>
        <v>42624</v>
      </c>
      <c r="I1077" s="4" t="str">
        <f>IFERROR(__xludf.DUMMYFUNCTION("""COMPUTED_VALUE"""),"14:15:00Z")</f>
        <v>14:15:00Z</v>
      </c>
      <c r="J1077" s="4" t="str">
        <f t="shared" si="2"/>
        <v>14:15:00</v>
      </c>
      <c r="K1077" s="4">
        <f t="shared" si="3"/>
        <v>3</v>
      </c>
      <c r="L1077" s="4">
        <f t="shared" si="4"/>
        <v>0.15625</v>
      </c>
      <c r="M1077" s="4">
        <f t="shared" si="5"/>
        <v>3.15625</v>
      </c>
    </row>
    <row r="1078">
      <c r="A1078" s="4" t="s">
        <v>39</v>
      </c>
      <c r="B1078" s="4" t="s">
        <v>1449</v>
      </c>
      <c r="C1078" s="4" t="s">
        <v>1450</v>
      </c>
      <c r="D1078" s="4" t="s">
        <v>1451</v>
      </c>
      <c r="E1078" s="10">
        <f>IFERROR(__xludf.DUMMYFUNCTION("SPLIT(B1078,""T"")"),42619.0)</f>
        <v>42619</v>
      </c>
      <c r="F1078" s="4" t="str">
        <f>IFERROR(__xludf.DUMMYFUNCTION("""COMPUTED_VALUE"""),"18:15:00Z")</f>
        <v>18:15:00Z</v>
      </c>
      <c r="G1078" s="11" t="str">
        <f t="shared" si="1"/>
        <v>18:15:00</v>
      </c>
      <c r="H1078" s="10">
        <f>IFERROR(__xludf.DUMMYFUNCTION("SPLIT(D1078,""T"")"),42616.0)</f>
        <v>42616</v>
      </c>
      <c r="I1078" s="4" t="str">
        <f>IFERROR(__xludf.DUMMYFUNCTION("""COMPUTED_VALUE"""),"14:44:00Z")</f>
        <v>14:44:00Z</v>
      </c>
      <c r="J1078" s="4" t="str">
        <f t="shared" si="2"/>
        <v>14:44:00</v>
      </c>
      <c r="K1078" s="4">
        <f t="shared" si="3"/>
        <v>3</v>
      </c>
      <c r="L1078" s="4">
        <f t="shared" si="4"/>
        <v>0.1465277778</v>
      </c>
      <c r="M1078" s="4">
        <f t="shared" si="5"/>
        <v>3.146527778</v>
      </c>
    </row>
    <row r="1079">
      <c r="A1079" s="4" t="s">
        <v>101</v>
      </c>
      <c r="B1079" s="4" t="s">
        <v>697</v>
      </c>
      <c r="C1079" s="4" t="s">
        <v>698</v>
      </c>
      <c r="D1079" s="4" t="s">
        <v>699</v>
      </c>
      <c r="E1079" s="10">
        <f>IFERROR(__xludf.DUMMYFUNCTION("SPLIT(B1079,""T"")"),41803.0)</f>
        <v>41803</v>
      </c>
      <c r="F1079" s="4" t="str">
        <f>IFERROR(__xludf.DUMMYFUNCTION("""COMPUTED_VALUE"""),"18:30:00Z")</f>
        <v>18:30:00Z</v>
      </c>
      <c r="G1079" s="11" t="str">
        <f t="shared" si="1"/>
        <v>18:30:00</v>
      </c>
      <c r="H1079" s="10">
        <f>IFERROR(__xludf.DUMMYFUNCTION("SPLIT(D1079,""T"")"),41800.0)</f>
        <v>41800</v>
      </c>
      <c r="I1079" s="4" t="str">
        <f>IFERROR(__xludf.DUMMYFUNCTION("""COMPUTED_VALUE"""),"15:11:00Z")</f>
        <v>15:11:00Z</v>
      </c>
      <c r="J1079" s="4" t="str">
        <f t="shared" si="2"/>
        <v>15:11:00</v>
      </c>
      <c r="K1079" s="4">
        <f t="shared" si="3"/>
        <v>3</v>
      </c>
      <c r="L1079" s="4">
        <f t="shared" si="4"/>
        <v>0.1381944444</v>
      </c>
      <c r="M1079" s="4">
        <f t="shared" si="5"/>
        <v>3.138194444</v>
      </c>
    </row>
    <row r="1080">
      <c r="A1080" s="4" t="s">
        <v>69</v>
      </c>
      <c r="B1080" s="4" t="s">
        <v>1511</v>
      </c>
      <c r="C1080" s="4" t="s">
        <v>1512</v>
      </c>
      <c r="D1080" s="4" t="s">
        <v>1513</v>
      </c>
      <c r="E1080" s="10">
        <f>IFERROR(__xludf.DUMMYFUNCTION("SPLIT(B1080,""T"")"),42589.0)</f>
        <v>42589</v>
      </c>
      <c r="F1080" s="4" t="str">
        <f>IFERROR(__xludf.DUMMYFUNCTION("""COMPUTED_VALUE"""),"20:15:00Z")</f>
        <v>20:15:00Z</v>
      </c>
      <c r="G1080" s="11" t="str">
        <f t="shared" si="1"/>
        <v>20:15:00</v>
      </c>
      <c r="H1080" s="10">
        <f>IFERROR(__xludf.DUMMYFUNCTION("SPLIT(D1080,""T"")"),42586.0)</f>
        <v>42586</v>
      </c>
      <c r="I1080" s="4" t="str">
        <f>IFERROR(__xludf.DUMMYFUNCTION("""COMPUTED_VALUE"""),"17:10:00Z")</f>
        <v>17:10:00Z</v>
      </c>
      <c r="J1080" s="4" t="str">
        <f t="shared" si="2"/>
        <v>17:10:00</v>
      </c>
      <c r="K1080" s="4">
        <f t="shared" si="3"/>
        <v>3</v>
      </c>
      <c r="L1080" s="4">
        <f t="shared" si="4"/>
        <v>0.1284722222</v>
      </c>
      <c r="M1080" s="4">
        <f t="shared" si="5"/>
        <v>3.128472222</v>
      </c>
    </row>
    <row r="1081">
      <c r="A1081" s="4" t="s">
        <v>114</v>
      </c>
      <c r="B1081" s="4" t="s">
        <v>1314</v>
      </c>
      <c r="C1081" s="4" t="s">
        <v>1315</v>
      </c>
      <c r="D1081" s="4" t="s">
        <v>1316</v>
      </c>
      <c r="E1081" s="10">
        <f>IFERROR(__xludf.DUMMYFUNCTION("SPLIT(B1081,""T"")"),42515.0)</f>
        <v>42515</v>
      </c>
      <c r="F1081" s="4" t="str">
        <f>IFERROR(__xludf.DUMMYFUNCTION("""COMPUTED_VALUE"""),"18:15:00Z")</f>
        <v>18:15:00Z</v>
      </c>
      <c r="G1081" s="11" t="str">
        <f t="shared" si="1"/>
        <v>18:15:00</v>
      </c>
      <c r="H1081" s="10">
        <f>IFERROR(__xludf.DUMMYFUNCTION("SPLIT(D1081,""T"")"),42512.0)</f>
        <v>42512</v>
      </c>
      <c r="I1081" s="4" t="str">
        <f>IFERROR(__xludf.DUMMYFUNCTION("""COMPUTED_VALUE"""),"15:27:00Z")</f>
        <v>15:27:00Z</v>
      </c>
      <c r="J1081" s="4" t="str">
        <f t="shared" si="2"/>
        <v>15:27:00</v>
      </c>
      <c r="K1081" s="4">
        <f t="shared" si="3"/>
        <v>3</v>
      </c>
      <c r="L1081" s="4">
        <f t="shared" si="4"/>
        <v>0.1166666667</v>
      </c>
      <c r="M1081" s="4">
        <f t="shared" si="5"/>
        <v>3.116666667</v>
      </c>
    </row>
    <row r="1082">
      <c r="A1082" s="4" t="s">
        <v>401</v>
      </c>
      <c r="B1082" s="4" t="s">
        <v>1168</v>
      </c>
      <c r="C1082" s="4" t="s">
        <v>653</v>
      </c>
      <c r="D1082" s="4" t="s">
        <v>1169</v>
      </c>
      <c r="E1082" s="10">
        <f>IFERROR(__xludf.DUMMYFUNCTION("SPLIT(B1082,""T"")"),42188.0)</f>
        <v>42188</v>
      </c>
      <c r="F1082" s="4" t="str">
        <f>IFERROR(__xludf.DUMMYFUNCTION("""COMPUTED_VALUE"""),"17:55:00Z")</f>
        <v>17:55:00Z</v>
      </c>
      <c r="G1082" s="11" t="str">
        <f t="shared" si="1"/>
        <v>17:55:00</v>
      </c>
      <c r="H1082" s="10">
        <f>IFERROR(__xludf.DUMMYFUNCTION("SPLIT(D1082,""T"")"),42185.0)</f>
        <v>42185</v>
      </c>
      <c r="I1082" s="4" t="str">
        <f>IFERROR(__xludf.DUMMYFUNCTION("""COMPUTED_VALUE"""),"15:23:00Z")</f>
        <v>15:23:00Z</v>
      </c>
      <c r="J1082" s="4" t="str">
        <f t="shared" si="2"/>
        <v>15:23:00</v>
      </c>
      <c r="K1082" s="4">
        <f t="shared" si="3"/>
        <v>3</v>
      </c>
      <c r="L1082" s="4">
        <f t="shared" si="4"/>
        <v>0.1055555556</v>
      </c>
      <c r="M1082" s="4">
        <f t="shared" si="5"/>
        <v>3.105555556</v>
      </c>
    </row>
    <row r="1083">
      <c r="A1083" s="4" t="s">
        <v>39</v>
      </c>
      <c r="B1083" s="4" t="s">
        <v>1470</v>
      </c>
      <c r="C1083" s="4" t="s">
        <v>1471</v>
      </c>
      <c r="D1083" s="4" t="s">
        <v>1472</v>
      </c>
      <c r="E1083" s="10">
        <f>IFERROR(__xludf.DUMMYFUNCTION("SPLIT(B1083,""T"")"),42558.0)</f>
        <v>42558</v>
      </c>
      <c r="F1083" s="4" t="str">
        <f>IFERROR(__xludf.DUMMYFUNCTION("""COMPUTED_VALUE"""),"19:00:00Z")</f>
        <v>19:00:00Z</v>
      </c>
      <c r="G1083" s="11" t="str">
        <f t="shared" si="1"/>
        <v>19:00:00</v>
      </c>
      <c r="H1083" s="10">
        <f>IFERROR(__xludf.DUMMYFUNCTION("SPLIT(D1083,""T"")"),42555.0)</f>
        <v>42555</v>
      </c>
      <c r="I1083" s="4" t="str">
        <f>IFERROR(__xludf.DUMMYFUNCTION("""COMPUTED_VALUE"""),"17:15:00Z")</f>
        <v>17:15:00Z</v>
      </c>
      <c r="J1083" s="4" t="str">
        <f t="shared" si="2"/>
        <v>17:15:00</v>
      </c>
      <c r="K1083" s="4">
        <f t="shared" si="3"/>
        <v>3</v>
      </c>
      <c r="L1083" s="4">
        <f t="shared" si="4"/>
        <v>0.07291666667</v>
      </c>
      <c r="M1083" s="4">
        <f t="shared" si="5"/>
        <v>3.072916667</v>
      </c>
    </row>
    <row r="1084">
      <c r="A1084" s="4" t="s">
        <v>50</v>
      </c>
      <c r="B1084" s="4" t="s">
        <v>844</v>
      </c>
      <c r="C1084" s="4" t="s">
        <v>1249</v>
      </c>
      <c r="D1084" s="4" t="s">
        <v>1250</v>
      </c>
      <c r="E1084" s="10">
        <f>IFERROR(__xludf.DUMMYFUNCTION("SPLIT(B1084,""T"")"),42216.0)</f>
        <v>42216</v>
      </c>
      <c r="F1084" s="4" t="str">
        <f>IFERROR(__xludf.DUMMYFUNCTION("""COMPUTED_VALUE"""),"19:00:00Z")</f>
        <v>19:00:00Z</v>
      </c>
      <c r="G1084" s="11" t="str">
        <f t="shared" si="1"/>
        <v>19:00:00</v>
      </c>
      <c r="H1084" s="10">
        <f>IFERROR(__xludf.DUMMYFUNCTION("SPLIT(D1084,""T"")"),42213.0)</f>
        <v>42213</v>
      </c>
      <c r="I1084" s="4" t="str">
        <f>IFERROR(__xludf.DUMMYFUNCTION("""COMPUTED_VALUE"""),"17:19:00Z")</f>
        <v>17:19:00Z</v>
      </c>
      <c r="J1084" s="4" t="str">
        <f t="shared" si="2"/>
        <v>17:19:00</v>
      </c>
      <c r="K1084" s="4">
        <f t="shared" si="3"/>
        <v>3</v>
      </c>
      <c r="L1084" s="4">
        <f t="shared" si="4"/>
        <v>0.07013888889</v>
      </c>
      <c r="M1084" s="4">
        <f t="shared" si="5"/>
        <v>3.070138889</v>
      </c>
    </row>
    <row r="1085">
      <c r="A1085" s="4" t="s">
        <v>46</v>
      </c>
      <c r="B1085" s="4" t="s">
        <v>3809</v>
      </c>
      <c r="C1085" s="4" t="s">
        <v>3810</v>
      </c>
      <c r="D1085" s="4" t="s">
        <v>3811</v>
      </c>
      <c r="E1085" s="10">
        <f>IFERROR(__xludf.DUMMYFUNCTION("SPLIT(B1085,""T"")"),43718.0)</f>
        <v>43718</v>
      </c>
      <c r="F1085" s="4" t="str">
        <f>IFERROR(__xludf.DUMMYFUNCTION("""COMPUTED_VALUE"""),"19:27:00Z")</f>
        <v>19:27:00Z</v>
      </c>
      <c r="G1085" s="11" t="str">
        <f t="shared" si="1"/>
        <v>19:27:00</v>
      </c>
      <c r="H1085" s="10">
        <f>IFERROR(__xludf.DUMMYFUNCTION("SPLIT(D1085,""T"")"),43715.0)</f>
        <v>43715</v>
      </c>
      <c r="I1085" s="4" t="str">
        <f>IFERROR(__xludf.DUMMYFUNCTION("""COMPUTED_VALUE"""),"18:19:16Z")</f>
        <v>18:19:16Z</v>
      </c>
      <c r="J1085" s="4" t="str">
        <f t="shared" si="2"/>
        <v>18:19:16</v>
      </c>
      <c r="K1085" s="4">
        <f t="shared" si="3"/>
        <v>3</v>
      </c>
      <c r="L1085" s="4">
        <f t="shared" si="4"/>
        <v>0.04703703704</v>
      </c>
      <c r="M1085" s="4">
        <f t="shared" si="5"/>
        <v>3.047037037</v>
      </c>
    </row>
    <row r="1086">
      <c r="A1086" s="4" t="s">
        <v>58</v>
      </c>
      <c r="B1086" s="4" t="s">
        <v>911</v>
      </c>
      <c r="C1086" s="4" t="s">
        <v>987</v>
      </c>
      <c r="D1086" s="4" t="s">
        <v>988</v>
      </c>
      <c r="E1086" s="10">
        <f>IFERROR(__xludf.DUMMYFUNCTION("SPLIT(B1086,""T"")"),42217.0)</f>
        <v>42217</v>
      </c>
      <c r="F1086" s="4" t="str">
        <f>IFERROR(__xludf.DUMMYFUNCTION("""COMPUTED_VALUE"""),"19:00:00Z")</f>
        <v>19:00:00Z</v>
      </c>
      <c r="G1086" s="11" t="str">
        <f t="shared" si="1"/>
        <v>19:00:00</v>
      </c>
      <c r="H1086" s="10">
        <f>IFERROR(__xludf.DUMMYFUNCTION("SPLIT(D1086,""T"")"),42214.0)</f>
        <v>42214</v>
      </c>
      <c r="I1086" s="4" t="str">
        <f>IFERROR(__xludf.DUMMYFUNCTION("""COMPUTED_VALUE"""),"17:55:00Z")</f>
        <v>17:55:00Z</v>
      </c>
      <c r="J1086" s="4" t="str">
        <f t="shared" si="2"/>
        <v>17:55:00</v>
      </c>
      <c r="K1086" s="4">
        <f t="shared" si="3"/>
        <v>3</v>
      </c>
      <c r="L1086" s="4">
        <f t="shared" si="4"/>
        <v>0.04513888889</v>
      </c>
      <c r="M1086" s="4">
        <f t="shared" si="5"/>
        <v>3.045138889</v>
      </c>
    </row>
    <row r="1087">
      <c r="A1087" s="4" t="s">
        <v>186</v>
      </c>
      <c r="B1087" s="4" t="s">
        <v>1577</v>
      </c>
      <c r="C1087" s="4" t="s">
        <v>811</v>
      </c>
      <c r="D1087" s="4" t="s">
        <v>1578</v>
      </c>
      <c r="E1087" s="10">
        <f>IFERROR(__xludf.DUMMYFUNCTION("SPLIT(B1087,""T"")"),42573.0)</f>
        <v>42573</v>
      </c>
      <c r="F1087" s="4" t="str">
        <f>IFERROR(__xludf.DUMMYFUNCTION("""COMPUTED_VALUE"""),"18:15:00Z")</f>
        <v>18:15:00Z</v>
      </c>
      <c r="G1087" s="11" t="str">
        <f t="shared" si="1"/>
        <v>18:15:00</v>
      </c>
      <c r="H1087" s="10">
        <f>IFERROR(__xludf.DUMMYFUNCTION("SPLIT(D1087,""T"")"),42570.0)</f>
        <v>42570</v>
      </c>
      <c r="I1087" s="4" t="str">
        <f>IFERROR(__xludf.DUMMYFUNCTION("""COMPUTED_VALUE"""),"17:16:00Z")</f>
        <v>17:16:00Z</v>
      </c>
      <c r="J1087" s="4" t="str">
        <f t="shared" si="2"/>
        <v>17:16:00</v>
      </c>
      <c r="K1087" s="4">
        <f t="shared" si="3"/>
        <v>3</v>
      </c>
      <c r="L1087" s="4">
        <f t="shared" si="4"/>
        <v>0.04097222222</v>
      </c>
      <c r="M1087" s="4">
        <f t="shared" si="5"/>
        <v>3.040972222</v>
      </c>
    </row>
    <row r="1088">
      <c r="A1088" s="4" t="s">
        <v>282</v>
      </c>
      <c r="B1088" s="4" t="s">
        <v>3479</v>
      </c>
      <c r="C1088" s="4" t="s">
        <v>3480</v>
      </c>
      <c r="D1088" s="4" t="s">
        <v>3481</v>
      </c>
      <c r="E1088" s="10">
        <f>IFERROR(__xludf.DUMMYFUNCTION("SPLIT(B1088,""T"")"),43648.0)</f>
        <v>43648</v>
      </c>
      <c r="F1088" s="4" t="str">
        <f>IFERROR(__xludf.DUMMYFUNCTION("""COMPUTED_VALUE"""),"15:51:00Z")</f>
        <v>15:51:00Z</v>
      </c>
      <c r="G1088" s="11" t="str">
        <f t="shared" si="1"/>
        <v>15:51:00</v>
      </c>
      <c r="H1088" s="10">
        <f>IFERROR(__xludf.DUMMYFUNCTION("SPLIT(D1088,""T"")"),43645.0)</f>
        <v>43645</v>
      </c>
      <c r="I1088" s="4" t="str">
        <f>IFERROR(__xludf.DUMMYFUNCTION("""COMPUTED_VALUE"""),"15:09:52Z")</f>
        <v>15:09:52Z</v>
      </c>
      <c r="J1088" s="4" t="str">
        <f t="shared" si="2"/>
        <v>15:09:52</v>
      </c>
      <c r="K1088" s="4">
        <f t="shared" si="3"/>
        <v>3</v>
      </c>
      <c r="L1088" s="4">
        <f t="shared" si="4"/>
        <v>0.02856481481</v>
      </c>
      <c r="M1088" s="4">
        <f t="shared" si="5"/>
        <v>3.028564815</v>
      </c>
    </row>
    <row r="1089">
      <c r="A1089" s="4" t="s">
        <v>69</v>
      </c>
      <c r="B1089" s="4" t="s">
        <v>1380</v>
      </c>
      <c r="C1089" s="4" t="s">
        <v>1381</v>
      </c>
      <c r="D1089" s="4" t="s">
        <v>1382</v>
      </c>
      <c r="E1089" s="10">
        <f>IFERROR(__xludf.DUMMYFUNCTION("SPLIT(B1089,""T"")"),42611.0)</f>
        <v>42611</v>
      </c>
      <c r="F1089" s="4" t="str">
        <f>IFERROR(__xludf.DUMMYFUNCTION("""COMPUTED_VALUE"""),"10:30:00Z")</f>
        <v>10:30:00Z</v>
      </c>
      <c r="G1089" s="11" t="str">
        <f t="shared" si="1"/>
        <v>10:30:00</v>
      </c>
      <c r="H1089" s="10">
        <f>IFERROR(__xludf.DUMMYFUNCTION("SPLIT(D1089,""T"")"),42608.0)</f>
        <v>42608</v>
      </c>
      <c r="I1089" s="4" t="str">
        <f>IFERROR(__xludf.DUMMYFUNCTION("""COMPUTED_VALUE"""),"10:10:00Z")</f>
        <v>10:10:00Z</v>
      </c>
      <c r="J1089" s="4" t="str">
        <f t="shared" si="2"/>
        <v>10:10:00</v>
      </c>
      <c r="K1089" s="4">
        <f t="shared" si="3"/>
        <v>3</v>
      </c>
      <c r="L1089" s="4">
        <f t="shared" si="4"/>
        <v>0.01388888889</v>
      </c>
      <c r="M1089" s="4">
        <f t="shared" si="5"/>
        <v>3.013888889</v>
      </c>
    </row>
    <row r="1090">
      <c r="A1090" s="4" t="s">
        <v>35</v>
      </c>
      <c r="B1090" s="4" t="s">
        <v>1020</v>
      </c>
      <c r="C1090" s="4" t="s">
        <v>164</v>
      </c>
      <c r="D1090" s="4" t="s">
        <v>1021</v>
      </c>
      <c r="E1090" s="10">
        <f>IFERROR(__xludf.DUMMYFUNCTION("SPLIT(B1090,""T"")"),42180.0)</f>
        <v>42180</v>
      </c>
      <c r="F1090" s="4" t="str">
        <f>IFERROR(__xludf.DUMMYFUNCTION("""COMPUTED_VALUE"""),"07:00:00Z")</f>
        <v>07:00:00Z</v>
      </c>
      <c r="G1090" s="11" t="str">
        <f t="shared" si="1"/>
        <v>07:00:00</v>
      </c>
      <c r="H1090" s="10">
        <f>IFERROR(__xludf.DUMMYFUNCTION("SPLIT(D1090,""T"")"),42177.0)</f>
        <v>42177</v>
      </c>
      <c r="I1090" s="4" t="str">
        <f>IFERROR(__xludf.DUMMYFUNCTION("""COMPUTED_VALUE"""),"07:00:00Z")</f>
        <v>07:00:00Z</v>
      </c>
      <c r="J1090" s="4" t="str">
        <f t="shared" si="2"/>
        <v>07:00:00</v>
      </c>
      <c r="K1090" s="4">
        <f t="shared" si="3"/>
        <v>3</v>
      </c>
      <c r="L1090" s="4">
        <f t="shared" si="4"/>
        <v>0</v>
      </c>
      <c r="M1090" s="4">
        <f t="shared" si="5"/>
        <v>3</v>
      </c>
    </row>
    <row r="1091">
      <c r="A1091" s="4" t="s">
        <v>320</v>
      </c>
      <c r="B1091" s="4" t="s">
        <v>1056</v>
      </c>
      <c r="C1091" s="4" t="s">
        <v>1057</v>
      </c>
      <c r="D1091" s="4" t="s">
        <v>1058</v>
      </c>
      <c r="E1091" s="10">
        <f>IFERROR(__xludf.DUMMYFUNCTION("SPLIT(B1091,""T"")"),42188.0)</f>
        <v>42188</v>
      </c>
      <c r="F1091" s="4" t="str">
        <f>IFERROR(__xludf.DUMMYFUNCTION("""COMPUTED_VALUE"""),"18:00:00Z")</f>
        <v>18:00:00Z</v>
      </c>
      <c r="G1091" s="11" t="str">
        <f t="shared" si="1"/>
        <v>18:00:00</v>
      </c>
      <c r="H1091" s="10">
        <f>IFERROR(__xludf.DUMMYFUNCTION("SPLIT(D1091,""T"")"),42185.0)</f>
        <v>42185</v>
      </c>
      <c r="I1091" s="4" t="str">
        <f>IFERROR(__xludf.DUMMYFUNCTION("""COMPUTED_VALUE"""),"18:00:00Z")</f>
        <v>18:00:00Z</v>
      </c>
      <c r="J1091" s="4" t="str">
        <f t="shared" si="2"/>
        <v>18:00:00</v>
      </c>
      <c r="K1091" s="4">
        <f t="shared" si="3"/>
        <v>3</v>
      </c>
      <c r="L1091" s="4">
        <f t="shared" si="4"/>
        <v>0</v>
      </c>
      <c r="M1091" s="4">
        <f t="shared" si="5"/>
        <v>3</v>
      </c>
    </row>
    <row r="1092">
      <c r="A1092" s="4" t="s">
        <v>58</v>
      </c>
      <c r="B1092" s="4" t="s">
        <v>745</v>
      </c>
      <c r="C1092" s="4" t="s">
        <v>746</v>
      </c>
      <c r="D1092" s="4" t="s">
        <v>747</v>
      </c>
      <c r="E1092" s="10">
        <f>IFERROR(__xludf.DUMMYFUNCTION("SPLIT(B1092,""T"")"),41828.0)</f>
        <v>41828</v>
      </c>
      <c r="F1092" s="4" t="str">
        <f>IFERROR(__xludf.DUMMYFUNCTION("""COMPUTED_VALUE"""),"18:30:00Z")</f>
        <v>18:30:00Z</v>
      </c>
      <c r="G1092" s="11" t="str">
        <f t="shared" si="1"/>
        <v>18:30:00</v>
      </c>
      <c r="H1092" s="10">
        <f>IFERROR(__xludf.DUMMYFUNCTION("SPLIT(D1092,""T"")"),41825.0)</f>
        <v>41825</v>
      </c>
      <c r="I1092" s="4" t="str">
        <f>IFERROR(__xludf.DUMMYFUNCTION("""COMPUTED_VALUE"""),"18:44:00Z")</f>
        <v>18:44:00Z</v>
      </c>
      <c r="J1092" s="4" t="str">
        <f t="shared" si="2"/>
        <v>18:44:00</v>
      </c>
      <c r="K1092" s="4">
        <f t="shared" si="3"/>
        <v>3</v>
      </c>
      <c r="L1092" s="4">
        <f t="shared" si="4"/>
        <v>-0.009722222222</v>
      </c>
      <c r="M1092" s="4">
        <f t="shared" si="5"/>
        <v>2.990277778</v>
      </c>
    </row>
    <row r="1093">
      <c r="A1093" s="4" t="s">
        <v>320</v>
      </c>
      <c r="B1093" s="4" t="s">
        <v>3665</v>
      </c>
      <c r="C1093" s="4" t="s">
        <v>1034</v>
      </c>
      <c r="D1093" s="4" t="s">
        <v>3666</v>
      </c>
      <c r="E1093" s="10">
        <f>IFERROR(__xludf.DUMMYFUNCTION("SPLIT(B1093,""T"")"),43754.0)</f>
        <v>43754</v>
      </c>
      <c r="F1093" s="4" t="str">
        <f>IFERROR(__xludf.DUMMYFUNCTION("""COMPUTED_VALUE"""),"13:44:00Z")</f>
        <v>13:44:00Z</v>
      </c>
      <c r="G1093" s="11" t="str">
        <f t="shared" si="1"/>
        <v>13:44:00</v>
      </c>
      <c r="H1093" s="10">
        <f>IFERROR(__xludf.DUMMYFUNCTION("SPLIT(D1093,""T"")"),43751.0)</f>
        <v>43751</v>
      </c>
      <c r="I1093" s="4" t="str">
        <f>IFERROR(__xludf.DUMMYFUNCTION("""COMPUTED_VALUE"""),"14:45:37Z")</f>
        <v>14:45:37Z</v>
      </c>
      <c r="J1093" s="4" t="str">
        <f t="shared" si="2"/>
        <v>14:45:37</v>
      </c>
      <c r="K1093" s="4">
        <f t="shared" si="3"/>
        <v>3</v>
      </c>
      <c r="L1093" s="4">
        <f t="shared" si="4"/>
        <v>-0.04278935185</v>
      </c>
      <c r="M1093" s="4">
        <f t="shared" si="5"/>
        <v>2.957210648</v>
      </c>
    </row>
    <row r="1094">
      <c r="A1094" s="4" t="s">
        <v>87</v>
      </c>
      <c r="B1094" s="4" t="s">
        <v>331</v>
      </c>
      <c r="C1094" s="4" t="s">
        <v>151</v>
      </c>
      <c r="D1094" s="4" t="s">
        <v>332</v>
      </c>
      <c r="E1094" s="10">
        <f>IFERROR(__xludf.DUMMYFUNCTION("SPLIT(B1094,""T"")"),41490.0)</f>
        <v>41490</v>
      </c>
      <c r="F1094" s="4" t="str">
        <f>IFERROR(__xludf.DUMMYFUNCTION("""COMPUTED_VALUE"""),"14:45:00Z")</f>
        <v>14:45:00Z</v>
      </c>
      <c r="G1094" s="11" t="str">
        <f t="shared" si="1"/>
        <v>14:45:00</v>
      </c>
      <c r="H1094" s="10">
        <f>IFERROR(__xludf.DUMMYFUNCTION("SPLIT(D1094,""T"")"),41487.0)</f>
        <v>41487</v>
      </c>
      <c r="I1094" s="4" t="str">
        <f>IFERROR(__xludf.DUMMYFUNCTION("""COMPUTED_VALUE"""),"16:01:00Z")</f>
        <v>16:01:00Z</v>
      </c>
      <c r="J1094" s="4" t="str">
        <f t="shared" si="2"/>
        <v>16:01:00</v>
      </c>
      <c r="K1094" s="4">
        <f t="shared" si="3"/>
        <v>3</v>
      </c>
      <c r="L1094" s="4">
        <f t="shared" si="4"/>
        <v>-0.05277777778</v>
      </c>
      <c r="M1094" s="4">
        <f t="shared" si="5"/>
        <v>2.947222222</v>
      </c>
    </row>
    <row r="1095">
      <c r="A1095" s="4" t="s">
        <v>27</v>
      </c>
      <c r="B1095" s="4" t="s">
        <v>3409</v>
      </c>
      <c r="C1095" s="4" t="s">
        <v>3410</v>
      </c>
      <c r="D1095" s="4" t="s">
        <v>3411</v>
      </c>
      <c r="E1095" s="10">
        <f>IFERROR(__xludf.DUMMYFUNCTION("SPLIT(B1095,""T"")"),43640.0)</f>
        <v>43640</v>
      </c>
      <c r="F1095" s="4" t="str">
        <f>IFERROR(__xludf.DUMMYFUNCTION("""COMPUTED_VALUE"""),"11:43:00Z")</f>
        <v>11:43:00Z</v>
      </c>
      <c r="G1095" s="11" t="str">
        <f t="shared" si="1"/>
        <v>11:43:00</v>
      </c>
      <c r="H1095" s="10">
        <f>IFERROR(__xludf.DUMMYFUNCTION("SPLIT(D1095,""T"")"),43637.0)</f>
        <v>43637</v>
      </c>
      <c r="I1095" s="4" t="str">
        <f>IFERROR(__xludf.DUMMYFUNCTION("""COMPUTED_VALUE"""),"13:02:00Z")</f>
        <v>13:02:00Z</v>
      </c>
      <c r="J1095" s="4" t="str">
        <f t="shared" si="2"/>
        <v>13:02:00</v>
      </c>
      <c r="K1095" s="4">
        <f t="shared" si="3"/>
        <v>3</v>
      </c>
      <c r="L1095" s="4">
        <f t="shared" si="4"/>
        <v>-0.05486111111</v>
      </c>
      <c r="M1095" s="4">
        <f t="shared" si="5"/>
        <v>2.945138889</v>
      </c>
    </row>
    <row r="1096">
      <c r="A1096" s="4" t="s">
        <v>62</v>
      </c>
      <c r="B1096" s="4" t="s">
        <v>683</v>
      </c>
      <c r="C1096" s="4" t="s">
        <v>684</v>
      </c>
      <c r="D1096" s="4" t="s">
        <v>685</v>
      </c>
      <c r="E1096" s="10">
        <f>IFERROR(__xludf.DUMMYFUNCTION("SPLIT(B1096,""T"")"),41826.0)</f>
        <v>41826</v>
      </c>
      <c r="F1096" s="4" t="str">
        <f>IFERROR(__xludf.DUMMYFUNCTION("""COMPUTED_VALUE"""),"09:15:00Z")</f>
        <v>09:15:00Z</v>
      </c>
      <c r="G1096" s="11" t="str">
        <f t="shared" si="1"/>
        <v>09:15:00</v>
      </c>
      <c r="H1096" s="10">
        <f>IFERROR(__xludf.DUMMYFUNCTION("SPLIT(D1096,""T"")"),41823.0)</f>
        <v>41823</v>
      </c>
      <c r="I1096" s="4" t="str">
        <f>IFERROR(__xludf.DUMMYFUNCTION("""COMPUTED_VALUE"""),"10:43:00Z")</f>
        <v>10:43:00Z</v>
      </c>
      <c r="J1096" s="4" t="str">
        <f t="shared" si="2"/>
        <v>10:43:00</v>
      </c>
      <c r="K1096" s="4">
        <f t="shared" si="3"/>
        <v>3</v>
      </c>
      <c r="L1096" s="4">
        <f t="shared" si="4"/>
        <v>-0.06111111111</v>
      </c>
      <c r="M1096" s="4">
        <f t="shared" si="5"/>
        <v>2.938888889</v>
      </c>
    </row>
    <row r="1097">
      <c r="A1097" s="4" t="s">
        <v>62</v>
      </c>
      <c r="B1097" s="4" t="s">
        <v>703</v>
      </c>
      <c r="C1097" s="4" t="s">
        <v>704</v>
      </c>
      <c r="D1097" s="4" t="s">
        <v>705</v>
      </c>
      <c r="E1097" s="10">
        <f>IFERROR(__xludf.DUMMYFUNCTION("SPLIT(B1097,""T"")"),41709.0)</f>
        <v>41709</v>
      </c>
      <c r="F1097" s="4" t="str">
        <f>IFERROR(__xludf.DUMMYFUNCTION("""COMPUTED_VALUE"""),"11:00:00Z")</f>
        <v>11:00:00Z</v>
      </c>
      <c r="G1097" s="11" t="str">
        <f t="shared" si="1"/>
        <v>11:00:00</v>
      </c>
      <c r="H1097" s="10">
        <f>IFERROR(__xludf.DUMMYFUNCTION("SPLIT(D1097,""T"")"),41706.0)</f>
        <v>41706</v>
      </c>
      <c r="I1097" s="4" t="str">
        <f>IFERROR(__xludf.DUMMYFUNCTION("""COMPUTED_VALUE"""),"12:30:00Z")</f>
        <v>12:30:00Z</v>
      </c>
      <c r="J1097" s="4" t="str">
        <f t="shared" si="2"/>
        <v>12:30:00</v>
      </c>
      <c r="K1097" s="4">
        <f t="shared" si="3"/>
        <v>3</v>
      </c>
      <c r="L1097" s="4">
        <f t="shared" si="4"/>
        <v>-0.0625</v>
      </c>
      <c r="M1097" s="4">
        <f t="shared" si="5"/>
        <v>2.9375</v>
      </c>
    </row>
    <row r="1098">
      <c r="A1098" s="4" t="s">
        <v>435</v>
      </c>
      <c r="B1098" s="4" t="s">
        <v>436</v>
      </c>
      <c r="C1098" s="4" t="s">
        <v>437</v>
      </c>
      <c r="D1098" s="4" t="s">
        <v>438</v>
      </c>
      <c r="E1098" s="10">
        <f>IFERROR(__xludf.DUMMYFUNCTION("SPLIT(B1098,""T"")"),41556.0)</f>
        <v>41556</v>
      </c>
      <c r="F1098" s="4" t="str">
        <f>IFERROR(__xludf.DUMMYFUNCTION("""COMPUTED_VALUE"""),"08:00:00Z")</f>
        <v>08:00:00Z</v>
      </c>
      <c r="G1098" s="11" t="str">
        <f t="shared" si="1"/>
        <v>08:00:00</v>
      </c>
      <c r="H1098" s="10">
        <f>IFERROR(__xludf.DUMMYFUNCTION("SPLIT(D1098,""T"")"),41553.0)</f>
        <v>41553</v>
      </c>
      <c r="I1098" s="4" t="str">
        <f>IFERROR(__xludf.DUMMYFUNCTION("""COMPUTED_VALUE"""),"10:52:00Z")</f>
        <v>10:52:00Z</v>
      </c>
      <c r="J1098" s="4" t="str">
        <f t="shared" si="2"/>
        <v>10:52:00</v>
      </c>
      <c r="K1098" s="4">
        <f t="shared" si="3"/>
        <v>3</v>
      </c>
      <c r="L1098" s="4">
        <f t="shared" si="4"/>
        <v>-0.1194444444</v>
      </c>
      <c r="M1098" s="4">
        <f t="shared" si="5"/>
        <v>2.880555556</v>
      </c>
    </row>
    <row r="1099">
      <c r="A1099" s="4" t="s">
        <v>205</v>
      </c>
      <c r="B1099" s="4" t="s">
        <v>3732</v>
      </c>
      <c r="C1099" s="4" t="s">
        <v>29</v>
      </c>
      <c r="D1099" s="4" t="s">
        <v>3733</v>
      </c>
      <c r="E1099" s="10">
        <f>IFERROR(__xludf.DUMMYFUNCTION("SPLIT(B1099,""T"")"),43640.0)</f>
        <v>43640</v>
      </c>
      <c r="F1099" s="4" t="str">
        <f>IFERROR(__xludf.DUMMYFUNCTION("""COMPUTED_VALUE"""),"11:06:00Z")</f>
        <v>11:06:00Z</v>
      </c>
      <c r="G1099" s="11" t="str">
        <f t="shared" si="1"/>
        <v>11:06:00</v>
      </c>
      <c r="H1099" s="10">
        <f>IFERROR(__xludf.DUMMYFUNCTION("SPLIT(D1099,""T"")"),43637.0)</f>
        <v>43637</v>
      </c>
      <c r="I1099" s="4" t="str">
        <f>IFERROR(__xludf.DUMMYFUNCTION("""COMPUTED_VALUE"""),"14:42:00Z")</f>
        <v>14:42:00Z</v>
      </c>
      <c r="J1099" s="4" t="str">
        <f t="shared" si="2"/>
        <v>14:42:00</v>
      </c>
      <c r="K1099" s="4">
        <f t="shared" si="3"/>
        <v>3</v>
      </c>
      <c r="L1099" s="4">
        <f t="shared" si="4"/>
        <v>-0.15</v>
      </c>
      <c r="M1099" s="4">
        <f t="shared" si="5"/>
        <v>2.85</v>
      </c>
    </row>
    <row r="1100">
      <c r="A1100" s="4" t="s">
        <v>50</v>
      </c>
      <c r="B1100" s="4" t="s">
        <v>686</v>
      </c>
      <c r="C1100" s="4" t="s">
        <v>687</v>
      </c>
      <c r="D1100" s="4" t="s">
        <v>688</v>
      </c>
      <c r="E1100" s="10">
        <f>IFERROR(__xludf.DUMMYFUNCTION("SPLIT(B1100,""T"")"),41897.0)</f>
        <v>41897</v>
      </c>
      <c r="F1100" s="4" t="str">
        <f>IFERROR(__xludf.DUMMYFUNCTION("""COMPUTED_VALUE"""),"11:00:00Z")</f>
        <v>11:00:00Z</v>
      </c>
      <c r="G1100" s="11" t="str">
        <f t="shared" si="1"/>
        <v>11:00:00</v>
      </c>
      <c r="H1100" s="10">
        <f>IFERROR(__xludf.DUMMYFUNCTION("SPLIT(D1100,""T"")"),41894.0)</f>
        <v>41894</v>
      </c>
      <c r="I1100" s="4" t="str">
        <f>IFERROR(__xludf.DUMMYFUNCTION("""COMPUTED_VALUE"""),"15:00:00Z")</f>
        <v>15:00:00Z</v>
      </c>
      <c r="J1100" s="4" t="str">
        <f t="shared" si="2"/>
        <v>15:00:00</v>
      </c>
      <c r="K1100" s="4">
        <f t="shared" si="3"/>
        <v>3</v>
      </c>
      <c r="L1100" s="4">
        <f t="shared" si="4"/>
        <v>-0.1666666667</v>
      </c>
      <c r="M1100" s="4">
        <f t="shared" si="5"/>
        <v>2.833333333</v>
      </c>
    </row>
    <row r="1101">
      <c r="A1101" s="4" t="s">
        <v>186</v>
      </c>
      <c r="B1101" s="4" t="s">
        <v>3777</v>
      </c>
      <c r="C1101" s="4" t="s">
        <v>3778</v>
      </c>
      <c r="D1101" s="4" t="s">
        <v>3779</v>
      </c>
      <c r="E1101" s="10">
        <f>IFERROR(__xludf.DUMMYFUNCTION("SPLIT(B1101,""T"")"),43688.0)</f>
        <v>43688</v>
      </c>
      <c r="F1101" s="4" t="str">
        <f>IFERROR(__xludf.DUMMYFUNCTION("""COMPUTED_VALUE"""),"10:28:00Z")</f>
        <v>10:28:00Z</v>
      </c>
      <c r="G1101" s="11" t="str">
        <f t="shared" si="1"/>
        <v>10:28:00</v>
      </c>
      <c r="H1101" s="10">
        <f>IFERROR(__xludf.DUMMYFUNCTION("SPLIT(D1101,""T"")"),43685.0)</f>
        <v>43685</v>
      </c>
      <c r="I1101" s="4" t="str">
        <f>IFERROR(__xludf.DUMMYFUNCTION("""COMPUTED_VALUE"""),"14:55:59Z")</f>
        <v>14:55:59Z</v>
      </c>
      <c r="J1101" s="4" t="str">
        <f t="shared" si="2"/>
        <v>14:55:59</v>
      </c>
      <c r="K1101" s="4">
        <f t="shared" si="3"/>
        <v>3</v>
      </c>
      <c r="L1101" s="4">
        <f t="shared" si="4"/>
        <v>-0.186099537</v>
      </c>
      <c r="M1101" s="4">
        <f t="shared" si="5"/>
        <v>2.813900463</v>
      </c>
    </row>
    <row r="1102">
      <c r="A1102" s="4" t="s">
        <v>87</v>
      </c>
      <c r="B1102" s="4" t="s">
        <v>1667</v>
      </c>
      <c r="C1102" s="4" t="s">
        <v>1459</v>
      </c>
      <c r="D1102" s="4" t="s">
        <v>1668</v>
      </c>
      <c r="E1102" s="10">
        <f>IFERROR(__xludf.DUMMYFUNCTION("SPLIT(B1102,""T"")"),42632.0)</f>
        <v>42632</v>
      </c>
      <c r="F1102" s="4" t="str">
        <f>IFERROR(__xludf.DUMMYFUNCTION("""COMPUTED_VALUE"""),"18:30:00Z")</f>
        <v>18:30:00Z</v>
      </c>
      <c r="G1102" s="11" t="str">
        <f t="shared" si="1"/>
        <v>18:30:00</v>
      </c>
      <c r="H1102" s="10">
        <f>IFERROR(__xludf.DUMMYFUNCTION("SPLIT(D1102,""T"")"),42629.0)</f>
        <v>42629</v>
      </c>
      <c r="I1102" s="4" t="str">
        <f>IFERROR(__xludf.DUMMYFUNCTION("""COMPUTED_VALUE"""),"23:28:00Z")</f>
        <v>23:28:00Z</v>
      </c>
      <c r="J1102" s="4" t="str">
        <f t="shared" si="2"/>
        <v>23:28:00</v>
      </c>
      <c r="K1102" s="4">
        <f t="shared" si="3"/>
        <v>3</v>
      </c>
      <c r="L1102" s="4">
        <f t="shared" si="4"/>
        <v>-0.2069444444</v>
      </c>
      <c r="M1102" s="4">
        <f t="shared" si="5"/>
        <v>2.793055556</v>
      </c>
    </row>
    <row r="1103">
      <c r="A1103" s="4" t="s">
        <v>46</v>
      </c>
      <c r="B1103" s="4" t="s">
        <v>3802</v>
      </c>
      <c r="C1103" s="4" t="s">
        <v>849</v>
      </c>
      <c r="D1103" s="4" t="s">
        <v>3803</v>
      </c>
      <c r="E1103" s="10">
        <f>IFERROR(__xludf.DUMMYFUNCTION("SPLIT(B1103,""T"")"),43633.0)</f>
        <v>43633</v>
      </c>
      <c r="F1103" s="4" t="str">
        <f>IFERROR(__xludf.DUMMYFUNCTION("""COMPUTED_VALUE"""),"10:39:00Z")</f>
        <v>10:39:00Z</v>
      </c>
      <c r="G1103" s="11" t="str">
        <f t="shared" si="1"/>
        <v>10:39:00</v>
      </c>
      <c r="H1103" s="10">
        <f>IFERROR(__xludf.DUMMYFUNCTION("SPLIT(D1103,""T"")"),43630.0)</f>
        <v>43630</v>
      </c>
      <c r="I1103" s="4" t="str">
        <f>IFERROR(__xludf.DUMMYFUNCTION("""COMPUTED_VALUE"""),"16:14:00Z")</f>
        <v>16:14:00Z</v>
      </c>
      <c r="J1103" s="4" t="str">
        <f t="shared" si="2"/>
        <v>16:14:00</v>
      </c>
      <c r="K1103" s="4">
        <f t="shared" si="3"/>
        <v>3</v>
      </c>
      <c r="L1103" s="4">
        <f t="shared" si="4"/>
        <v>-0.2326388889</v>
      </c>
      <c r="M1103" s="4">
        <f t="shared" si="5"/>
        <v>2.767361111</v>
      </c>
    </row>
    <row r="1104">
      <c r="A1104" s="4" t="s">
        <v>130</v>
      </c>
      <c r="B1104" s="4" t="s">
        <v>1188</v>
      </c>
      <c r="C1104" s="4" t="s">
        <v>1216</v>
      </c>
      <c r="D1104" s="4" t="s">
        <v>1217</v>
      </c>
      <c r="E1104" s="10">
        <f>IFERROR(__xludf.DUMMYFUNCTION("SPLIT(B1104,""T"")"),42190.0)</f>
        <v>42190</v>
      </c>
      <c r="F1104" s="4" t="str">
        <f>IFERROR(__xludf.DUMMYFUNCTION("""COMPUTED_VALUE"""),"11:30:00Z")</f>
        <v>11:30:00Z</v>
      </c>
      <c r="G1104" s="11" t="str">
        <f t="shared" si="1"/>
        <v>11:30:00</v>
      </c>
      <c r="H1104" s="10">
        <f>IFERROR(__xludf.DUMMYFUNCTION("SPLIT(D1104,""T"")"),42187.0)</f>
        <v>42187</v>
      </c>
      <c r="I1104" s="4" t="str">
        <f>IFERROR(__xludf.DUMMYFUNCTION("""COMPUTED_VALUE"""),"17:10:00Z")</f>
        <v>17:10:00Z</v>
      </c>
      <c r="J1104" s="4" t="str">
        <f t="shared" si="2"/>
        <v>17:10:00</v>
      </c>
      <c r="K1104" s="4">
        <f t="shared" si="3"/>
        <v>3</v>
      </c>
      <c r="L1104" s="4">
        <f t="shared" si="4"/>
        <v>-0.2361111111</v>
      </c>
      <c r="M1104" s="4">
        <f t="shared" si="5"/>
        <v>2.763888889</v>
      </c>
    </row>
    <row r="1105">
      <c r="A1105" s="4" t="s">
        <v>320</v>
      </c>
      <c r="B1105" s="4" t="s">
        <v>3548</v>
      </c>
      <c r="C1105" s="4" t="s">
        <v>1034</v>
      </c>
      <c r="D1105" s="4" t="s">
        <v>3549</v>
      </c>
      <c r="E1105" s="10">
        <f>IFERROR(__xludf.DUMMYFUNCTION("SPLIT(B1105,""T"")"),43704.0)</f>
        <v>43704</v>
      </c>
      <c r="F1105" s="4" t="str">
        <f>IFERROR(__xludf.DUMMYFUNCTION("""COMPUTED_VALUE"""),"10:44:00Z")</f>
        <v>10:44:00Z</v>
      </c>
      <c r="G1105" s="11" t="str">
        <f t="shared" si="1"/>
        <v>10:44:00</v>
      </c>
      <c r="H1105" s="10">
        <f>IFERROR(__xludf.DUMMYFUNCTION("SPLIT(D1105,""T"")"),43701.0)</f>
        <v>43701</v>
      </c>
      <c r="I1105" s="4" t="str">
        <f>IFERROR(__xludf.DUMMYFUNCTION("""COMPUTED_VALUE"""),"16:33:58Z")</f>
        <v>16:33:58Z</v>
      </c>
      <c r="J1105" s="4" t="str">
        <f t="shared" si="2"/>
        <v>16:33:58</v>
      </c>
      <c r="K1105" s="4">
        <f t="shared" si="3"/>
        <v>3</v>
      </c>
      <c r="L1105" s="4">
        <f t="shared" si="4"/>
        <v>-0.2430324074</v>
      </c>
      <c r="M1105" s="4">
        <f t="shared" si="5"/>
        <v>2.756967593</v>
      </c>
    </row>
    <row r="1106">
      <c r="A1106" s="4" t="s">
        <v>320</v>
      </c>
      <c r="B1106" s="4" t="s">
        <v>321</v>
      </c>
      <c r="C1106" s="4" t="s">
        <v>322</v>
      </c>
      <c r="D1106" s="4" t="s">
        <v>323</v>
      </c>
      <c r="E1106" s="10">
        <f>IFERROR(__xludf.DUMMYFUNCTION("SPLIT(B1106,""T"")"),41498.0)</f>
        <v>41498</v>
      </c>
      <c r="F1106" s="4" t="str">
        <f>IFERROR(__xludf.DUMMYFUNCTION("""COMPUTED_VALUE"""),"09:30:00Z")</f>
        <v>09:30:00Z</v>
      </c>
      <c r="G1106" s="11" t="str">
        <f t="shared" si="1"/>
        <v>09:30:00</v>
      </c>
      <c r="H1106" s="10">
        <f>IFERROR(__xludf.DUMMYFUNCTION("SPLIT(D1106,""T"")"),41495.0)</f>
        <v>41495</v>
      </c>
      <c r="I1106" s="4" t="str">
        <f>IFERROR(__xludf.DUMMYFUNCTION("""COMPUTED_VALUE"""),"15:51:00Z")</f>
        <v>15:51:00Z</v>
      </c>
      <c r="J1106" s="4" t="str">
        <f t="shared" si="2"/>
        <v>15:51:00</v>
      </c>
      <c r="K1106" s="4">
        <f t="shared" si="3"/>
        <v>3</v>
      </c>
      <c r="L1106" s="4">
        <f t="shared" si="4"/>
        <v>-0.2645833333</v>
      </c>
      <c r="M1106" s="4">
        <f t="shared" si="5"/>
        <v>2.735416667</v>
      </c>
    </row>
    <row r="1107">
      <c r="A1107" s="4" t="s">
        <v>145</v>
      </c>
      <c r="B1107" s="4" t="s">
        <v>1047</v>
      </c>
      <c r="C1107" s="4" t="s">
        <v>1048</v>
      </c>
      <c r="D1107" s="4" t="s">
        <v>1049</v>
      </c>
      <c r="E1107" s="10">
        <f>IFERROR(__xludf.DUMMYFUNCTION("SPLIT(B1107,""T"")"),42211.0)</f>
        <v>42211</v>
      </c>
      <c r="F1107" s="4" t="str">
        <f>IFERROR(__xludf.DUMMYFUNCTION("""COMPUTED_VALUE"""),"10:10:00Z")</f>
        <v>10:10:00Z</v>
      </c>
      <c r="G1107" s="11" t="str">
        <f t="shared" si="1"/>
        <v>10:10:00</v>
      </c>
      <c r="H1107" s="10">
        <f>IFERROR(__xludf.DUMMYFUNCTION("SPLIT(D1107,""T"")"),42208.0)</f>
        <v>42208</v>
      </c>
      <c r="I1107" s="4" t="str">
        <f>IFERROR(__xludf.DUMMYFUNCTION("""COMPUTED_VALUE"""),"16:40:00Z")</f>
        <v>16:40:00Z</v>
      </c>
      <c r="J1107" s="4" t="str">
        <f t="shared" si="2"/>
        <v>16:40:00</v>
      </c>
      <c r="K1107" s="4">
        <f t="shared" si="3"/>
        <v>3</v>
      </c>
      <c r="L1107" s="4">
        <f t="shared" si="4"/>
        <v>-0.2708333333</v>
      </c>
      <c r="M1107" s="4">
        <f t="shared" si="5"/>
        <v>2.729166667</v>
      </c>
    </row>
    <row r="1108">
      <c r="A1108" s="4" t="s">
        <v>27</v>
      </c>
      <c r="B1108" s="4" t="s">
        <v>3426</v>
      </c>
      <c r="C1108" s="4" t="s">
        <v>3427</v>
      </c>
      <c r="D1108" s="4" t="s">
        <v>3428</v>
      </c>
      <c r="E1108" s="10">
        <f>IFERROR(__xludf.DUMMYFUNCTION("SPLIT(B1108,""T"")"),43751.0)</f>
        <v>43751</v>
      </c>
      <c r="F1108" s="4" t="str">
        <f>IFERROR(__xludf.DUMMYFUNCTION("""COMPUTED_VALUE"""),"07:30:00Z")</f>
        <v>07:30:00Z</v>
      </c>
      <c r="G1108" s="11" t="str">
        <f t="shared" si="1"/>
        <v>07:30:00</v>
      </c>
      <c r="H1108" s="10">
        <f>IFERROR(__xludf.DUMMYFUNCTION("SPLIT(D1108,""T"")"),43748.0)</f>
        <v>43748</v>
      </c>
      <c r="I1108" s="4" t="str">
        <f>IFERROR(__xludf.DUMMYFUNCTION("""COMPUTED_VALUE"""),"14:18:17Z")</f>
        <v>14:18:17Z</v>
      </c>
      <c r="J1108" s="4" t="str">
        <f t="shared" si="2"/>
        <v>14:18:17</v>
      </c>
      <c r="K1108" s="4">
        <f t="shared" si="3"/>
        <v>3</v>
      </c>
      <c r="L1108" s="4">
        <f t="shared" si="4"/>
        <v>-0.2835300926</v>
      </c>
      <c r="M1108" s="4">
        <f t="shared" si="5"/>
        <v>2.716469907</v>
      </c>
    </row>
    <row r="1109">
      <c r="A1109" s="4" t="s">
        <v>27</v>
      </c>
      <c r="B1109" s="4" t="s">
        <v>1123</v>
      </c>
      <c r="C1109" s="4" t="s">
        <v>1124</v>
      </c>
      <c r="D1109" s="4" t="s">
        <v>1125</v>
      </c>
      <c r="E1109" s="10">
        <f>IFERROR(__xludf.DUMMYFUNCTION("SPLIT(B1109,""T"")"),42176.0)</f>
        <v>42176</v>
      </c>
      <c r="F1109" s="4" t="str">
        <f>IFERROR(__xludf.DUMMYFUNCTION("""COMPUTED_VALUE"""),"07:25:00Z")</f>
        <v>07:25:00Z</v>
      </c>
      <c r="G1109" s="11" t="str">
        <f t="shared" si="1"/>
        <v>07:25:00</v>
      </c>
      <c r="H1109" s="10">
        <f>IFERROR(__xludf.DUMMYFUNCTION("SPLIT(D1109,""T"")"),42173.0)</f>
        <v>42173</v>
      </c>
      <c r="I1109" s="4" t="str">
        <f>IFERROR(__xludf.DUMMYFUNCTION("""COMPUTED_VALUE"""),"14:16:00Z")</f>
        <v>14:16:00Z</v>
      </c>
      <c r="J1109" s="4" t="str">
        <f t="shared" si="2"/>
        <v>14:16:00</v>
      </c>
      <c r="K1109" s="4">
        <f t="shared" si="3"/>
        <v>3</v>
      </c>
      <c r="L1109" s="4">
        <f t="shared" si="4"/>
        <v>-0.2854166667</v>
      </c>
      <c r="M1109" s="4">
        <f t="shared" si="5"/>
        <v>2.714583333</v>
      </c>
    </row>
    <row r="1110">
      <c r="A1110" s="4" t="s">
        <v>401</v>
      </c>
      <c r="B1110" s="4" t="s">
        <v>734</v>
      </c>
      <c r="C1110" s="4" t="s">
        <v>735</v>
      </c>
      <c r="D1110" s="4" t="s">
        <v>736</v>
      </c>
      <c r="E1110" s="10">
        <f>IFERROR(__xludf.DUMMYFUNCTION("SPLIT(B1110,""T"")"),41882.0)</f>
        <v>41882</v>
      </c>
      <c r="F1110" s="4" t="str">
        <f>IFERROR(__xludf.DUMMYFUNCTION("""COMPUTED_VALUE"""),"08:15:00Z")</f>
        <v>08:15:00Z</v>
      </c>
      <c r="G1110" s="11" t="str">
        <f t="shared" si="1"/>
        <v>08:15:00</v>
      </c>
      <c r="H1110" s="10">
        <f>IFERROR(__xludf.DUMMYFUNCTION("SPLIT(D1110,""T"")"),41879.0)</f>
        <v>41879</v>
      </c>
      <c r="I1110" s="4" t="str">
        <f>IFERROR(__xludf.DUMMYFUNCTION("""COMPUTED_VALUE"""),"15:10:00Z")</f>
        <v>15:10:00Z</v>
      </c>
      <c r="J1110" s="4" t="str">
        <f t="shared" si="2"/>
        <v>15:10:00</v>
      </c>
      <c r="K1110" s="4">
        <f t="shared" si="3"/>
        <v>3</v>
      </c>
      <c r="L1110" s="4">
        <f t="shared" si="4"/>
        <v>-0.2881944444</v>
      </c>
      <c r="M1110" s="4">
        <f t="shared" si="5"/>
        <v>2.711805556</v>
      </c>
    </row>
    <row r="1111">
      <c r="A1111" s="4" t="s">
        <v>1253</v>
      </c>
      <c r="B1111" s="4" t="s">
        <v>1254</v>
      </c>
      <c r="C1111" s="4" t="s">
        <v>1255</v>
      </c>
      <c r="D1111" s="4" t="s">
        <v>1256</v>
      </c>
      <c r="E1111" s="10">
        <f>IFERROR(__xludf.DUMMYFUNCTION("SPLIT(B1111,""T"")"),42177.0)</f>
        <v>42177</v>
      </c>
      <c r="F1111" s="4" t="str">
        <f>IFERROR(__xludf.DUMMYFUNCTION("""COMPUTED_VALUE"""),"12:05:00Z")</f>
        <v>12:05:00Z</v>
      </c>
      <c r="G1111" s="11" t="str">
        <f t="shared" si="1"/>
        <v>12:05:00</v>
      </c>
      <c r="H1111" s="10">
        <f>IFERROR(__xludf.DUMMYFUNCTION("SPLIT(D1111,""T"")"),42174.0)</f>
        <v>42174</v>
      </c>
      <c r="I1111" s="4" t="str">
        <f>IFERROR(__xludf.DUMMYFUNCTION("""COMPUTED_VALUE"""),"19:00:00Z")</f>
        <v>19:00:00Z</v>
      </c>
      <c r="J1111" s="4" t="str">
        <f t="shared" si="2"/>
        <v>19:00:00</v>
      </c>
      <c r="K1111" s="4">
        <f t="shared" si="3"/>
        <v>3</v>
      </c>
      <c r="L1111" s="4">
        <f t="shared" si="4"/>
        <v>-0.2881944444</v>
      </c>
      <c r="M1111" s="4">
        <f t="shared" si="5"/>
        <v>2.711805556</v>
      </c>
    </row>
    <row r="1112">
      <c r="A1112" s="4" t="s">
        <v>320</v>
      </c>
      <c r="B1112" s="4" t="s">
        <v>3382</v>
      </c>
      <c r="C1112" s="4" t="s">
        <v>3383</v>
      </c>
      <c r="D1112" s="4" t="s">
        <v>3384</v>
      </c>
      <c r="E1112" s="10">
        <f>IFERROR(__xludf.DUMMYFUNCTION("SPLIT(B1112,""T"")"),43688.0)</f>
        <v>43688</v>
      </c>
      <c r="F1112" s="4" t="str">
        <f>IFERROR(__xludf.DUMMYFUNCTION("""COMPUTED_VALUE"""),"11:35:00Z")</f>
        <v>11:35:00Z</v>
      </c>
      <c r="G1112" s="11" t="str">
        <f t="shared" si="1"/>
        <v>11:35:00</v>
      </c>
      <c r="H1112" s="10">
        <f>IFERROR(__xludf.DUMMYFUNCTION("SPLIT(D1112,""T"")"),43685.0)</f>
        <v>43685</v>
      </c>
      <c r="I1112" s="4" t="str">
        <f>IFERROR(__xludf.DUMMYFUNCTION("""COMPUTED_VALUE"""),"18:42:41Z")</f>
        <v>18:42:41Z</v>
      </c>
      <c r="J1112" s="4" t="str">
        <f t="shared" si="2"/>
        <v>18:42:41</v>
      </c>
      <c r="K1112" s="4">
        <f t="shared" si="3"/>
        <v>3</v>
      </c>
      <c r="L1112" s="4">
        <f t="shared" si="4"/>
        <v>-0.2970023148</v>
      </c>
      <c r="M1112" s="4">
        <f t="shared" si="5"/>
        <v>2.702997685</v>
      </c>
    </row>
    <row r="1113">
      <c r="A1113" s="4" t="s">
        <v>145</v>
      </c>
      <c r="B1113" s="4" t="s">
        <v>3560</v>
      </c>
      <c r="C1113" s="4" t="s">
        <v>3561</v>
      </c>
      <c r="D1113" s="4" t="s">
        <v>3562</v>
      </c>
      <c r="E1113" s="10">
        <f>IFERROR(__xludf.DUMMYFUNCTION("SPLIT(B1113,""T"")"),43666.0)</f>
        <v>43666</v>
      </c>
      <c r="F1113" s="4" t="str">
        <f>IFERROR(__xludf.DUMMYFUNCTION("""COMPUTED_VALUE"""),"09:05:00Z")</f>
        <v>09:05:00Z</v>
      </c>
      <c r="G1113" s="11" t="str">
        <f t="shared" si="1"/>
        <v>09:05:00</v>
      </c>
      <c r="H1113" s="10">
        <f>IFERROR(__xludf.DUMMYFUNCTION("SPLIT(D1113,""T"")"),43663.0)</f>
        <v>43663</v>
      </c>
      <c r="I1113" s="4" t="str">
        <f>IFERROR(__xludf.DUMMYFUNCTION("""COMPUTED_VALUE"""),"16:13:41Z")</f>
        <v>16:13:41Z</v>
      </c>
      <c r="J1113" s="4" t="str">
        <f t="shared" si="2"/>
        <v>16:13:41</v>
      </c>
      <c r="K1113" s="4">
        <f t="shared" si="3"/>
        <v>3</v>
      </c>
      <c r="L1113" s="4">
        <f t="shared" si="4"/>
        <v>-0.2976967593</v>
      </c>
      <c r="M1113" s="4">
        <f t="shared" si="5"/>
        <v>2.702303241</v>
      </c>
    </row>
    <row r="1114">
      <c r="A1114" s="4" t="s">
        <v>27</v>
      </c>
      <c r="B1114" s="4" t="s">
        <v>1443</v>
      </c>
      <c r="C1114" s="4" t="s">
        <v>1444</v>
      </c>
      <c r="D1114" s="4" t="s">
        <v>1445</v>
      </c>
      <c r="E1114" s="10">
        <f>IFERROR(__xludf.DUMMYFUNCTION("SPLIT(B1114,""T"")"),42566.0)</f>
        <v>42566</v>
      </c>
      <c r="F1114" s="4" t="str">
        <f>IFERROR(__xludf.DUMMYFUNCTION("""COMPUTED_VALUE"""),"08:00:00Z")</f>
        <v>08:00:00Z</v>
      </c>
      <c r="G1114" s="11" t="str">
        <f t="shared" si="1"/>
        <v>08:00:00</v>
      </c>
      <c r="H1114" s="10">
        <f>IFERROR(__xludf.DUMMYFUNCTION("SPLIT(D1114,""T"")"),42563.0)</f>
        <v>42563</v>
      </c>
      <c r="I1114" s="4" t="str">
        <f>IFERROR(__xludf.DUMMYFUNCTION("""COMPUTED_VALUE"""),"15:20:00Z")</f>
        <v>15:20:00Z</v>
      </c>
      <c r="J1114" s="4" t="str">
        <f t="shared" si="2"/>
        <v>15:20:00</v>
      </c>
      <c r="K1114" s="4">
        <f t="shared" si="3"/>
        <v>3</v>
      </c>
      <c r="L1114" s="4">
        <f t="shared" si="4"/>
        <v>-0.3055555556</v>
      </c>
      <c r="M1114" s="4">
        <f t="shared" si="5"/>
        <v>2.694444444</v>
      </c>
    </row>
    <row r="1115">
      <c r="A1115" s="4" t="s">
        <v>3366</v>
      </c>
      <c r="B1115" s="4" t="s">
        <v>3755</v>
      </c>
      <c r="C1115" s="4" t="s">
        <v>3756</v>
      </c>
      <c r="D1115" s="4" t="s">
        <v>3757</v>
      </c>
      <c r="E1115" s="10">
        <f>IFERROR(__xludf.DUMMYFUNCTION("SPLIT(B1115,""T"")"),43705.0)</f>
        <v>43705</v>
      </c>
      <c r="F1115" s="4" t="str">
        <f>IFERROR(__xludf.DUMMYFUNCTION("""COMPUTED_VALUE"""),"08:54:00Z")</f>
        <v>08:54:00Z</v>
      </c>
      <c r="G1115" s="11" t="str">
        <f t="shared" si="1"/>
        <v>08:54:00</v>
      </c>
      <c r="H1115" s="10">
        <f>IFERROR(__xludf.DUMMYFUNCTION("SPLIT(D1115,""T"")"),43702.0)</f>
        <v>43702</v>
      </c>
      <c r="I1115" s="4" t="str">
        <f>IFERROR(__xludf.DUMMYFUNCTION("""COMPUTED_VALUE"""),"16:15:15Z")</f>
        <v>16:15:15Z</v>
      </c>
      <c r="J1115" s="4" t="str">
        <f t="shared" si="2"/>
        <v>16:15:15</v>
      </c>
      <c r="K1115" s="4">
        <f t="shared" si="3"/>
        <v>3</v>
      </c>
      <c r="L1115" s="4">
        <f t="shared" si="4"/>
        <v>-0.3064236111</v>
      </c>
      <c r="M1115" s="4">
        <f t="shared" si="5"/>
        <v>2.693576389</v>
      </c>
    </row>
    <row r="1116">
      <c r="A1116" s="4" t="s">
        <v>62</v>
      </c>
      <c r="B1116" s="4" t="s">
        <v>3755</v>
      </c>
      <c r="C1116" s="4" t="s">
        <v>3756</v>
      </c>
      <c r="D1116" s="4" t="s">
        <v>3757</v>
      </c>
      <c r="E1116" s="10">
        <f>IFERROR(__xludf.DUMMYFUNCTION("SPLIT(B1116,""T"")"),43705.0)</f>
        <v>43705</v>
      </c>
      <c r="F1116" s="4" t="str">
        <f>IFERROR(__xludf.DUMMYFUNCTION("""COMPUTED_VALUE"""),"08:54:00Z")</f>
        <v>08:54:00Z</v>
      </c>
      <c r="G1116" s="11" t="str">
        <f t="shared" si="1"/>
        <v>08:54:00</v>
      </c>
      <c r="H1116" s="10">
        <f>IFERROR(__xludf.DUMMYFUNCTION("SPLIT(D1116,""T"")"),43702.0)</f>
        <v>43702</v>
      </c>
      <c r="I1116" s="4" t="str">
        <f>IFERROR(__xludf.DUMMYFUNCTION("""COMPUTED_VALUE"""),"16:15:15Z")</f>
        <v>16:15:15Z</v>
      </c>
      <c r="J1116" s="4" t="str">
        <f t="shared" si="2"/>
        <v>16:15:15</v>
      </c>
      <c r="K1116" s="4">
        <f t="shared" si="3"/>
        <v>3</v>
      </c>
      <c r="L1116" s="4">
        <f t="shared" si="4"/>
        <v>-0.3064236111</v>
      </c>
      <c r="M1116" s="4">
        <f t="shared" si="5"/>
        <v>2.693576389</v>
      </c>
    </row>
    <row r="1117">
      <c r="A1117" s="4" t="s">
        <v>130</v>
      </c>
      <c r="B1117" s="4" t="s">
        <v>3602</v>
      </c>
      <c r="C1117" s="4" t="s">
        <v>2232</v>
      </c>
      <c r="D1117" s="4" t="s">
        <v>3603</v>
      </c>
      <c r="E1117" s="10">
        <f>IFERROR(__xludf.DUMMYFUNCTION("SPLIT(B1117,""T"")"),43714.0)</f>
        <v>43714</v>
      </c>
      <c r="F1117" s="4" t="str">
        <f>IFERROR(__xludf.DUMMYFUNCTION("""COMPUTED_VALUE"""),"07:24:00Z")</f>
        <v>07:24:00Z</v>
      </c>
      <c r="G1117" s="11" t="str">
        <f t="shared" si="1"/>
        <v>07:24:00</v>
      </c>
      <c r="H1117" s="10">
        <f>IFERROR(__xludf.DUMMYFUNCTION("SPLIT(D1117,""T"")"),43711.0)</f>
        <v>43711</v>
      </c>
      <c r="I1117" s="4" t="str">
        <f>IFERROR(__xludf.DUMMYFUNCTION("""COMPUTED_VALUE"""),"14:57:31Z")</f>
        <v>14:57:31Z</v>
      </c>
      <c r="J1117" s="4" t="str">
        <f t="shared" si="2"/>
        <v>14:57:31</v>
      </c>
      <c r="K1117" s="4">
        <f t="shared" si="3"/>
        <v>3</v>
      </c>
      <c r="L1117" s="4">
        <f t="shared" si="4"/>
        <v>-0.3149421296</v>
      </c>
      <c r="M1117" s="4">
        <f t="shared" si="5"/>
        <v>2.68505787</v>
      </c>
    </row>
    <row r="1118">
      <c r="A1118" s="4" t="s">
        <v>27</v>
      </c>
      <c r="B1118" s="4" t="s">
        <v>1030</v>
      </c>
      <c r="C1118" s="4" t="s">
        <v>1031</v>
      </c>
      <c r="D1118" s="4" t="s">
        <v>1032</v>
      </c>
      <c r="E1118" s="10">
        <f>IFERROR(__xludf.DUMMYFUNCTION("SPLIT(B1118,""T"")"),42189.0)</f>
        <v>42189</v>
      </c>
      <c r="F1118" s="4" t="str">
        <f>IFERROR(__xludf.DUMMYFUNCTION("""COMPUTED_VALUE"""),"13:00:00Z")</f>
        <v>13:00:00Z</v>
      </c>
      <c r="G1118" s="11" t="str">
        <f t="shared" si="1"/>
        <v>13:00:00</v>
      </c>
      <c r="H1118" s="10">
        <f>IFERROR(__xludf.DUMMYFUNCTION("SPLIT(D1118,""T"")"),42186.0)</f>
        <v>42186</v>
      </c>
      <c r="I1118" s="4" t="str">
        <f>IFERROR(__xludf.DUMMYFUNCTION("""COMPUTED_VALUE"""),"20:38:00Z")</f>
        <v>20:38:00Z</v>
      </c>
      <c r="J1118" s="4" t="str">
        <f t="shared" si="2"/>
        <v>20:38:00</v>
      </c>
      <c r="K1118" s="4">
        <f t="shared" si="3"/>
        <v>3</v>
      </c>
      <c r="L1118" s="4">
        <f t="shared" si="4"/>
        <v>-0.3180555556</v>
      </c>
      <c r="M1118" s="4">
        <f t="shared" si="5"/>
        <v>2.681944444</v>
      </c>
    </row>
    <row r="1119">
      <c r="A1119" s="4" t="s">
        <v>429</v>
      </c>
      <c r="B1119" s="4" t="s">
        <v>3655</v>
      </c>
      <c r="C1119" s="4" t="s">
        <v>3656</v>
      </c>
      <c r="D1119" s="4" t="s">
        <v>3657</v>
      </c>
      <c r="E1119" s="10">
        <f>IFERROR(__xludf.DUMMYFUNCTION("SPLIT(B1119,""T"")"),43765.0)</f>
        <v>43765</v>
      </c>
      <c r="F1119" s="4" t="str">
        <f>IFERROR(__xludf.DUMMYFUNCTION("""COMPUTED_VALUE"""),"12:11:00Z")</f>
        <v>12:11:00Z</v>
      </c>
      <c r="G1119" s="11" t="str">
        <f t="shared" si="1"/>
        <v>12:11:00</v>
      </c>
      <c r="H1119" s="10">
        <f>IFERROR(__xludf.DUMMYFUNCTION("SPLIT(D1119,""T"")"),43762.0)</f>
        <v>43762</v>
      </c>
      <c r="I1119" s="4" t="str">
        <f>IFERROR(__xludf.DUMMYFUNCTION("""COMPUTED_VALUE"""),"20:15:36Z")</f>
        <v>20:15:36Z</v>
      </c>
      <c r="J1119" s="4" t="str">
        <f t="shared" si="2"/>
        <v>20:15:36</v>
      </c>
      <c r="K1119" s="4">
        <f t="shared" si="3"/>
        <v>3</v>
      </c>
      <c r="L1119" s="4">
        <f t="shared" si="4"/>
        <v>-0.3365277778</v>
      </c>
      <c r="M1119" s="4">
        <f t="shared" si="5"/>
        <v>2.663472222</v>
      </c>
    </row>
    <row r="1120">
      <c r="A1120" s="4" t="s">
        <v>320</v>
      </c>
      <c r="B1120" s="4" t="s">
        <v>3352</v>
      </c>
      <c r="C1120" s="4" t="s">
        <v>1751</v>
      </c>
      <c r="D1120" s="4" t="s">
        <v>3353</v>
      </c>
      <c r="E1120" s="10">
        <f>IFERROR(__xludf.DUMMYFUNCTION("SPLIT(B1120,""T"")"),43704.0)</f>
        <v>43704</v>
      </c>
      <c r="F1120" s="4" t="str">
        <f>IFERROR(__xludf.DUMMYFUNCTION("""COMPUTED_VALUE"""),"09:01:00Z")</f>
        <v>09:01:00Z</v>
      </c>
      <c r="G1120" s="11" t="str">
        <f t="shared" si="1"/>
        <v>09:01:00</v>
      </c>
      <c r="H1120" s="10">
        <f>IFERROR(__xludf.DUMMYFUNCTION("SPLIT(D1120,""T"")"),43701.0)</f>
        <v>43701</v>
      </c>
      <c r="I1120" s="4" t="str">
        <f>IFERROR(__xludf.DUMMYFUNCTION("""COMPUTED_VALUE"""),"17:25:04Z")</f>
        <v>17:25:04Z</v>
      </c>
      <c r="J1120" s="4" t="str">
        <f t="shared" si="2"/>
        <v>17:25:04</v>
      </c>
      <c r="K1120" s="4">
        <f t="shared" si="3"/>
        <v>3</v>
      </c>
      <c r="L1120" s="4">
        <f t="shared" si="4"/>
        <v>-0.3500462963</v>
      </c>
      <c r="M1120" s="4">
        <f t="shared" si="5"/>
        <v>2.649953704</v>
      </c>
    </row>
    <row r="1121">
      <c r="A1121" s="4" t="s">
        <v>134</v>
      </c>
      <c r="B1121" s="4" t="s">
        <v>135</v>
      </c>
      <c r="C1121" s="4" t="s">
        <v>136</v>
      </c>
      <c r="D1121" s="4" t="s">
        <v>137</v>
      </c>
      <c r="E1121" s="10">
        <f>IFERROR(__xludf.DUMMYFUNCTION("SPLIT(B1121,""T"")"),41456.0)</f>
        <v>41456</v>
      </c>
      <c r="F1121" s="4" t="str">
        <f>IFERROR(__xludf.DUMMYFUNCTION("""COMPUTED_VALUE"""),"06:00:00Z")</f>
        <v>06:00:00Z</v>
      </c>
      <c r="G1121" s="11" t="str">
        <f t="shared" si="1"/>
        <v>06:00:00</v>
      </c>
      <c r="H1121" s="10">
        <f>IFERROR(__xludf.DUMMYFUNCTION("SPLIT(D1121,""T"")"),41453.0)</f>
        <v>41453</v>
      </c>
      <c r="I1121" s="4" t="str">
        <f>IFERROR(__xludf.DUMMYFUNCTION("""COMPUTED_VALUE"""),"14:30:00Z")</f>
        <v>14:30:00Z</v>
      </c>
      <c r="J1121" s="4" t="str">
        <f t="shared" si="2"/>
        <v>14:30:00</v>
      </c>
      <c r="K1121" s="4">
        <f t="shared" si="3"/>
        <v>3</v>
      </c>
      <c r="L1121" s="4">
        <f t="shared" si="4"/>
        <v>-0.3541666667</v>
      </c>
      <c r="M1121" s="4">
        <f t="shared" si="5"/>
        <v>2.645833333</v>
      </c>
    </row>
    <row r="1122">
      <c r="A1122" s="4" t="s">
        <v>170</v>
      </c>
      <c r="B1122" s="4" t="s">
        <v>1423</v>
      </c>
      <c r="C1122" s="4" t="s">
        <v>521</v>
      </c>
      <c r="D1122" s="4" t="s">
        <v>1424</v>
      </c>
      <c r="E1122" s="10">
        <f>IFERROR(__xludf.DUMMYFUNCTION("SPLIT(B1122,""T"")"),42541.0)</f>
        <v>42541</v>
      </c>
      <c r="F1122" s="4" t="str">
        <f>IFERROR(__xludf.DUMMYFUNCTION("""COMPUTED_VALUE"""),"06:00:00Z")</f>
        <v>06:00:00Z</v>
      </c>
      <c r="G1122" s="11" t="str">
        <f t="shared" si="1"/>
        <v>06:00:00</v>
      </c>
      <c r="H1122" s="10">
        <f>IFERROR(__xludf.DUMMYFUNCTION("SPLIT(D1122,""T"")"),42538.0)</f>
        <v>42538</v>
      </c>
      <c r="I1122" s="4" t="str">
        <f>IFERROR(__xludf.DUMMYFUNCTION("""COMPUTED_VALUE"""),"14:30:00Z")</f>
        <v>14:30:00Z</v>
      </c>
      <c r="J1122" s="4" t="str">
        <f t="shared" si="2"/>
        <v>14:30:00</v>
      </c>
      <c r="K1122" s="4">
        <f t="shared" si="3"/>
        <v>3</v>
      </c>
      <c r="L1122" s="4">
        <f t="shared" si="4"/>
        <v>-0.3541666667</v>
      </c>
      <c r="M1122" s="4">
        <f t="shared" si="5"/>
        <v>2.645833333</v>
      </c>
    </row>
    <row r="1123">
      <c r="A1123" s="4" t="s">
        <v>58</v>
      </c>
      <c r="B1123" s="4" t="s">
        <v>992</v>
      </c>
      <c r="C1123" s="4" t="s">
        <v>1097</v>
      </c>
      <c r="D1123" s="4" t="s">
        <v>1098</v>
      </c>
      <c r="E1123" s="10">
        <f>IFERROR(__xludf.DUMMYFUNCTION("SPLIT(B1123,""T"")"),42220.0)</f>
        <v>42220</v>
      </c>
      <c r="F1123" s="4" t="str">
        <f>IFERROR(__xludf.DUMMYFUNCTION("""COMPUTED_VALUE"""),"18:00:00Z")</f>
        <v>18:00:00Z</v>
      </c>
      <c r="G1123" s="11" t="str">
        <f t="shared" si="1"/>
        <v>18:00:00</v>
      </c>
      <c r="H1123" s="10">
        <f>IFERROR(__xludf.DUMMYFUNCTION("SPLIT(D1123,""T"")"),42218.0)</f>
        <v>42218</v>
      </c>
      <c r="I1123" s="4" t="str">
        <f>IFERROR(__xludf.DUMMYFUNCTION("""COMPUTED_VALUE"""),"03:00:00Z")</f>
        <v>03:00:00Z</v>
      </c>
      <c r="J1123" s="4" t="str">
        <f t="shared" si="2"/>
        <v>03:00:00</v>
      </c>
      <c r="K1123" s="4">
        <f t="shared" si="3"/>
        <v>2</v>
      </c>
      <c r="L1123" s="4">
        <f t="shared" si="4"/>
        <v>0.625</v>
      </c>
      <c r="M1123" s="4">
        <f t="shared" si="5"/>
        <v>2.625</v>
      </c>
    </row>
    <row r="1124">
      <c r="A1124" s="4" t="s">
        <v>205</v>
      </c>
      <c r="B1124" s="4" t="s">
        <v>3282</v>
      </c>
      <c r="C1124" s="4" t="s">
        <v>2356</v>
      </c>
      <c r="D1124" s="4" t="s">
        <v>3283</v>
      </c>
      <c r="E1124" s="10">
        <f>IFERROR(__xludf.DUMMYFUNCTION("SPLIT(B1124,""T"")"),43765.0)</f>
        <v>43765</v>
      </c>
      <c r="F1124" s="4" t="str">
        <f>IFERROR(__xludf.DUMMYFUNCTION("""COMPUTED_VALUE"""),"13:55:00Z")</f>
        <v>13:55:00Z</v>
      </c>
      <c r="G1124" s="11" t="str">
        <f t="shared" si="1"/>
        <v>13:55:00</v>
      </c>
      <c r="H1124" s="10">
        <f>IFERROR(__xludf.DUMMYFUNCTION("SPLIT(D1124,""T"")"),43762.0)</f>
        <v>43762</v>
      </c>
      <c r="I1124" s="4" t="str">
        <f>IFERROR(__xludf.DUMMYFUNCTION("""COMPUTED_VALUE"""),"23:16:18Z")</f>
        <v>23:16:18Z</v>
      </c>
      <c r="J1124" s="4" t="str">
        <f t="shared" si="2"/>
        <v>23:16:18</v>
      </c>
      <c r="K1124" s="4">
        <f t="shared" si="3"/>
        <v>3</v>
      </c>
      <c r="L1124" s="4">
        <f t="shared" si="4"/>
        <v>-0.3897916667</v>
      </c>
      <c r="M1124" s="4">
        <f t="shared" si="5"/>
        <v>2.610208333</v>
      </c>
    </row>
    <row r="1125">
      <c r="A1125" s="4" t="s">
        <v>3376</v>
      </c>
      <c r="B1125" s="4" t="s">
        <v>3377</v>
      </c>
      <c r="C1125" s="4" t="s">
        <v>2463</v>
      </c>
      <c r="D1125" s="4" t="s">
        <v>3378</v>
      </c>
      <c r="E1125" s="10">
        <f>IFERROR(__xludf.DUMMYFUNCTION("SPLIT(B1125,""T"")"),43662.0)</f>
        <v>43662</v>
      </c>
      <c r="F1125" s="4" t="str">
        <f>IFERROR(__xludf.DUMMYFUNCTION("""COMPUTED_VALUE"""),"08:50:00Z")</f>
        <v>08:50:00Z</v>
      </c>
      <c r="G1125" s="11" t="str">
        <f t="shared" si="1"/>
        <v>08:50:00</v>
      </c>
      <c r="H1125" s="10">
        <f>IFERROR(__xludf.DUMMYFUNCTION("SPLIT(D1125,""T"")"),43659.0)</f>
        <v>43659</v>
      </c>
      <c r="I1125" s="4" t="str">
        <f>IFERROR(__xludf.DUMMYFUNCTION("""COMPUTED_VALUE"""),"18:42:22Z")</f>
        <v>18:42:22Z</v>
      </c>
      <c r="J1125" s="4" t="str">
        <f t="shared" si="2"/>
        <v>18:42:22</v>
      </c>
      <c r="K1125" s="4">
        <f t="shared" si="3"/>
        <v>3</v>
      </c>
      <c r="L1125" s="4">
        <f t="shared" si="4"/>
        <v>-0.4113657407</v>
      </c>
      <c r="M1125" s="4">
        <f t="shared" si="5"/>
        <v>2.588634259</v>
      </c>
    </row>
    <row r="1126">
      <c r="A1126" s="4" t="s">
        <v>62</v>
      </c>
      <c r="B1126" s="4" t="s">
        <v>627</v>
      </c>
      <c r="C1126" s="4" t="s">
        <v>628</v>
      </c>
      <c r="D1126" s="4" t="s">
        <v>629</v>
      </c>
      <c r="E1126" s="10">
        <f>IFERROR(__xludf.DUMMYFUNCTION("SPLIT(B1126,""T"")"),41776.0)</f>
        <v>41776</v>
      </c>
      <c r="F1126" s="4" t="str">
        <f>IFERROR(__xludf.DUMMYFUNCTION("""COMPUTED_VALUE"""),"00:00:00Z")</f>
        <v>00:00:00Z</v>
      </c>
      <c r="G1126" s="11" t="str">
        <f t="shared" si="1"/>
        <v>00:00:00</v>
      </c>
      <c r="H1126" s="10">
        <f>IFERROR(__xludf.DUMMYFUNCTION("SPLIT(D1126,""T"")"),41773.0)</f>
        <v>41773</v>
      </c>
      <c r="I1126" s="4" t="str">
        <f>IFERROR(__xludf.DUMMYFUNCTION("""COMPUTED_VALUE"""),"10:30:00Z")</f>
        <v>10:30:00Z</v>
      </c>
      <c r="J1126" s="4" t="str">
        <f t="shared" si="2"/>
        <v>10:30:00</v>
      </c>
      <c r="K1126" s="4">
        <f t="shared" si="3"/>
        <v>3</v>
      </c>
      <c r="L1126" s="4">
        <f t="shared" si="4"/>
        <v>-0.4375</v>
      </c>
      <c r="M1126" s="4">
        <f t="shared" si="5"/>
        <v>2.5625</v>
      </c>
    </row>
    <row r="1127">
      <c r="A1127" s="4" t="s">
        <v>411</v>
      </c>
      <c r="B1127" s="4" t="s">
        <v>1656</v>
      </c>
      <c r="C1127" s="4" t="s">
        <v>1657</v>
      </c>
      <c r="D1127" s="4" t="s">
        <v>1658</v>
      </c>
      <c r="E1127" s="10">
        <f>IFERROR(__xludf.DUMMYFUNCTION("SPLIT(B1127,""T"")"),42551.0)</f>
        <v>42551</v>
      </c>
      <c r="F1127" s="4" t="str">
        <f>IFERROR(__xludf.DUMMYFUNCTION("""COMPUTED_VALUE"""),"07:00:00Z")</f>
        <v>07:00:00Z</v>
      </c>
      <c r="G1127" s="11" t="str">
        <f t="shared" si="1"/>
        <v>07:00:00</v>
      </c>
      <c r="H1127" s="10">
        <f>IFERROR(__xludf.DUMMYFUNCTION("SPLIT(D1127,""T"")"),42548.0)</f>
        <v>42548</v>
      </c>
      <c r="I1127" s="4" t="str">
        <f>IFERROR(__xludf.DUMMYFUNCTION("""COMPUTED_VALUE"""),"18:00:00Z")</f>
        <v>18:00:00Z</v>
      </c>
      <c r="J1127" s="4" t="str">
        <f t="shared" si="2"/>
        <v>18:00:00</v>
      </c>
      <c r="K1127" s="4">
        <f t="shared" si="3"/>
        <v>3</v>
      </c>
      <c r="L1127" s="4">
        <f t="shared" si="4"/>
        <v>-0.4583333333</v>
      </c>
      <c r="M1127" s="4">
        <f t="shared" si="5"/>
        <v>2.541666667</v>
      </c>
    </row>
    <row r="1128">
      <c r="A1128" s="4" t="s">
        <v>46</v>
      </c>
      <c r="B1128" s="4" t="s">
        <v>839</v>
      </c>
      <c r="C1128" s="4" t="s">
        <v>840</v>
      </c>
      <c r="D1128" s="4" t="s">
        <v>841</v>
      </c>
      <c r="E1128" s="10">
        <f>IFERROR(__xludf.DUMMYFUNCTION("SPLIT(B1128,""T"")"),41865.0)</f>
        <v>41865</v>
      </c>
      <c r="F1128" s="4" t="str">
        <f>IFERROR(__xludf.DUMMYFUNCTION("""COMPUTED_VALUE"""),"09:30:00Z")</f>
        <v>09:30:00Z</v>
      </c>
      <c r="G1128" s="11" t="str">
        <f t="shared" si="1"/>
        <v>09:30:00</v>
      </c>
      <c r="H1128" s="10">
        <f>IFERROR(__xludf.DUMMYFUNCTION("SPLIT(D1128,""T"")"),41862.0)</f>
        <v>41862</v>
      </c>
      <c r="I1128" s="4" t="str">
        <f>IFERROR(__xludf.DUMMYFUNCTION("""COMPUTED_VALUE"""),"22:00:00Z")</f>
        <v>22:00:00Z</v>
      </c>
      <c r="J1128" s="4" t="str">
        <f t="shared" si="2"/>
        <v>22:00:00</v>
      </c>
      <c r="K1128" s="4">
        <f t="shared" si="3"/>
        <v>3</v>
      </c>
      <c r="L1128" s="4">
        <f t="shared" si="4"/>
        <v>-0.5208333333</v>
      </c>
      <c r="M1128" s="4">
        <f t="shared" si="5"/>
        <v>2.479166667</v>
      </c>
    </row>
    <row r="1129">
      <c r="A1129" s="4" t="s">
        <v>278</v>
      </c>
      <c r="B1129" s="4" t="s">
        <v>1028</v>
      </c>
      <c r="C1129" s="4" t="s">
        <v>941</v>
      </c>
      <c r="D1129" s="4" t="s">
        <v>1029</v>
      </c>
      <c r="E1129" s="10">
        <f>IFERROR(__xludf.DUMMYFUNCTION("SPLIT(B1129,""T"")"),42193.0)</f>
        <v>42193</v>
      </c>
      <c r="F1129" s="4" t="str">
        <f>IFERROR(__xludf.DUMMYFUNCTION("""COMPUTED_VALUE"""),"20:45:00Z")</f>
        <v>20:45:00Z</v>
      </c>
      <c r="G1129" s="11" t="str">
        <f t="shared" si="1"/>
        <v>20:45:00</v>
      </c>
      <c r="H1129" s="10">
        <f>IFERROR(__xludf.DUMMYFUNCTION("SPLIT(D1129,""T"")"),42191.0)</f>
        <v>42191</v>
      </c>
      <c r="I1129" s="4" t="str">
        <f>IFERROR(__xludf.DUMMYFUNCTION("""COMPUTED_VALUE"""),"10:47:00Z")</f>
        <v>10:47:00Z</v>
      </c>
      <c r="J1129" s="4" t="str">
        <f t="shared" si="2"/>
        <v>10:47:00</v>
      </c>
      <c r="K1129" s="4">
        <f t="shared" si="3"/>
        <v>2</v>
      </c>
      <c r="L1129" s="4">
        <f t="shared" si="4"/>
        <v>0.4152777778</v>
      </c>
      <c r="M1129" s="4">
        <f t="shared" si="5"/>
        <v>2.415277778</v>
      </c>
    </row>
    <row r="1130">
      <c r="A1130" s="4" t="s">
        <v>69</v>
      </c>
      <c r="B1130" s="4" t="s">
        <v>127</v>
      </c>
      <c r="C1130" s="4" t="s">
        <v>128</v>
      </c>
      <c r="D1130" s="4" t="s">
        <v>129</v>
      </c>
      <c r="E1130" s="10">
        <f>IFERROR(__xludf.DUMMYFUNCTION("SPLIT(B1130,""T"")"),41480.0)</f>
        <v>41480</v>
      </c>
      <c r="F1130" s="4" t="str">
        <f>IFERROR(__xludf.DUMMYFUNCTION("""COMPUTED_VALUE"""),"18:30:00Z")</f>
        <v>18:30:00Z</v>
      </c>
      <c r="G1130" s="11" t="str">
        <f t="shared" si="1"/>
        <v>18:30:00</v>
      </c>
      <c r="H1130" s="10">
        <f>IFERROR(__xludf.DUMMYFUNCTION("SPLIT(D1130,""T"")"),41478.0)</f>
        <v>41478</v>
      </c>
      <c r="I1130" s="4" t="str">
        <f>IFERROR(__xludf.DUMMYFUNCTION("""COMPUTED_VALUE"""),"09:15:00Z")</f>
        <v>09:15:00Z</v>
      </c>
      <c r="J1130" s="4" t="str">
        <f t="shared" si="2"/>
        <v>09:15:00</v>
      </c>
      <c r="K1130" s="4">
        <f t="shared" si="3"/>
        <v>2</v>
      </c>
      <c r="L1130" s="4">
        <f t="shared" si="4"/>
        <v>0.3854166667</v>
      </c>
      <c r="M1130" s="4">
        <f t="shared" si="5"/>
        <v>2.385416667</v>
      </c>
    </row>
    <row r="1131">
      <c r="A1131" s="4" t="s">
        <v>282</v>
      </c>
      <c r="B1131" s="4" t="s">
        <v>913</v>
      </c>
      <c r="C1131" s="4" t="s">
        <v>75</v>
      </c>
      <c r="D1131" s="4" t="s">
        <v>914</v>
      </c>
      <c r="E1131" s="10">
        <f>IFERROR(__xludf.DUMMYFUNCTION("SPLIT(B1131,""T"")"),42206.0)</f>
        <v>42206</v>
      </c>
      <c r="F1131" s="4" t="str">
        <f>IFERROR(__xludf.DUMMYFUNCTION("""COMPUTED_VALUE"""),"07:15:00Z")</f>
        <v>07:15:00Z</v>
      </c>
      <c r="G1131" s="11" t="str">
        <f t="shared" si="1"/>
        <v>07:15:00</v>
      </c>
      <c r="H1131" s="10">
        <f>IFERROR(__xludf.DUMMYFUNCTION("SPLIT(D1131,""T"")"),42203.0)</f>
        <v>42203</v>
      </c>
      <c r="I1131" s="4" t="str">
        <f>IFERROR(__xludf.DUMMYFUNCTION("""COMPUTED_VALUE"""),"22:27:00Z")</f>
        <v>22:27:00Z</v>
      </c>
      <c r="J1131" s="4" t="str">
        <f t="shared" si="2"/>
        <v>22:27:00</v>
      </c>
      <c r="K1131" s="4">
        <f t="shared" si="3"/>
        <v>3</v>
      </c>
      <c r="L1131" s="4">
        <f t="shared" si="4"/>
        <v>-0.6333333333</v>
      </c>
      <c r="M1131" s="4">
        <f t="shared" si="5"/>
        <v>2.366666667</v>
      </c>
    </row>
    <row r="1132">
      <c r="A1132" s="4" t="s">
        <v>54</v>
      </c>
      <c r="B1132" s="4" t="s">
        <v>3409</v>
      </c>
      <c r="C1132" s="4" t="s">
        <v>232</v>
      </c>
      <c r="D1132" s="4" t="s">
        <v>3689</v>
      </c>
      <c r="E1132" s="10">
        <f>IFERROR(__xludf.DUMMYFUNCTION("SPLIT(B1132,""T"")"),43640.0)</f>
        <v>43640</v>
      </c>
      <c r="F1132" s="4" t="str">
        <f>IFERROR(__xludf.DUMMYFUNCTION("""COMPUTED_VALUE"""),"11:43:00Z")</f>
        <v>11:43:00Z</v>
      </c>
      <c r="G1132" s="11" t="str">
        <f t="shared" si="1"/>
        <v>11:43:00</v>
      </c>
      <c r="H1132" s="10">
        <f>IFERROR(__xludf.DUMMYFUNCTION("SPLIT(D1132,""T"")"),43638.0)</f>
        <v>43638</v>
      </c>
      <c r="I1132" s="4" t="str">
        <f>IFERROR(__xludf.DUMMYFUNCTION("""COMPUTED_VALUE"""),"03:12:00Z")</f>
        <v>03:12:00Z</v>
      </c>
      <c r="J1132" s="4" t="str">
        <f t="shared" si="2"/>
        <v>03:12:00</v>
      </c>
      <c r="K1132" s="4">
        <f t="shared" si="3"/>
        <v>2</v>
      </c>
      <c r="L1132" s="4">
        <f t="shared" si="4"/>
        <v>0.3548611111</v>
      </c>
      <c r="M1132" s="4">
        <f t="shared" si="5"/>
        <v>2.354861111</v>
      </c>
    </row>
    <row r="1133">
      <c r="A1133" s="4" t="s">
        <v>69</v>
      </c>
      <c r="B1133" s="4" t="s">
        <v>1374</v>
      </c>
      <c r="C1133" s="4" t="s">
        <v>1375</v>
      </c>
      <c r="D1133" s="4" t="s">
        <v>1376</v>
      </c>
      <c r="E1133" s="10">
        <f>IFERROR(__xludf.DUMMYFUNCTION("SPLIT(B1133,""T"")"),42561.0)</f>
        <v>42561</v>
      </c>
      <c r="F1133" s="4" t="str">
        <f>IFERROR(__xludf.DUMMYFUNCTION("""COMPUTED_VALUE"""),"19:37:00Z")</f>
        <v>19:37:00Z</v>
      </c>
      <c r="G1133" s="11" t="str">
        <f t="shared" si="1"/>
        <v>19:37:00</v>
      </c>
      <c r="H1133" s="10">
        <f>IFERROR(__xludf.DUMMYFUNCTION("SPLIT(D1133,""T"")"),42559.0)</f>
        <v>42559</v>
      </c>
      <c r="I1133" s="4" t="str">
        <f>IFERROR(__xludf.DUMMYFUNCTION("""COMPUTED_VALUE"""),"11:15:00Z")</f>
        <v>11:15:00Z</v>
      </c>
      <c r="J1133" s="4" t="str">
        <f t="shared" si="2"/>
        <v>11:15:00</v>
      </c>
      <c r="K1133" s="4">
        <f t="shared" si="3"/>
        <v>2</v>
      </c>
      <c r="L1133" s="4">
        <f t="shared" si="4"/>
        <v>0.3486111111</v>
      </c>
      <c r="M1133" s="4">
        <f t="shared" si="5"/>
        <v>2.348611111</v>
      </c>
    </row>
    <row r="1134">
      <c r="A1134" s="4" t="s">
        <v>156</v>
      </c>
      <c r="B1134" s="4" t="s">
        <v>1502</v>
      </c>
      <c r="C1134" s="4" t="s">
        <v>1503</v>
      </c>
      <c r="D1134" s="4" t="s">
        <v>1504</v>
      </c>
      <c r="E1134" s="10">
        <f>IFERROR(__xludf.DUMMYFUNCTION("SPLIT(B1134,""T"")"),42557.0)</f>
        <v>42557</v>
      </c>
      <c r="F1134" s="4" t="str">
        <f>IFERROR(__xludf.DUMMYFUNCTION("""COMPUTED_VALUE"""),"20:00:00Z")</f>
        <v>20:00:00Z</v>
      </c>
      <c r="G1134" s="11" t="str">
        <f t="shared" si="1"/>
        <v>20:00:00</v>
      </c>
      <c r="H1134" s="10">
        <f>IFERROR(__xludf.DUMMYFUNCTION("SPLIT(D1134,""T"")"),42555.0)</f>
        <v>42555</v>
      </c>
      <c r="I1134" s="4" t="str">
        <f>IFERROR(__xludf.DUMMYFUNCTION("""COMPUTED_VALUE"""),"11:53:00Z")</f>
        <v>11:53:00Z</v>
      </c>
      <c r="J1134" s="4" t="str">
        <f t="shared" si="2"/>
        <v>11:53:00</v>
      </c>
      <c r="K1134" s="4">
        <f t="shared" si="3"/>
        <v>2</v>
      </c>
      <c r="L1134" s="4">
        <f t="shared" si="4"/>
        <v>0.3381944444</v>
      </c>
      <c r="M1134" s="4">
        <f t="shared" si="5"/>
        <v>2.338194444</v>
      </c>
    </row>
    <row r="1135">
      <c r="A1135" s="4" t="s">
        <v>435</v>
      </c>
      <c r="B1135" s="4" t="s">
        <v>984</v>
      </c>
      <c r="C1135" s="4" t="s">
        <v>985</v>
      </c>
      <c r="D1135" s="4" t="s">
        <v>986</v>
      </c>
      <c r="E1135" s="10">
        <f>IFERROR(__xludf.DUMMYFUNCTION("SPLIT(B1135,""T"")"),42200.0)</f>
        <v>42200</v>
      </c>
      <c r="F1135" s="4" t="str">
        <f>IFERROR(__xludf.DUMMYFUNCTION("""COMPUTED_VALUE"""),"18:45:00Z")</f>
        <v>18:45:00Z</v>
      </c>
      <c r="G1135" s="11" t="str">
        <f t="shared" si="1"/>
        <v>18:45:00</v>
      </c>
      <c r="H1135" s="10">
        <f>IFERROR(__xludf.DUMMYFUNCTION("SPLIT(D1135,""T"")"),42198.0)</f>
        <v>42198</v>
      </c>
      <c r="I1135" s="4" t="str">
        <f>IFERROR(__xludf.DUMMYFUNCTION("""COMPUTED_VALUE"""),"10:47:00Z")</f>
        <v>10:47:00Z</v>
      </c>
      <c r="J1135" s="4" t="str">
        <f t="shared" si="2"/>
        <v>10:47:00</v>
      </c>
      <c r="K1135" s="4">
        <f t="shared" si="3"/>
        <v>2</v>
      </c>
      <c r="L1135" s="4">
        <f t="shared" si="4"/>
        <v>0.3319444444</v>
      </c>
      <c r="M1135" s="4">
        <f t="shared" si="5"/>
        <v>2.331944444</v>
      </c>
    </row>
    <row r="1136">
      <c r="A1136" s="4" t="s">
        <v>630</v>
      </c>
      <c r="B1136" s="4" t="s">
        <v>825</v>
      </c>
      <c r="C1136" s="4" t="s">
        <v>826</v>
      </c>
      <c r="D1136" s="4" t="s">
        <v>827</v>
      </c>
      <c r="E1136" s="10">
        <f>IFERROR(__xludf.DUMMYFUNCTION("SPLIT(B1136,""T"")"),41823.0)</f>
        <v>41823</v>
      </c>
      <c r="F1136" s="4" t="str">
        <f>IFERROR(__xludf.DUMMYFUNCTION("""COMPUTED_VALUE"""),"10:45:00Z")</f>
        <v>10:45:00Z</v>
      </c>
      <c r="G1136" s="11" t="str">
        <f t="shared" si="1"/>
        <v>10:45:00</v>
      </c>
      <c r="H1136" s="10">
        <f>IFERROR(__xludf.DUMMYFUNCTION("SPLIT(D1136,""T"")"),41821.0)</f>
        <v>41821</v>
      </c>
      <c r="I1136" s="4" t="str">
        <f>IFERROR(__xludf.DUMMYFUNCTION("""COMPUTED_VALUE"""),"03:45:00Z")</f>
        <v>03:45:00Z</v>
      </c>
      <c r="J1136" s="4" t="str">
        <f t="shared" si="2"/>
        <v>03:45:00</v>
      </c>
      <c r="K1136" s="4">
        <f t="shared" si="3"/>
        <v>2</v>
      </c>
      <c r="L1136" s="4">
        <f t="shared" si="4"/>
        <v>0.2916666667</v>
      </c>
      <c r="M1136" s="4">
        <f t="shared" si="5"/>
        <v>2.291666667</v>
      </c>
    </row>
    <row r="1137">
      <c r="A1137" s="4" t="s">
        <v>411</v>
      </c>
      <c r="B1137" s="4" t="s">
        <v>729</v>
      </c>
      <c r="C1137" s="4" t="s">
        <v>730</v>
      </c>
      <c r="D1137" s="4" t="s">
        <v>731</v>
      </c>
      <c r="E1137" s="10">
        <f>IFERROR(__xludf.DUMMYFUNCTION("SPLIT(B1137,""T"")"),41814.0)</f>
        <v>41814</v>
      </c>
      <c r="F1137" s="4" t="str">
        <f>IFERROR(__xludf.DUMMYFUNCTION("""COMPUTED_VALUE"""),"19:00:00Z")</f>
        <v>19:00:00Z</v>
      </c>
      <c r="G1137" s="11" t="str">
        <f t="shared" si="1"/>
        <v>19:00:00</v>
      </c>
      <c r="H1137" s="10">
        <f>IFERROR(__xludf.DUMMYFUNCTION("SPLIT(D1137,""T"")"),41812.0)</f>
        <v>41812</v>
      </c>
      <c r="I1137" s="4" t="str">
        <f>IFERROR(__xludf.DUMMYFUNCTION("""COMPUTED_VALUE"""),"12:37:00Z")</f>
        <v>12:37:00Z</v>
      </c>
      <c r="J1137" s="4" t="str">
        <f t="shared" si="2"/>
        <v>12:37:00</v>
      </c>
      <c r="K1137" s="4">
        <f t="shared" si="3"/>
        <v>2</v>
      </c>
      <c r="L1137" s="4">
        <f t="shared" si="4"/>
        <v>0.2659722222</v>
      </c>
      <c r="M1137" s="4">
        <f t="shared" si="5"/>
        <v>2.265972222</v>
      </c>
    </row>
    <row r="1138">
      <c r="A1138" s="4" t="s">
        <v>156</v>
      </c>
      <c r="B1138" s="4" t="s">
        <v>1039</v>
      </c>
      <c r="C1138" s="4" t="s">
        <v>658</v>
      </c>
      <c r="D1138" s="4" t="s">
        <v>1040</v>
      </c>
      <c r="E1138" s="10">
        <f>IFERROR(__xludf.DUMMYFUNCTION("SPLIT(B1138,""T"")"),42178.0)</f>
        <v>42178</v>
      </c>
      <c r="F1138" s="4" t="str">
        <f>IFERROR(__xludf.DUMMYFUNCTION("""COMPUTED_VALUE"""),"18:25:00Z")</f>
        <v>18:25:00Z</v>
      </c>
      <c r="G1138" s="11" t="str">
        <f t="shared" si="1"/>
        <v>18:25:00</v>
      </c>
      <c r="H1138" s="10">
        <f>IFERROR(__xludf.DUMMYFUNCTION("SPLIT(D1138,""T"")"),42176.0)</f>
        <v>42176</v>
      </c>
      <c r="I1138" s="4" t="str">
        <f>IFERROR(__xludf.DUMMYFUNCTION("""COMPUTED_VALUE"""),"12:08:00Z")</f>
        <v>12:08:00Z</v>
      </c>
      <c r="J1138" s="4" t="str">
        <f t="shared" si="2"/>
        <v>12:08:00</v>
      </c>
      <c r="K1138" s="4">
        <f t="shared" si="3"/>
        <v>2</v>
      </c>
      <c r="L1138" s="4">
        <f t="shared" si="4"/>
        <v>0.2618055556</v>
      </c>
      <c r="M1138" s="4">
        <f t="shared" si="5"/>
        <v>2.261805556</v>
      </c>
    </row>
    <row r="1139">
      <c r="A1139" s="4" t="s">
        <v>156</v>
      </c>
      <c r="B1139" s="4" t="s">
        <v>1543</v>
      </c>
      <c r="C1139" s="4" t="s">
        <v>1544</v>
      </c>
      <c r="D1139" s="4" t="s">
        <v>1545</v>
      </c>
      <c r="E1139" s="10">
        <f>IFERROR(__xludf.DUMMYFUNCTION("SPLIT(B1139,""T"")"),42588.0)</f>
        <v>42588</v>
      </c>
      <c r="F1139" s="4" t="str">
        <f>IFERROR(__xludf.DUMMYFUNCTION("""COMPUTED_VALUE"""),"19:50:00Z")</f>
        <v>19:50:00Z</v>
      </c>
      <c r="G1139" s="11" t="str">
        <f t="shared" si="1"/>
        <v>19:50:00</v>
      </c>
      <c r="H1139" s="10">
        <f>IFERROR(__xludf.DUMMYFUNCTION("SPLIT(D1139,""T"")"),42586.0)</f>
        <v>42586</v>
      </c>
      <c r="I1139" s="4" t="str">
        <f>IFERROR(__xludf.DUMMYFUNCTION("""COMPUTED_VALUE"""),"14:13:00Z")</f>
        <v>14:13:00Z</v>
      </c>
      <c r="J1139" s="4" t="str">
        <f t="shared" si="2"/>
        <v>14:13:00</v>
      </c>
      <c r="K1139" s="4">
        <f t="shared" si="3"/>
        <v>2</v>
      </c>
      <c r="L1139" s="4">
        <f t="shared" si="4"/>
        <v>0.2340277778</v>
      </c>
      <c r="M1139" s="4">
        <f t="shared" si="5"/>
        <v>2.234027778</v>
      </c>
    </row>
    <row r="1140">
      <c r="A1140" s="4" t="s">
        <v>149</v>
      </c>
      <c r="B1140" s="4" t="s">
        <v>1540</v>
      </c>
      <c r="C1140" s="4" t="s">
        <v>1541</v>
      </c>
      <c r="D1140" s="4" t="s">
        <v>1542</v>
      </c>
      <c r="E1140" s="10">
        <f>IFERROR(__xludf.DUMMYFUNCTION("SPLIT(B1140,""T"")"),42550.0)</f>
        <v>42550</v>
      </c>
      <c r="F1140" s="4" t="str">
        <f>IFERROR(__xludf.DUMMYFUNCTION("""COMPUTED_VALUE"""),"17:00:00Z")</f>
        <v>17:00:00Z</v>
      </c>
      <c r="G1140" s="11" t="str">
        <f t="shared" si="1"/>
        <v>17:00:00</v>
      </c>
      <c r="H1140" s="10">
        <f>IFERROR(__xludf.DUMMYFUNCTION("SPLIT(D1140,""T"")"),42548.0)</f>
        <v>42548</v>
      </c>
      <c r="I1140" s="4" t="str">
        <f>IFERROR(__xludf.DUMMYFUNCTION("""COMPUTED_VALUE"""),"12:07:00Z")</f>
        <v>12:07:00Z</v>
      </c>
      <c r="J1140" s="4" t="str">
        <f t="shared" si="2"/>
        <v>12:07:00</v>
      </c>
      <c r="K1140" s="4">
        <f t="shared" si="3"/>
        <v>2</v>
      </c>
      <c r="L1140" s="4">
        <f t="shared" si="4"/>
        <v>0.2034722222</v>
      </c>
      <c r="M1140" s="4">
        <f t="shared" si="5"/>
        <v>2.203472222</v>
      </c>
    </row>
    <row r="1141">
      <c r="A1141" s="4" t="s">
        <v>186</v>
      </c>
      <c r="B1141" s="4" t="s">
        <v>289</v>
      </c>
      <c r="C1141" s="4" t="s">
        <v>290</v>
      </c>
      <c r="D1141" s="4" t="s">
        <v>291</v>
      </c>
      <c r="E1141" s="10">
        <f>IFERROR(__xludf.DUMMYFUNCTION("SPLIT(B1141,""T"")"),41588.0)</f>
        <v>41588</v>
      </c>
      <c r="F1141" s="4" t="str">
        <f>IFERROR(__xludf.DUMMYFUNCTION("""COMPUTED_VALUE"""),"18:30:00Z")</f>
        <v>18:30:00Z</v>
      </c>
      <c r="G1141" s="11" t="str">
        <f t="shared" si="1"/>
        <v>18:30:00</v>
      </c>
      <c r="H1141" s="10">
        <f>IFERROR(__xludf.DUMMYFUNCTION("SPLIT(D1141,""T"")"),41586.0)</f>
        <v>41586</v>
      </c>
      <c r="I1141" s="4" t="str">
        <f>IFERROR(__xludf.DUMMYFUNCTION("""COMPUTED_VALUE"""),"13:42:00Z")</f>
        <v>13:42:00Z</v>
      </c>
      <c r="J1141" s="4" t="str">
        <f t="shared" si="2"/>
        <v>13:42:00</v>
      </c>
      <c r="K1141" s="4">
        <f t="shared" si="3"/>
        <v>2</v>
      </c>
      <c r="L1141" s="4">
        <f t="shared" si="4"/>
        <v>0.2</v>
      </c>
      <c r="M1141" s="4">
        <f t="shared" si="5"/>
        <v>2.2</v>
      </c>
    </row>
    <row r="1142">
      <c r="A1142" s="4" t="s">
        <v>39</v>
      </c>
      <c r="B1142" s="4" t="s">
        <v>1010</v>
      </c>
      <c r="C1142" s="4" t="s">
        <v>329</v>
      </c>
      <c r="D1142" s="4" t="s">
        <v>1011</v>
      </c>
      <c r="E1142" s="10">
        <f>IFERROR(__xludf.DUMMYFUNCTION("SPLIT(B1142,""T"")"),42258.0)</f>
        <v>42258</v>
      </c>
      <c r="F1142" s="4" t="str">
        <f>IFERROR(__xludf.DUMMYFUNCTION("""COMPUTED_VALUE"""),"19:17:00Z")</f>
        <v>19:17:00Z</v>
      </c>
      <c r="G1142" s="11" t="str">
        <f t="shared" si="1"/>
        <v>19:17:00</v>
      </c>
      <c r="H1142" s="10">
        <f>IFERROR(__xludf.DUMMYFUNCTION("SPLIT(D1142,""T"")"),42256.0)</f>
        <v>42256</v>
      </c>
      <c r="I1142" s="4" t="str">
        <f>IFERROR(__xludf.DUMMYFUNCTION("""COMPUTED_VALUE"""),"14:30:00Z")</f>
        <v>14:30:00Z</v>
      </c>
      <c r="J1142" s="4" t="str">
        <f t="shared" si="2"/>
        <v>14:30:00</v>
      </c>
      <c r="K1142" s="4">
        <f t="shared" si="3"/>
        <v>2</v>
      </c>
      <c r="L1142" s="4">
        <f t="shared" si="4"/>
        <v>0.1993055556</v>
      </c>
      <c r="M1142" s="4">
        <f t="shared" si="5"/>
        <v>2.199305556</v>
      </c>
    </row>
    <row r="1143">
      <c r="A1143" s="4" t="s">
        <v>19</v>
      </c>
      <c r="B1143" s="4" t="s">
        <v>1546</v>
      </c>
      <c r="C1143" s="4" t="s">
        <v>1054</v>
      </c>
      <c r="D1143" s="4" t="s">
        <v>1547</v>
      </c>
      <c r="E1143" s="10">
        <f>IFERROR(__xludf.DUMMYFUNCTION("SPLIT(B1143,""T"")"),42522.0)</f>
        <v>42522</v>
      </c>
      <c r="F1143" s="4" t="str">
        <f>IFERROR(__xludf.DUMMYFUNCTION("""COMPUTED_VALUE"""),"19:45:00Z")</f>
        <v>19:45:00Z</v>
      </c>
      <c r="G1143" s="11" t="str">
        <f t="shared" si="1"/>
        <v>19:45:00</v>
      </c>
      <c r="H1143" s="10">
        <f>IFERROR(__xludf.DUMMYFUNCTION("SPLIT(D1143,""T"")"),42520.0)</f>
        <v>42520</v>
      </c>
      <c r="I1143" s="4" t="str">
        <f>IFERROR(__xludf.DUMMYFUNCTION("""COMPUTED_VALUE"""),"15:10:00Z")</f>
        <v>15:10:00Z</v>
      </c>
      <c r="J1143" s="4" t="str">
        <f t="shared" si="2"/>
        <v>15:10:00</v>
      </c>
      <c r="K1143" s="4">
        <f t="shared" si="3"/>
        <v>2</v>
      </c>
      <c r="L1143" s="4">
        <f t="shared" si="4"/>
        <v>0.1909722222</v>
      </c>
      <c r="M1143" s="4">
        <f t="shared" si="5"/>
        <v>2.190972222</v>
      </c>
    </row>
    <row r="1144">
      <c r="A1144" s="4" t="s">
        <v>324</v>
      </c>
      <c r="B1144" s="4" t="s">
        <v>1614</v>
      </c>
      <c r="C1144" s="4" t="s">
        <v>1615</v>
      </c>
      <c r="D1144" s="4" t="s">
        <v>1616</v>
      </c>
      <c r="E1144" s="10">
        <f>IFERROR(__xludf.DUMMYFUNCTION("SPLIT(B1144,""T"")"),42638.0)</f>
        <v>42638</v>
      </c>
      <c r="F1144" s="4" t="str">
        <f>IFERROR(__xludf.DUMMYFUNCTION("""COMPUTED_VALUE"""),"17:45:00Z")</f>
        <v>17:45:00Z</v>
      </c>
      <c r="G1144" s="11" t="str">
        <f t="shared" si="1"/>
        <v>17:45:00</v>
      </c>
      <c r="H1144" s="10">
        <f>IFERROR(__xludf.DUMMYFUNCTION("SPLIT(D1144,""T"")"),42636.0)</f>
        <v>42636</v>
      </c>
      <c r="I1144" s="4" t="str">
        <f>IFERROR(__xludf.DUMMYFUNCTION("""COMPUTED_VALUE"""),"13:12:00Z")</f>
        <v>13:12:00Z</v>
      </c>
      <c r="J1144" s="4" t="str">
        <f t="shared" si="2"/>
        <v>13:12:00</v>
      </c>
      <c r="K1144" s="4">
        <f t="shared" si="3"/>
        <v>2</v>
      </c>
      <c r="L1144" s="4">
        <f t="shared" si="4"/>
        <v>0.1895833333</v>
      </c>
      <c r="M1144" s="4">
        <f t="shared" si="5"/>
        <v>2.189583333</v>
      </c>
    </row>
    <row r="1145">
      <c r="A1145" s="4" t="s">
        <v>145</v>
      </c>
      <c r="B1145" s="4" t="s">
        <v>1094</v>
      </c>
      <c r="C1145" s="4" t="s">
        <v>1095</v>
      </c>
      <c r="D1145" s="4" t="s">
        <v>1096</v>
      </c>
      <c r="E1145" s="10">
        <f>IFERROR(__xludf.DUMMYFUNCTION("SPLIT(B1145,""T"")"),42210.0)</f>
        <v>42210</v>
      </c>
      <c r="F1145" s="4" t="str">
        <f>IFERROR(__xludf.DUMMYFUNCTION("""COMPUTED_VALUE"""),"22:00:00Z")</f>
        <v>22:00:00Z</v>
      </c>
      <c r="G1145" s="11" t="str">
        <f t="shared" si="1"/>
        <v>22:00:00</v>
      </c>
      <c r="H1145" s="10">
        <f>IFERROR(__xludf.DUMMYFUNCTION("SPLIT(D1145,""T"")"),42208.0)</f>
        <v>42208</v>
      </c>
      <c r="I1145" s="4" t="str">
        <f>IFERROR(__xludf.DUMMYFUNCTION("""COMPUTED_VALUE"""),"17:30:00Z")</f>
        <v>17:30:00Z</v>
      </c>
      <c r="J1145" s="4" t="str">
        <f t="shared" si="2"/>
        <v>17:30:00</v>
      </c>
      <c r="K1145" s="4">
        <f t="shared" si="3"/>
        <v>2</v>
      </c>
      <c r="L1145" s="4">
        <f t="shared" si="4"/>
        <v>0.1875</v>
      </c>
      <c r="M1145" s="4">
        <f t="shared" si="5"/>
        <v>2.1875</v>
      </c>
    </row>
    <row r="1146">
      <c r="A1146" s="4" t="s">
        <v>23</v>
      </c>
      <c r="B1146" s="4" t="s">
        <v>1452</v>
      </c>
      <c r="C1146" s="4" t="s">
        <v>1453</v>
      </c>
      <c r="D1146" s="4" t="s">
        <v>1454</v>
      </c>
      <c r="E1146" s="10">
        <f>IFERROR(__xludf.DUMMYFUNCTION("SPLIT(B1146,""T"")"),42515.0)</f>
        <v>42515</v>
      </c>
      <c r="F1146" s="4" t="str">
        <f>IFERROR(__xludf.DUMMYFUNCTION("""COMPUTED_VALUE"""),"18:45:00Z")</f>
        <v>18:45:00Z</v>
      </c>
      <c r="G1146" s="11" t="str">
        <f t="shared" si="1"/>
        <v>18:45:00</v>
      </c>
      <c r="H1146" s="10">
        <f>IFERROR(__xludf.DUMMYFUNCTION("SPLIT(D1146,""T"")"),42513.0)</f>
        <v>42513</v>
      </c>
      <c r="I1146" s="4" t="str">
        <f>IFERROR(__xludf.DUMMYFUNCTION("""COMPUTED_VALUE"""),"14:15:00Z")</f>
        <v>14:15:00Z</v>
      </c>
      <c r="J1146" s="4" t="str">
        <f t="shared" si="2"/>
        <v>14:15:00</v>
      </c>
      <c r="K1146" s="4">
        <f t="shared" si="3"/>
        <v>2</v>
      </c>
      <c r="L1146" s="4">
        <f t="shared" si="4"/>
        <v>0.1875</v>
      </c>
      <c r="M1146" s="4">
        <f t="shared" si="5"/>
        <v>2.1875</v>
      </c>
    </row>
    <row r="1147">
      <c r="A1147" s="4" t="s">
        <v>73</v>
      </c>
      <c r="B1147" s="4" t="s">
        <v>275</v>
      </c>
      <c r="C1147" s="4" t="s">
        <v>276</v>
      </c>
      <c r="D1147" s="4" t="s">
        <v>277</v>
      </c>
      <c r="E1147" s="10">
        <f>IFERROR(__xludf.DUMMYFUNCTION("SPLIT(B1147,""T"")"),41397.0)</f>
        <v>41397</v>
      </c>
      <c r="F1147" s="4" t="str">
        <f>IFERROR(__xludf.DUMMYFUNCTION("""COMPUTED_VALUE"""),"06:15:00Z")</f>
        <v>06:15:00Z</v>
      </c>
      <c r="G1147" s="11" t="str">
        <f t="shared" si="1"/>
        <v>06:15:00</v>
      </c>
      <c r="H1147" s="10">
        <f>IFERROR(__xludf.DUMMYFUNCTION("SPLIT(D1147,""T"")"),41395.0)</f>
        <v>41395</v>
      </c>
      <c r="I1147" s="4" t="str">
        <f>IFERROR(__xludf.DUMMYFUNCTION("""COMPUTED_VALUE"""),"02:01:00Z")</f>
        <v>02:01:00Z</v>
      </c>
      <c r="J1147" s="4" t="str">
        <f t="shared" si="2"/>
        <v>02:01:00</v>
      </c>
      <c r="K1147" s="4">
        <f t="shared" si="3"/>
        <v>2</v>
      </c>
      <c r="L1147" s="4">
        <f t="shared" si="4"/>
        <v>0.1763888889</v>
      </c>
      <c r="M1147" s="4">
        <f t="shared" si="5"/>
        <v>2.176388889</v>
      </c>
    </row>
    <row r="1148">
      <c r="A1148" s="4" t="s">
        <v>186</v>
      </c>
      <c r="B1148" s="4" t="s">
        <v>1429</v>
      </c>
      <c r="C1148" s="4" t="s">
        <v>1430</v>
      </c>
      <c r="D1148" s="4" t="s">
        <v>1431</v>
      </c>
      <c r="E1148" s="10">
        <f>IFERROR(__xludf.DUMMYFUNCTION("SPLIT(B1148,""T"")"),42549.0)</f>
        <v>42549</v>
      </c>
      <c r="F1148" s="4" t="str">
        <f>IFERROR(__xludf.DUMMYFUNCTION("""COMPUTED_VALUE"""),"20:00:00Z")</f>
        <v>20:00:00Z</v>
      </c>
      <c r="G1148" s="11" t="str">
        <f t="shared" si="1"/>
        <v>20:00:00</v>
      </c>
      <c r="H1148" s="10">
        <f>IFERROR(__xludf.DUMMYFUNCTION("SPLIT(D1148,""T"")"),42547.0)</f>
        <v>42547</v>
      </c>
      <c r="I1148" s="4" t="str">
        <f>IFERROR(__xludf.DUMMYFUNCTION("""COMPUTED_VALUE"""),"16:00:00Z")</f>
        <v>16:00:00Z</v>
      </c>
      <c r="J1148" s="4" t="str">
        <f t="shared" si="2"/>
        <v>16:00:00</v>
      </c>
      <c r="K1148" s="4">
        <f t="shared" si="3"/>
        <v>2</v>
      </c>
      <c r="L1148" s="4">
        <f t="shared" si="4"/>
        <v>0.1666666667</v>
      </c>
      <c r="M1148" s="4">
        <f t="shared" si="5"/>
        <v>2.166666667</v>
      </c>
    </row>
    <row r="1149">
      <c r="A1149" s="4" t="s">
        <v>186</v>
      </c>
      <c r="B1149" s="4" t="s">
        <v>1696</v>
      </c>
      <c r="C1149" s="4" t="s">
        <v>1697</v>
      </c>
      <c r="D1149" s="4" t="s">
        <v>1698</v>
      </c>
      <c r="E1149" s="10">
        <f>IFERROR(__xludf.DUMMYFUNCTION("SPLIT(B1149,""T"")"),42582.0)</f>
        <v>42582</v>
      </c>
      <c r="F1149" s="4" t="str">
        <f>IFERROR(__xludf.DUMMYFUNCTION("""COMPUTED_VALUE"""),"18:50:00Z")</f>
        <v>18:50:00Z</v>
      </c>
      <c r="G1149" s="11" t="str">
        <f t="shared" si="1"/>
        <v>18:50:00</v>
      </c>
      <c r="H1149" s="10">
        <f>IFERROR(__xludf.DUMMYFUNCTION("SPLIT(D1149,""T"")"),42580.0)</f>
        <v>42580</v>
      </c>
      <c r="I1149" s="4" t="str">
        <f>IFERROR(__xludf.DUMMYFUNCTION("""COMPUTED_VALUE"""),"14:55:00Z")</f>
        <v>14:55:00Z</v>
      </c>
      <c r="J1149" s="4" t="str">
        <f t="shared" si="2"/>
        <v>14:55:00</v>
      </c>
      <c r="K1149" s="4">
        <f t="shared" si="3"/>
        <v>2</v>
      </c>
      <c r="L1149" s="4">
        <f t="shared" si="4"/>
        <v>0.1631944444</v>
      </c>
      <c r="M1149" s="4">
        <f t="shared" si="5"/>
        <v>2.163194444</v>
      </c>
    </row>
    <row r="1150">
      <c r="A1150" s="4" t="s">
        <v>401</v>
      </c>
      <c r="B1150" s="4" t="s">
        <v>1691</v>
      </c>
      <c r="C1150" s="4" t="s">
        <v>730</v>
      </c>
      <c r="D1150" s="4" t="s">
        <v>1692</v>
      </c>
      <c r="E1150" s="10">
        <f>IFERROR(__xludf.DUMMYFUNCTION("SPLIT(B1150,""T"")"),42596.0)</f>
        <v>42596</v>
      </c>
      <c r="F1150" s="4" t="str">
        <f>IFERROR(__xludf.DUMMYFUNCTION("""COMPUTED_VALUE"""),"19:50:00Z")</f>
        <v>19:50:00Z</v>
      </c>
      <c r="G1150" s="11" t="str">
        <f t="shared" si="1"/>
        <v>19:50:00</v>
      </c>
      <c r="H1150" s="10">
        <f>IFERROR(__xludf.DUMMYFUNCTION("SPLIT(D1150,""T"")"),42594.0)</f>
        <v>42594</v>
      </c>
      <c r="I1150" s="4" t="str">
        <f>IFERROR(__xludf.DUMMYFUNCTION("""COMPUTED_VALUE"""),"16:00:00Z")</f>
        <v>16:00:00Z</v>
      </c>
      <c r="J1150" s="4" t="str">
        <f t="shared" si="2"/>
        <v>16:00:00</v>
      </c>
      <c r="K1150" s="4">
        <f t="shared" si="3"/>
        <v>2</v>
      </c>
      <c r="L1150" s="4">
        <f t="shared" si="4"/>
        <v>0.1597222222</v>
      </c>
      <c r="M1150" s="4">
        <f t="shared" si="5"/>
        <v>2.159722222</v>
      </c>
    </row>
    <row r="1151">
      <c r="A1151" s="4" t="s">
        <v>874</v>
      </c>
      <c r="B1151" s="4" t="s">
        <v>1491</v>
      </c>
      <c r="C1151" s="4" t="s">
        <v>1492</v>
      </c>
      <c r="D1151" s="4" t="s">
        <v>1493</v>
      </c>
      <c r="E1151" s="10">
        <f>IFERROR(__xludf.DUMMYFUNCTION("SPLIT(B1151,""T"")"),42589.0)</f>
        <v>42589</v>
      </c>
      <c r="F1151" s="4" t="str">
        <f>IFERROR(__xludf.DUMMYFUNCTION("""COMPUTED_VALUE"""),"19:33:00Z")</f>
        <v>19:33:00Z</v>
      </c>
      <c r="G1151" s="11" t="str">
        <f t="shared" si="1"/>
        <v>19:33:00</v>
      </c>
      <c r="H1151" s="10">
        <f>IFERROR(__xludf.DUMMYFUNCTION("SPLIT(D1151,""T"")"),42587.0)</f>
        <v>42587</v>
      </c>
      <c r="I1151" s="4" t="str">
        <f>IFERROR(__xludf.DUMMYFUNCTION("""COMPUTED_VALUE"""),"15:45:00Z")</f>
        <v>15:45:00Z</v>
      </c>
      <c r="J1151" s="4" t="str">
        <f t="shared" si="2"/>
        <v>15:45:00</v>
      </c>
      <c r="K1151" s="4">
        <f t="shared" si="3"/>
        <v>2</v>
      </c>
      <c r="L1151" s="4">
        <f t="shared" si="4"/>
        <v>0.1583333333</v>
      </c>
      <c r="M1151" s="4">
        <f t="shared" si="5"/>
        <v>2.158333333</v>
      </c>
    </row>
    <row r="1152">
      <c r="A1152" s="4" t="s">
        <v>114</v>
      </c>
      <c r="B1152" s="4" t="s">
        <v>565</v>
      </c>
      <c r="C1152" s="4" t="s">
        <v>566</v>
      </c>
      <c r="D1152" s="4" t="s">
        <v>567</v>
      </c>
      <c r="E1152" s="10">
        <f>IFERROR(__xludf.DUMMYFUNCTION("SPLIT(B1152,""T"")"),41811.0)</f>
        <v>41811</v>
      </c>
      <c r="F1152" s="4" t="str">
        <f>IFERROR(__xludf.DUMMYFUNCTION("""COMPUTED_VALUE"""),"19:00:00Z")</f>
        <v>19:00:00Z</v>
      </c>
      <c r="G1152" s="11" t="str">
        <f t="shared" si="1"/>
        <v>19:00:00</v>
      </c>
      <c r="H1152" s="10">
        <f>IFERROR(__xludf.DUMMYFUNCTION("SPLIT(D1152,""T"")"),41809.0)</f>
        <v>41809</v>
      </c>
      <c r="I1152" s="4" t="str">
        <f>IFERROR(__xludf.DUMMYFUNCTION("""COMPUTED_VALUE"""),"15:14:00Z")</f>
        <v>15:14:00Z</v>
      </c>
      <c r="J1152" s="4" t="str">
        <f t="shared" si="2"/>
        <v>15:14:00</v>
      </c>
      <c r="K1152" s="4">
        <f t="shared" si="3"/>
        <v>2</v>
      </c>
      <c r="L1152" s="4">
        <f t="shared" si="4"/>
        <v>0.1569444444</v>
      </c>
      <c r="M1152" s="4">
        <f t="shared" si="5"/>
        <v>2.156944444</v>
      </c>
    </row>
    <row r="1153">
      <c r="A1153" s="4" t="s">
        <v>23</v>
      </c>
      <c r="B1153" s="4" t="s">
        <v>949</v>
      </c>
      <c r="C1153" s="4" t="s">
        <v>950</v>
      </c>
      <c r="D1153" s="4" t="s">
        <v>951</v>
      </c>
      <c r="E1153" s="10">
        <f>IFERROR(__xludf.DUMMYFUNCTION("SPLIT(B1153,""T"")"),42181.0)</f>
        <v>42181</v>
      </c>
      <c r="F1153" s="4" t="str">
        <f>IFERROR(__xludf.DUMMYFUNCTION("""COMPUTED_VALUE"""),"17:00:00Z")</f>
        <v>17:00:00Z</v>
      </c>
      <c r="G1153" s="11" t="str">
        <f t="shared" si="1"/>
        <v>17:00:00</v>
      </c>
      <c r="H1153" s="10">
        <f>IFERROR(__xludf.DUMMYFUNCTION("SPLIT(D1153,""T"")"),42179.0)</f>
        <v>42179</v>
      </c>
      <c r="I1153" s="4" t="str">
        <f>IFERROR(__xludf.DUMMYFUNCTION("""COMPUTED_VALUE"""),"13:22:00Z")</f>
        <v>13:22:00Z</v>
      </c>
      <c r="J1153" s="4" t="str">
        <f t="shared" si="2"/>
        <v>13:22:00</v>
      </c>
      <c r="K1153" s="4">
        <f t="shared" si="3"/>
        <v>2</v>
      </c>
      <c r="L1153" s="4">
        <f t="shared" si="4"/>
        <v>0.1513888889</v>
      </c>
      <c r="M1153" s="4">
        <f t="shared" si="5"/>
        <v>2.151388889</v>
      </c>
    </row>
    <row r="1154">
      <c r="A1154" s="4" t="s">
        <v>58</v>
      </c>
      <c r="B1154" s="4" t="s">
        <v>3524</v>
      </c>
      <c r="C1154" s="4" t="s">
        <v>3525</v>
      </c>
      <c r="D1154" s="4" t="s">
        <v>3526</v>
      </c>
      <c r="E1154" s="10">
        <f>IFERROR(__xludf.DUMMYFUNCTION("SPLIT(B1154,""T"")"),43694.0)</f>
        <v>43694</v>
      </c>
      <c r="F1154" s="4" t="str">
        <f>IFERROR(__xludf.DUMMYFUNCTION("""COMPUTED_VALUE"""),"18:43:00Z")</f>
        <v>18:43:00Z</v>
      </c>
      <c r="G1154" s="11" t="str">
        <f t="shared" si="1"/>
        <v>18:43:00</v>
      </c>
      <c r="H1154" s="10">
        <f>IFERROR(__xludf.DUMMYFUNCTION("SPLIT(D1154,""T"")"),43692.0)</f>
        <v>43692</v>
      </c>
      <c r="I1154" s="4" t="str">
        <f>IFERROR(__xludf.DUMMYFUNCTION("""COMPUTED_VALUE"""),"15:09:55Z")</f>
        <v>15:09:55Z</v>
      </c>
      <c r="J1154" s="4" t="str">
        <f t="shared" si="2"/>
        <v>15:09:55</v>
      </c>
      <c r="K1154" s="4">
        <f t="shared" si="3"/>
        <v>2</v>
      </c>
      <c r="L1154" s="4">
        <f t="shared" si="4"/>
        <v>0.147974537</v>
      </c>
      <c r="M1154" s="4">
        <f t="shared" si="5"/>
        <v>2.147974537</v>
      </c>
    </row>
    <row r="1155">
      <c r="A1155" s="4" t="s">
        <v>149</v>
      </c>
      <c r="B1155" s="4" t="s">
        <v>1317</v>
      </c>
      <c r="C1155" s="4" t="s">
        <v>1318</v>
      </c>
      <c r="D1155" s="4" t="s">
        <v>1319</v>
      </c>
      <c r="E1155" s="10">
        <f>IFERROR(__xludf.DUMMYFUNCTION("SPLIT(B1155,""T"")"),42510.0)</f>
        <v>42510</v>
      </c>
      <c r="F1155" s="4" t="str">
        <f>IFERROR(__xludf.DUMMYFUNCTION("""COMPUTED_VALUE"""),"18:00:00Z")</f>
        <v>18:00:00Z</v>
      </c>
      <c r="G1155" s="11" t="str">
        <f t="shared" si="1"/>
        <v>18:00:00</v>
      </c>
      <c r="H1155" s="10">
        <f>IFERROR(__xludf.DUMMYFUNCTION("SPLIT(D1155,""T"")"),42508.0)</f>
        <v>42508</v>
      </c>
      <c r="I1155" s="4" t="str">
        <f>IFERROR(__xludf.DUMMYFUNCTION("""COMPUTED_VALUE"""),"14:27:00Z")</f>
        <v>14:27:00Z</v>
      </c>
      <c r="J1155" s="4" t="str">
        <f t="shared" si="2"/>
        <v>14:27:00</v>
      </c>
      <c r="K1155" s="4">
        <f t="shared" si="3"/>
        <v>2</v>
      </c>
      <c r="L1155" s="4">
        <f t="shared" si="4"/>
        <v>0.1479166667</v>
      </c>
      <c r="M1155" s="4">
        <f t="shared" si="5"/>
        <v>2.147916667</v>
      </c>
    </row>
    <row r="1156">
      <c r="A1156" s="4" t="s">
        <v>46</v>
      </c>
      <c r="B1156" s="4" t="s">
        <v>1588</v>
      </c>
      <c r="C1156" s="4" t="s">
        <v>1589</v>
      </c>
      <c r="D1156" s="4" t="s">
        <v>1590</v>
      </c>
      <c r="E1156" s="10">
        <f>IFERROR(__xludf.DUMMYFUNCTION("SPLIT(B1156,""T"")"),42511.0)</f>
        <v>42511</v>
      </c>
      <c r="F1156" s="4" t="str">
        <f>IFERROR(__xludf.DUMMYFUNCTION("""COMPUTED_VALUE"""),"19:00:00Z")</f>
        <v>19:00:00Z</v>
      </c>
      <c r="G1156" s="11" t="str">
        <f t="shared" si="1"/>
        <v>19:00:00</v>
      </c>
      <c r="H1156" s="10">
        <f>IFERROR(__xludf.DUMMYFUNCTION("SPLIT(D1156,""T"")"),42509.0)</f>
        <v>42509</v>
      </c>
      <c r="I1156" s="4" t="str">
        <f>IFERROR(__xludf.DUMMYFUNCTION("""COMPUTED_VALUE"""),"15:37:00Z")</f>
        <v>15:37:00Z</v>
      </c>
      <c r="J1156" s="4" t="str">
        <f t="shared" si="2"/>
        <v>15:37:00</v>
      </c>
      <c r="K1156" s="4">
        <f t="shared" si="3"/>
        <v>2</v>
      </c>
      <c r="L1156" s="4">
        <f t="shared" si="4"/>
        <v>0.1409722222</v>
      </c>
      <c r="M1156" s="4">
        <f t="shared" si="5"/>
        <v>2.140972222</v>
      </c>
    </row>
    <row r="1157">
      <c r="A1157" s="4" t="s">
        <v>162</v>
      </c>
      <c r="B1157" s="4" t="s">
        <v>711</v>
      </c>
      <c r="C1157" s="4" t="s">
        <v>413</v>
      </c>
      <c r="D1157" s="4" t="s">
        <v>712</v>
      </c>
      <c r="E1157" s="10">
        <f>IFERROR(__xludf.DUMMYFUNCTION("SPLIT(B1157,""T"")"),41750.0)</f>
        <v>41750</v>
      </c>
      <c r="F1157" s="4" t="str">
        <f>IFERROR(__xludf.DUMMYFUNCTION("""COMPUTED_VALUE"""),"19:15:00Z")</f>
        <v>19:15:00Z</v>
      </c>
      <c r="G1157" s="11" t="str">
        <f t="shared" si="1"/>
        <v>19:15:00</v>
      </c>
      <c r="H1157" s="10">
        <f>IFERROR(__xludf.DUMMYFUNCTION("SPLIT(D1157,""T"")"),41748.0)</f>
        <v>41748</v>
      </c>
      <c r="I1157" s="4" t="str">
        <f>IFERROR(__xludf.DUMMYFUNCTION("""COMPUTED_VALUE"""),"15:54:00Z")</f>
        <v>15:54:00Z</v>
      </c>
      <c r="J1157" s="4" t="str">
        <f t="shared" si="2"/>
        <v>15:54:00</v>
      </c>
      <c r="K1157" s="4">
        <f t="shared" si="3"/>
        <v>2</v>
      </c>
      <c r="L1157" s="4">
        <f t="shared" si="4"/>
        <v>0.1395833333</v>
      </c>
      <c r="M1157" s="4">
        <f t="shared" si="5"/>
        <v>2.139583333</v>
      </c>
    </row>
    <row r="1158">
      <c r="A1158" s="4" t="s">
        <v>58</v>
      </c>
      <c r="B1158" s="4" t="s">
        <v>1566</v>
      </c>
      <c r="C1158" s="4" t="s">
        <v>125</v>
      </c>
      <c r="D1158" s="4" t="s">
        <v>1567</v>
      </c>
      <c r="E1158" s="10">
        <f>IFERROR(__xludf.DUMMYFUNCTION("SPLIT(B1158,""T"")"),42625.0)</f>
        <v>42625</v>
      </c>
      <c r="F1158" s="4" t="str">
        <f>IFERROR(__xludf.DUMMYFUNCTION("""COMPUTED_VALUE"""),"19:00:00Z")</f>
        <v>19:00:00Z</v>
      </c>
      <c r="G1158" s="11" t="str">
        <f t="shared" si="1"/>
        <v>19:00:00</v>
      </c>
      <c r="H1158" s="10">
        <f>IFERROR(__xludf.DUMMYFUNCTION("SPLIT(D1158,""T"")"),42623.0)</f>
        <v>42623</v>
      </c>
      <c r="I1158" s="4" t="str">
        <f>IFERROR(__xludf.DUMMYFUNCTION("""COMPUTED_VALUE"""),"15:45:00Z")</f>
        <v>15:45:00Z</v>
      </c>
      <c r="J1158" s="4" t="str">
        <f t="shared" si="2"/>
        <v>15:45:00</v>
      </c>
      <c r="K1158" s="4">
        <f t="shared" si="3"/>
        <v>2</v>
      </c>
      <c r="L1158" s="4">
        <f t="shared" si="4"/>
        <v>0.1354166667</v>
      </c>
      <c r="M1158" s="4">
        <f t="shared" si="5"/>
        <v>2.135416667</v>
      </c>
    </row>
    <row r="1159">
      <c r="A1159" s="4" t="s">
        <v>320</v>
      </c>
      <c r="B1159" s="4" t="s">
        <v>1627</v>
      </c>
      <c r="C1159" s="4" t="s">
        <v>1628</v>
      </c>
      <c r="D1159" s="4" t="s">
        <v>1629</v>
      </c>
      <c r="E1159" s="10">
        <f>IFERROR(__xludf.DUMMYFUNCTION("SPLIT(B1159,""T"")"),42583.0)</f>
        <v>42583</v>
      </c>
      <c r="F1159" s="4" t="str">
        <f>IFERROR(__xludf.DUMMYFUNCTION("""COMPUTED_VALUE"""),"19:40:00Z")</f>
        <v>19:40:00Z</v>
      </c>
      <c r="G1159" s="11" t="str">
        <f t="shared" si="1"/>
        <v>19:40:00</v>
      </c>
      <c r="H1159" s="10">
        <f>IFERROR(__xludf.DUMMYFUNCTION("SPLIT(D1159,""T"")"),42581.0)</f>
        <v>42581</v>
      </c>
      <c r="I1159" s="4" t="str">
        <f>IFERROR(__xludf.DUMMYFUNCTION("""COMPUTED_VALUE"""),"16:25:00Z")</f>
        <v>16:25:00Z</v>
      </c>
      <c r="J1159" s="4" t="str">
        <f t="shared" si="2"/>
        <v>16:25:00</v>
      </c>
      <c r="K1159" s="4">
        <f t="shared" si="3"/>
        <v>2</v>
      </c>
      <c r="L1159" s="4">
        <f t="shared" si="4"/>
        <v>0.1354166667</v>
      </c>
      <c r="M1159" s="4">
        <f t="shared" si="5"/>
        <v>2.135416667</v>
      </c>
    </row>
    <row r="1160">
      <c r="A1160" s="4" t="s">
        <v>39</v>
      </c>
      <c r="B1160" s="4" t="s">
        <v>1437</v>
      </c>
      <c r="C1160" s="4" t="s">
        <v>1438</v>
      </c>
      <c r="D1160" s="4" t="s">
        <v>1439</v>
      </c>
      <c r="E1160" s="10">
        <f>IFERROR(__xludf.DUMMYFUNCTION("SPLIT(B1160,""T"")"),42564.0)</f>
        <v>42564</v>
      </c>
      <c r="F1160" s="4" t="str">
        <f>IFERROR(__xludf.DUMMYFUNCTION("""COMPUTED_VALUE"""),"17:30:00Z")</f>
        <v>17:30:00Z</v>
      </c>
      <c r="G1160" s="11" t="str">
        <f t="shared" si="1"/>
        <v>17:30:00</v>
      </c>
      <c r="H1160" s="10">
        <f>IFERROR(__xludf.DUMMYFUNCTION("SPLIT(D1160,""T"")"),42562.0)</f>
        <v>42562</v>
      </c>
      <c r="I1160" s="4" t="str">
        <f>IFERROR(__xludf.DUMMYFUNCTION("""COMPUTED_VALUE"""),"14:30:00Z")</f>
        <v>14:30:00Z</v>
      </c>
      <c r="J1160" s="4" t="str">
        <f t="shared" si="2"/>
        <v>14:30:00</v>
      </c>
      <c r="K1160" s="4">
        <f t="shared" si="3"/>
        <v>2</v>
      </c>
      <c r="L1160" s="4">
        <f t="shared" si="4"/>
        <v>0.125</v>
      </c>
      <c r="M1160" s="4">
        <f t="shared" si="5"/>
        <v>2.125</v>
      </c>
    </row>
    <row r="1161">
      <c r="A1161" s="4" t="s">
        <v>62</v>
      </c>
      <c r="B1161" s="4" t="s">
        <v>3280</v>
      </c>
      <c r="C1161" s="4" t="s">
        <v>2417</v>
      </c>
      <c r="D1161" s="4" t="s">
        <v>3281</v>
      </c>
      <c r="E1161" s="10">
        <f>IFERROR(__xludf.DUMMYFUNCTION("SPLIT(B1161,""T"")"),43765.0)</f>
        <v>43765</v>
      </c>
      <c r="F1161" s="4" t="str">
        <f>IFERROR(__xludf.DUMMYFUNCTION("""COMPUTED_VALUE"""),"18:05:00Z")</f>
        <v>18:05:00Z</v>
      </c>
      <c r="G1161" s="11" t="str">
        <f t="shared" si="1"/>
        <v>18:05:00</v>
      </c>
      <c r="H1161" s="10">
        <f>IFERROR(__xludf.DUMMYFUNCTION("SPLIT(D1161,""T"")"),43763.0)</f>
        <v>43763</v>
      </c>
      <c r="I1161" s="4" t="str">
        <f>IFERROR(__xludf.DUMMYFUNCTION("""COMPUTED_VALUE"""),"15:05:52Z")</f>
        <v>15:05:52Z</v>
      </c>
      <c r="J1161" s="4" t="str">
        <f t="shared" si="2"/>
        <v>15:05:52</v>
      </c>
      <c r="K1161" s="4">
        <f t="shared" si="3"/>
        <v>2</v>
      </c>
      <c r="L1161" s="4">
        <f t="shared" si="4"/>
        <v>0.1243981481</v>
      </c>
      <c r="M1161" s="4">
        <f t="shared" si="5"/>
        <v>2.124398148</v>
      </c>
    </row>
    <row r="1162">
      <c r="A1162" s="4" t="s">
        <v>101</v>
      </c>
      <c r="B1162" s="4" t="s">
        <v>739</v>
      </c>
      <c r="C1162" s="4" t="s">
        <v>740</v>
      </c>
      <c r="D1162" s="4" t="s">
        <v>741</v>
      </c>
      <c r="E1162" s="10">
        <f>IFERROR(__xludf.DUMMYFUNCTION("SPLIT(B1162,""T"")"),41891.0)</f>
        <v>41891</v>
      </c>
      <c r="F1162" s="4" t="str">
        <f>IFERROR(__xludf.DUMMYFUNCTION("""COMPUTED_VALUE"""),"19:45:00Z")</f>
        <v>19:45:00Z</v>
      </c>
      <c r="G1162" s="11" t="str">
        <f t="shared" si="1"/>
        <v>19:45:00</v>
      </c>
      <c r="H1162" s="10">
        <f>IFERROR(__xludf.DUMMYFUNCTION("SPLIT(D1162,""T"")"),41889.0)</f>
        <v>41889</v>
      </c>
      <c r="I1162" s="4" t="str">
        <f>IFERROR(__xludf.DUMMYFUNCTION("""COMPUTED_VALUE"""),"16:46:00Z")</f>
        <v>16:46:00Z</v>
      </c>
      <c r="J1162" s="4" t="str">
        <f t="shared" si="2"/>
        <v>16:46:00</v>
      </c>
      <c r="K1162" s="4">
        <f t="shared" si="3"/>
        <v>2</v>
      </c>
      <c r="L1162" s="4">
        <f t="shared" si="4"/>
        <v>0.1243055556</v>
      </c>
      <c r="M1162" s="4">
        <f t="shared" si="5"/>
        <v>2.124305556</v>
      </c>
    </row>
    <row r="1163">
      <c r="A1163" s="4" t="s">
        <v>114</v>
      </c>
      <c r="B1163" s="4" t="s">
        <v>1077</v>
      </c>
      <c r="C1163" s="4" t="s">
        <v>1078</v>
      </c>
      <c r="D1163" s="4" t="s">
        <v>1079</v>
      </c>
      <c r="E1163" s="10">
        <f>IFERROR(__xludf.DUMMYFUNCTION("SPLIT(B1163,""T"")"),42268.0)</f>
        <v>42268</v>
      </c>
      <c r="F1163" s="4" t="str">
        <f>IFERROR(__xludf.DUMMYFUNCTION("""COMPUTED_VALUE"""),"18:20:00Z")</f>
        <v>18:20:00Z</v>
      </c>
      <c r="G1163" s="11" t="str">
        <f t="shared" si="1"/>
        <v>18:20:00</v>
      </c>
      <c r="H1163" s="10">
        <f>IFERROR(__xludf.DUMMYFUNCTION("SPLIT(D1163,""T"")"),42266.0)</f>
        <v>42266</v>
      </c>
      <c r="I1163" s="4" t="str">
        <f>IFERROR(__xludf.DUMMYFUNCTION("""COMPUTED_VALUE"""),"15:25:00Z")</f>
        <v>15:25:00Z</v>
      </c>
      <c r="J1163" s="4" t="str">
        <f t="shared" si="2"/>
        <v>15:25:00</v>
      </c>
      <c r="K1163" s="4">
        <f t="shared" si="3"/>
        <v>2</v>
      </c>
      <c r="L1163" s="4">
        <f t="shared" si="4"/>
        <v>0.1215277778</v>
      </c>
      <c r="M1163" s="4">
        <f t="shared" si="5"/>
        <v>2.121527778</v>
      </c>
    </row>
    <row r="1164">
      <c r="A1164" s="4" t="s">
        <v>31</v>
      </c>
      <c r="B1164" s="4" t="s">
        <v>1446</v>
      </c>
      <c r="C1164" s="4" t="s">
        <v>1447</v>
      </c>
      <c r="D1164" s="4" t="s">
        <v>1448</v>
      </c>
      <c r="E1164" s="10">
        <f>IFERROR(__xludf.DUMMYFUNCTION("SPLIT(B1164,""T"")"),42509.0)</f>
        <v>42509</v>
      </c>
      <c r="F1164" s="4" t="str">
        <f>IFERROR(__xludf.DUMMYFUNCTION("""COMPUTED_VALUE"""),"18:00:00Z")</f>
        <v>18:00:00Z</v>
      </c>
      <c r="G1164" s="11" t="str">
        <f t="shared" si="1"/>
        <v>18:00:00</v>
      </c>
      <c r="H1164" s="10">
        <f>IFERROR(__xludf.DUMMYFUNCTION("SPLIT(D1164,""T"")"),42507.0)</f>
        <v>42507</v>
      </c>
      <c r="I1164" s="4" t="str">
        <f>IFERROR(__xludf.DUMMYFUNCTION("""COMPUTED_VALUE"""),"15:06:00Z")</f>
        <v>15:06:00Z</v>
      </c>
      <c r="J1164" s="4" t="str">
        <f t="shared" si="2"/>
        <v>15:06:00</v>
      </c>
      <c r="K1164" s="4">
        <f t="shared" si="3"/>
        <v>2</v>
      </c>
      <c r="L1164" s="4">
        <f t="shared" si="4"/>
        <v>0.1208333333</v>
      </c>
      <c r="M1164" s="4">
        <f t="shared" si="5"/>
        <v>2.120833333</v>
      </c>
    </row>
    <row r="1165">
      <c r="A1165" s="4" t="s">
        <v>401</v>
      </c>
      <c r="B1165" s="4" t="s">
        <v>3482</v>
      </c>
      <c r="C1165" s="4" t="s">
        <v>3483</v>
      </c>
      <c r="D1165" s="4" t="s">
        <v>3484</v>
      </c>
      <c r="E1165" s="10">
        <f>IFERROR(__xludf.DUMMYFUNCTION("SPLIT(B1165,""T"")"),43627.0)</f>
        <v>43627</v>
      </c>
      <c r="F1165" s="4" t="str">
        <f>IFERROR(__xludf.DUMMYFUNCTION("""COMPUTED_VALUE"""),"17:17:00Z")</f>
        <v>17:17:00Z</v>
      </c>
      <c r="G1165" s="11" t="str">
        <f t="shared" si="1"/>
        <v>17:17:00</v>
      </c>
      <c r="H1165" s="10">
        <f>IFERROR(__xludf.DUMMYFUNCTION("SPLIT(D1165,""T"")"),43625.0)</f>
        <v>43625</v>
      </c>
      <c r="I1165" s="4" t="str">
        <f>IFERROR(__xludf.DUMMYFUNCTION("""COMPUTED_VALUE"""),"14:29:00Z")</f>
        <v>14:29:00Z</v>
      </c>
      <c r="J1165" s="4" t="str">
        <f t="shared" si="2"/>
        <v>14:29:00</v>
      </c>
      <c r="K1165" s="4">
        <f t="shared" si="3"/>
        <v>2</v>
      </c>
      <c r="L1165" s="4">
        <f t="shared" si="4"/>
        <v>0.1166666667</v>
      </c>
      <c r="M1165" s="4">
        <f t="shared" si="5"/>
        <v>2.116666667</v>
      </c>
    </row>
    <row r="1166">
      <c r="A1166" s="4" t="s">
        <v>39</v>
      </c>
      <c r="B1166" s="4" t="s">
        <v>1482</v>
      </c>
      <c r="C1166" s="4" t="s">
        <v>1483</v>
      </c>
      <c r="D1166" s="4" t="s">
        <v>1484</v>
      </c>
      <c r="E1166" s="10">
        <f>IFERROR(__xludf.DUMMYFUNCTION("SPLIT(B1166,""T"")"),42507.0)</f>
        <v>42507</v>
      </c>
      <c r="F1166" s="4" t="str">
        <f>IFERROR(__xludf.DUMMYFUNCTION("""COMPUTED_VALUE"""),"19:10:00Z")</f>
        <v>19:10:00Z</v>
      </c>
      <c r="G1166" s="11" t="str">
        <f t="shared" si="1"/>
        <v>19:10:00</v>
      </c>
      <c r="H1166" s="10">
        <f>IFERROR(__xludf.DUMMYFUNCTION("SPLIT(D1166,""T"")"),42505.0)</f>
        <v>42505</v>
      </c>
      <c r="I1166" s="4" t="str">
        <f>IFERROR(__xludf.DUMMYFUNCTION("""COMPUTED_VALUE"""),"16:38:00Z")</f>
        <v>16:38:00Z</v>
      </c>
      <c r="J1166" s="4" t="str">
        <f t="shared" si="2"/>
        <v>16:38:00</v>
      </c>
      <c r="K1166" s="4">
        <f t="shared" si="3"/>
        <v>2</v>
      </c>
      <c r="L1166" s="4">
        <f t="shared" si="4"/>
        <v>0.1055555556</v>
      </c>
      <c r="M1166" s="4">
        <f t="shared" si="5"/>
        <v>2.105555556</v>
      </c>
    </row>
    <row r="1167">
      <c r="A1167" s="4" t="s">
        <v>186</v>
      </c>
      <c r="B1167" s="4" t="s">
        <v>718</v>
      </c>
      <c r="C1167" s="4" t="s">
        <v>719</v>
      </c>
      <c r="D1167" s="4" t="s">
        <v>720</v>
      </c>
      <c r="E1167" s="10">
        <f>IFERROR(__xludf.DUMMYFUNCTION("SPLIT(B1167,""T"")"),41887.0)</f>
        <v>41887</v>
      </c>
      <c r="F1167" s="4" t="str">
        <f>IFERROR(__xludf.DUMMYFUNCTION("""COMPUTED_VALUE"""),"18:30:00Z")</f>
        <v>18:30:00Z</v>
      </c>
      <c r="G1167" s="11" t="str">
        <f t="shared" si="1"/>
        <v>18:30:00</v>
      </c>
      <c r="H1167" s="10">
        <f>IFERROR(__xludf.DUMMYFUNCTION("SPLIT(D1167,""T"")"),41885.0)</f>
        <v>41885</v>
      </c>
      <c r="I1167" s="4" t="str">
        <f>IFERROR(__xludf.DUMMYFUNCTION("""COMPUTED_VALUE"""),"16:03:00Z")</f>
        <v>16:03:00Z</v>
      </c>
      <c r="J1167" s="4" t="str">
        <f t="shared" si="2"/>
        <v>16:03:00</v>
      </c>
      <c r="K1167" s="4">
        <f t="shared" si="3"/>
        <v>2</v>
      </c>
      <c r="L1167" s="4">
        <f t="shared" si="4"/>
        <v>0.1020833333</v>
      </c>
      <c r="M1167" s="4">
        <f t="shared" si="5"/>
        <v>2.102083333</v>
      </c>
    </row>
    <row r="1168">
      <c r="A1168" s="4" t="s">
        <v>27</v>
      </c>
      <c r="B1168" s="4" t="s">
        <v>174</v>
      </c>
      <c r="C1168" s="4" t="s">
        <v>175</v>
      </c>
      <c r="D1168" s="4" t="s">
        <v>176</v>
      </c>
      <c r="E1168" s="10">
        <f>IFERROR(__xludf.DUMMYFUNCTION("SPLIT(B1168,""T"")"),41335.0)</f>
        <v>41335</v>
      </c>
      <c r="F1168" s="4" t="str">
        <f>IFERROR(__xludf.DUMMYFUNCTION("""COMPUTED_VALUE"""),"19:00:00Z")</f>
        <v>19:00:00Z</v>
      </c>
      <c r="G1168" s="11" t="str">
        <f t="shared" si="1"/>
        <v>19:00:00</v>
      </c>
      <c r="H1168" s="10">
        <f>IFERROR(__xludf.DUMMYFUNCTION("SPLIT(D1168,""T"")"),41333.0)</f>
        <v>41333</v>
      </c>
      <c r="I1168" s="4" t="str">
        <f>IFERROR(__xludf.DUMMYFUNCTION("""COMPUTED_VALUE"""),"16:43:00Z")</f>
        <v>16:43:00Z</v>
      </c>
      <c r="J1168" s="4" t="str">
        <f t="shared" si="2"/>
        <v>16:43:00</v>
      </c>
      <c r="K1168" s="4">
        <f t="shared" si="3"/>
        <v>2</v>
      </c>
      <c r="L1168" s="4">
        <f t="shared" si="4"/>
        <v>0.09513888889</v>
      </c>
      <c r="M1168" s="4">
        <f t="shared" si="5"/>
        <v>2.095138889</v>
      </c>
    </row>
    <row r="1169">
      <c r="A1169" s="4" t="s">
        <v>101</v>
      </c>
      <c r="B1169" s="4" t="s">
        <v>727</v>
      </c>
      <c r="C1169" s="4" t="s">
        <v>440</v>
      </c>
      <c r="D1169" s="4" t="s">
        <v>728</v>
      </c>
      <c r="E1169" s="10">
        <f>IFERROR(__xludf.DUMMYFUNCTION("SPLIT(B1169,""T"")"),41798.0)</f>
        <v>41798</v>
      </c>
      <c r="F1169" s="4" t="str">
        <f>IFERROR(__xludf.DUMMYFUNCTION("""COMPUTED_VALUE"""),"19:45:00Z")</f>
        <v>19:45:00Z</v>
      </c>
      <c r="G1169" s="11" t="str">
        <f t="shared" si="1"/>
        <v>19:45:00</v>
      </c>
      <c r="H1169" s="10">
        <f>IFERROR(__xludf.DUMMYFUNCTION("SPLIT(D1169,""T"")"),41796.0)</f>
        <v>41796</v>
      </c>
      <c r="I1169" s="4" t="str">
        <f>IFERROR(__xludf.DUMMYFUNCTION("""COMPUTED_VALUE"""),"17:29:00Z")</f>
        <v>17:29:00Z</v>
      </c>
      <c r="J1169" s="4" t="str">
        <f t="shared" si="2"/>
        <v>17:29:00</v>
      </c>
      <c r="K1169" s="4">
        <f t="shared" si="3"/>
        <v>2</v>
      </c>
      <c r="L1169" s="4">
        <f t="shared" si="4"/>
        <v>0.09444444444</v>
      </c>
      <c r="M1169" s="4">
        <f t="shared" si="5"/>
        <v>2.094444444</v>
      </c>
    </row>
    <row r="1170">
      <c r="A1170" s="4" t="s">
        <v>58</v>
      </c>
      <c r="B1170" s="4" t="s">
        <v>1099</v>
      </c>
      <c r="C1170" s="4" t="s">
        <v>1100</v>
      </c>
      <c r="D1170" s="4" t="s">
        <v>994</v>
      </c>
      <c r="E1170" s="10">
        <f>IFERROR(__xludf.DUMMYFUNCTION("SPLIT(B1170,""T"")"),42216.0)</f>
        <v>42216</v>
      </c>
      <c r="F1170" s="4" t="str">
        <f>IFERROR(__xludf.DUMMYFUNCTION("""COMPUTED_VALUE"""),"18:40:00Z")</f>
        <v>18:40:00Z</v>
      </c>
      <c r="G1170" s="11" t="str">
        <f t="shared" si="1"/>
        <v>18:40:00</v>
      </c>
      <c r="H1170" s="10">
        <f>IFERROR(__xludf.DUMMYFUNCTION("SPLIT(D1170,""T"")"),42214.0)</f>
        <v>42214</v>
      </c>
      <c r="I1170" s="4" t="str">
        <f>IFERROR(__xludf.DUMMYFUNCTION("""COMPUTED_VALUE"""),"16:30:00Z")</f>
        <v>16:30:00Z</v>
      </c>
      <c r="J1170" s="4" t="str">
        <f t="shared" si="2"/>
        <v>16:30:00</v>
      </c>
      <c r="K1170" s="4">
        <f t="shared" si="3"/>
        <v>2</v>
      </c>
      <c r="L1170" s="4">
        <f t="shared" si="4"/>
        <v>0.09027777778</v>
      </c>
      <c r="M1170" s="4">
        <f t="shared" si="5"/>
        <v>2.090277778</v>
      </c>
    </row>
    <row r="1171">
      <c r="A1171" s="4" t="s">
        <v>130</v>
      </c>
      <c r="B1171" s="4" t="s">
        <v>1188</v>
      </c>
      <c r="C1171" s="4" t="s">
        <v>758</v>
      </c>
      <c r="D1171" s="4" t="s">
        <v>1189</v>
      </c>
      <c r="E1171" s="10">
        <f>IFERROR(__xludf.DUMMYFUNCTION("SPLIT(B1171,""T"")"),42190.0)</f>
        <v>42190</v>
      </c>
      <c r="F1171" s="4" t="str">
        <f>IFERROR(__xludf.DUMMYFUNCTION("""COMPUTED_VALUE"""),"11:30:00Z")</f>
        <v>11:30:00Z</v>
      </c>
      <c r="G1171" s="11" t="str">
        <f t="shared" si="1"/>
        <v>11:30:00</v>
      </c>
      <c r="H1171" s="10">
        <f>IFERROR(__xludf.DUMMYFUNCTION("SPLIT(D1171,""T"")"),42188.0)</f>
        <v>42188</v>
      </c>
      <c r="I1171" s="4" t="str">
        <f>IFERROR(__xludf.DUMMYFUNCTION("""COMPUTED_VALUE"""),"09:28:00Z")</f>
        <v>09:28:00Z</v>
      </c>
      <c r="J1171" s="4" t="str">
        <f t="shared" si="2"/>
        <v>09:28:00</v>
      </c>
      <c r="K1171" s="4">
        <f t="shared" si="3"/>
        <v>2</v>
      </c>
      <c r="L1171" s="4">
        <f t="shared" si="4"/>
        <v>0.08472222222</v>
      </c>
      <c r="M1171" s="4">
        <f t="shared" si="5"/>
        <v>2.084722222</v>
      </c>
    </row>
    <row r="1172">
      <c r="A1172" s="4" t="s">
        <v>23</v>
      </c>
      <c r="B1172" s="4" t="s">
        <v>304</v>
      </c>
      <c r="C1172" s="4" t="s">
        <v>305</v>
      </c>
      <c r="D1172" s="4" t="s">
        <v>306</v>
      </c>
      <c r="E1172" s="10">
        <f>IFERROR(__xludf.DUMMYFUNCTION("SPLIT(B1172,""T"")"),41497.0)</f>
        <v>41497</v>
      </c>
      <c r="F1172" s="4" t="str">
        <f>IFERROR(__xludf.DUMMYFUNCTION("""COMPUTED_VALUE"""),"19:15:00Z")</f>
        <v>19:15:00Z</v>
      </c>
      <c r="G1172" s="11" t="str">
        <f t="shared" si="1"/>
        <v>19:15:00</v>
      </c>
      <c r="H1172" s="10">
        <f>IFERROR(__xludf.DUMMYFUNCTION("SPLIT(D1172,""T"")"),41495.0)</f>
        <v>41495</v>
      </c>
      <c r="I1172" s="4" t="str">
        <f>IFERROR(__xludf.DUMMYFUNCTION("""COMPUTED_VALUE"""),"17:15:00Z")</f>
        <v>17:15:00Z</v>
      </c>
      <c r="J1172" s="4" t="str">
        <f t="shared" si="2"/>
        <v>17:15:00</v>
      </c>
      <c r="K1172" s="4">
        <f t="shared" si="3"/>
        <v>2</v>
      </c>
      <c r="L1172" s="4">
        <f t="shared" si="4"/>
        <v>0.08333333333</v>
      </c>
      <c r="M1172" s="4">
        <f t="shared" si="5"/>
        <v>2.083333333</v>
      </c>
    </row>
    <row r="1173">
      <c r="A1173" s="4" t="s">
        <v>46</v>
      </c>
      <c r="B1173" s="4" t="s">
        <v>1108</v>
      </c>
      <c r="C1173" s="4" t="s">
        <v>1109</v>
      </c>
      <c r="D1173" s="4" t="s">
        <v>1110</v>
      </c>
      <c r="E1173" s="10">
        <f>IFERROR(__xludf.DUMMYFUNCTION("SPLIT(B1173,""T"")"),42238.0)</f>
        <v>42238</v>
      </c>
      <c r="F1173" s="4" t="str">
        <f>IFERROR(__xludf.DUMMYFUNCTION("""COMPUTED_VALUE"""),"18:00:00Z")</f>
        <v>18:00:00Z</v>
      </c>
      <c r="G1173" s="11" t="str">
        <f t="shared" si="1"/>
        <v>18:00:00</v>
      </c>
      <c r="H1173" s="10">
        <f>IFERROR(__xludf.DUMMYFUNCTION("SPLIT(D1173,""T"")"),42236.0)</f>
        <v>42236</v>
      </c>
      <c r="I1173" s="4" t="str">
        <f>IFERROR(__xludf.DUMMYFUNCTION("""COMPUTED_VALUE"""),"16:00:00Z")</f>
        <v>16:00:00Z</v>
      </c>
      <c r="J1173" s="4" t="str">
        <f t="shared" si="2"/>
        <v>16:00:00</v>
      </c>
      <c r="K1173" s="4">
        <f t="shared" si="3"/>
        <v>2</v>
      </c>
      <c r="L1173" s="4">
        <f t="shared" si="4"/>
        <v>0.08333333333</v>
      </c>
      <c r="M1173" s="4">
        <f t="shared" si="5"/>
        <v>2.083333333</v>
      </c>
    </row>
    <row r="1174">
      <c r="A1174" s="4" t="s">
        <v>166</v>
      </c>
      <c r="B1174" s="4" t="s">
        <v>1579</v>
      </c>
      <c r="C1174" s="4" t="s">
        <v>329</v>
      </c>
      <c r="D1174" s="4" t="s">
        <v>1580</v>
      </c>
      <c r="E1174" s="10">
        <f>IFERROR(__xludf.DUMMYFUNCTION("SPLIT(B1174,""T"")"),42655.0)</f>
        <v>42655</v>
      </c>
      <c r="F1174" s="4" t="str">
        <f>IFERROR(__xludf.DUMMYFUNCTION("""COMPUTED_VALUE"""),"18:00:00Z")</f>
        <v>18:00:00Z</v>
      </c>
      <c r="G1174" s="11" t="str">
        <f t="shared" si="1"/>
        <v>18:00:00</v>
      </c>
      <c r="H1174" s="10">
        <f>IFERROR(__xludf.DUMMYFUNCTION("SPLIT(D1174,""T"")"),42653.0)</f>
        <v>42653</v>
      </c>
      <c r="I1174" s="4" t="str">
        <f>IFERROR(__xludf.DUMMYFUNCTION("""COMPUTED_VALUE"""),"16:13:00Z")</f>
        <v>16:13:00Z</v>
      </c>
      <c r="J1174" s="4" t="str">
        <f t="shared" si="2"/>
        <v>16:13:00</v>
      </c>
      <c r="K1174" s="4">
        <f t="shared" si="3"/>
        <v>2</v>
      </c>
      <c r="L1174" s="4">
        <f t="shared" si="4"/>
        <v>0.07430555556</v>
      </c>
      <c r="M1174" s="4">
        <f t="shared" si="5"/>
        <v>2.074305556</v>
      </c>
    </row>
    <row r="1175">
      <c r="A1175" s="4" t="s">
        <v>114</v>
      </c>
      <c r="B1175" s="4" t="s">
        <v>1571</v>
      </c>
      <c r="C1175" s="4" t="s">
        <v>1572</v>
      </c>
      <c r="D1175" s="4" t="s">
        <v>1573</v>
      </c>
      <c r="E1175" s="10">
        <f>IFERROR(__xludf.DUMMYFUNCTION("SPLIT(B1175,""T"")"),42541.0)</f>
        <v>42541</v>
      </c>
      <c r="F1175" s="4" t="str">
        <f>IFERROR(__xludf.DUMMYFUNCTION("""COMPUTED_VALUE"""),"18:15:00Z")</f>
        <v>18:15:00Z</v>
      </c>
      <c r="G1175" s="11" t="str">
        <f t="shared" si="1"/>
        <v>18:15:00</v>
      </c>
      <c r="H1175" s="10">
        <f>IFERROR(__xludf.DUMMYFUNCTION("SPLIT(D1175,""T"")"),42539.0)</f>
        <v>42539</v>
      </c>
      <c r="I1175" s="4" t="str">
        <f>IFERROR(__xludf.DUMMYFUNCTION("""COMPUTED_VALUE"""),"16:47:00Z")</f>
        <v>16:47:00Z</v>
      </c>
      <c r="J1175" s="4" t="str">
        <f t="shared" si="2"/>
        <v>16:47:00</v>
      </c>
      <c r="K1175" s="4">
        <f t="shared" si="3"/>
        <v>2</v>
      </c>
      <c r="L1175" s="4">
        <f t="shared" si="4"/>
        <v>0.06111111111</v>
      </c>
      <c r="M1175" s="4">
        <f t="shared" si="5"/>
        <v>2.061111111</v>
      </c>
    </row>
    <row r="1176">
      <c r="A1176" s="4" t="s">
        <v>114</v>
      </c>
      <c r="B1176" s="4" t="s">
        <v>646</v>
      </c>
      <c r="C1176" s="4" t="s">
        <v>647</v>
      </c>
      <c r="D1176" s="4" t="s">
        <v>648</v>
      </c>
      <c r="E1176" s="10">
        <f>IFERROR(__xludf.DUMMYFUNCTION("SPLIT(B1176,""T"")"),41719.0)</f>
        <v>41719</v>
      </c>
      <c r="F1176" s="4" t="str">
        <f>IFERROR(__xludf.DUMMYFUNCTION("""COMPUTED_VALUE"""),"18:00:00Z")</f>
        <v>18:00:00Z</v>
      </c>
      <c r="G1176" s="11" t="str">
        <f t="shared" si="1"/>
        <v>18:00:00</v>
      </c>
      <c r="H1176" s="10">
        <f>IFERROR(__xludf.DUMMYFUNCTION("SPLIT(D1176,""T"")"),41717.0)</f>
        <v>41717</v>
      </c>
      <c r="I1176" s="4" t="str">
        <f>IFERROR(__xludf.DUMMYFUNCTION("""COMPUTED_VALUE"""),"16:45:00Z")</f>
        <v>16:45:00Z</v>
      </c>
      <c r="J1176" s="4" t="str">
        <f t="shared" si="2"/>
        <v>16:45:00</v>
      </c>
      <c r="K1176" s="4">
        <f t="shared" si="3"/>
        <v>2</v>
      </c>
      <c r="L1176" s="4">
        <f t="shared" si="4"/>
        <v>0.05208333333</v>
      </c>
      <c r="M1176" s="4">
        <f t="shared" si="5"/>
        <v>2.052083333</v>
      </c>
    </row>
    <row r="1177">
      <c r="A1177" s="4" t="s">
        <v>156</v>
      </c>
      <c r="B1177" s="4" t="s">
        <v>157</v>
      </c>
      <c r="C1177" s="4" t="s">
        <v>158</v>
      </c>
      <c r="D1177" s="4" t="s">
        <v>159</v>
      </c>
      <c r="E1177" s="10">
        <f>IFERROR(__xludf.DUMMYFUNCTION("SPLIT(B1177,""T"")"),41443.0)</f>
        <v>41443</v>
      </c>
      <c r="F1177" s="4" t="str">
        <f>IFERROR(__xludf.DUMMYFUNCTION("""COMPUTED_VALUE"""),"19:30:00Z")</f>
        <v>19:30:00Z</v>
      </c>
      <c r="G1177" s="11" t="str">
        <f t="shared" si="1"/>
        <v>19:30:00</v>
      </c>
      <c r="H1177" s="10">
        <f>IFERROR(__xludf.DUMMYFUNCTION("SPLIT(D1177,""T"")"),41441.0)</f>
        <v>41441</v>
      </c>
      <c r="I1177" s="4" t="str">
        <f>IFERROR(__xludf.DUMMYFUNCTION("""COMPUTED_VALUE"""),"18:17:00Z")</f>
        <v>18:17:00Z</v>
      </c>
      <c r="J1177" s="4" t="str">
        <f t="shared" si="2"/>
        <v>18:17:00</v>
      </c>
      <c r="K1177" s="4">
        <f t="shared" si="3"/>
        <v>2</v>
      </c>
      <c r="L1177" s="4">
        <f t="shared" si="4"/>
        <v>0.05069444444</v>
      </c>
      <c r="M1177" s="4">
        <f t="shared" si="5"/>
        <v>2.050694444</v>
      </c>
    </row>
    <row r="1178">
      <c r="A1178" s="4" t="s">
        <v>630</v>
      </c>
      <c r="B1178" s="4" t="s">
        <v>1185</v>
      </c>
      <c r="C1178" s="4" t="s">
        <v>1186</v>
      </c>
      <c r="D1178" s="4" t="s">
        <v>1187</v>
      </c>
      <c r="E1178" s="10">
        <f>IFERROR(__xludf.DUMMYFUNCTION("SPLIT(B1178,""T"")"),42257.0)</f>
        <v>42257</v>
      </c>
      <c r="F1178" s="4" t="str">
        <f>IFERROR(__xludf.DUMMYFUNCTION("""COMPUTED_VALUE"""),"17:05:00Z")</f>
        <v>17:05:00Z</v>
      </c>
      <c r="G1178" s="11" t="str">
        <f t="shared" si="1"/>
        <v>17:05:00</v>
      </c>
      <c r="H1178" s="10">
        <f>IFERROR(__xludf.DUMMYFUNCTION("SPLIT(D1178,""T"")"),42255.0)</f>
        <v>42255</v>
      </c>
      <c r="I1178" s="4" t="str">
        <f>IFERROR(__xludf.DUMMYFUNCTION("""COMPUTED_VALUE"""),"15:56:00Z")</f>
        <v>15:56:00Z</v>
      </c>
      <c r="J1178" s="4" t="str">
        <f t="shared" si="2"/>
        <v>15:56:00</v>
      </c>
      <c r="K1178" s="4">
        <f t="shared" si="3"/>
        <v>2</v>
      </c>
      <c r="L1178" s="4">
        <f t="shared" si="4"/>
        <v>0.04791666667</v>
      </c>
      <c r="M1178" s="4">
        <f t="shared" si="5"/>
        <v>2.047916667</v>
      </c>
    </row>
    <row r="1179">
      <c r="A1179" s="4" t="s">
        <v>149</v>
      </c>
      <c r="B1179" s="4" t="s">
        <v>150</v>
      </c>
      <c r="C1179" s="4" t="s">
        <v>151</v>
      </c>
      <c r="D1179" s="4" t="s">
        <v>152</v>
      </c>
      <c r="E1179" s="10">
        <f>IFERROR(__xludf.DUMMYFUNCTION("SPLIT(B1179,""T"")"),41428.0)</f>
        <v>41428</v>
      </c>
      <c r="F1179" s="4" t="str">
        <f>IFERROR(__xludf.DUMMYFUNCTION("""COMPUTED_VALUE"""),"18:30:00Z")</f>
        <v>18:30:00Z</v>
      </c>
      <c r="G1179" s="11" t="str">
        <f t="shared" si="1"/>
        <v>18:30:00</v>
      </c>
      <c r="H1179" s="10">
        <f>IFERROR(__xludf.DUMMYFUNCTION("SPLIT(D1179,""T"")"),41426.0)</f>
        <v>41426</v>
      </c>
      <c r="I1179" s="4" t="str">
        <f>IFERROR(__xludf.DUMMYFUNCTION("""COMPUTED_VALUE"""),"17:27:00Z")</f>
        <v>17:27:00Z</v>
      </c>
      <c r="J1179" s="4" t="str">
        <f t="shared" si="2"/>
        <v>17:27:00</v>
      </c>
      <c r="K1179" s="4">
        <f t="shared" si="3"/>
        <v>2</v>
      </c>
      <c r="L1179" s="4">
        <f t="shared" si="4"/>
        <v>0.04375</v>
      </c>
      <c r="M1179" s="4">
        <f t="shared" si="5"/>
        <v>2.04375</v>
      </c>
    </row>
    <row r="1180">
      <c r="A1180" s="4" t="s">
        <v>156</v>
      </c>
      <c r="B1180" s="4" t="s">
        <v>1640</v>
      </c>
      <c r="C1180" s="4" t="s">
        <v>1142</v>
      </c>
      <c r="D1180" s="4" t="s">
        <v>1641</v>
      </c>
      <c r="E1180" s="10">
        <f>IFERROR(__xludf.DUMMYFUNCTION("SPLIT(B1180,""T"")"),42582.0)</f>
        <v>42582</v>
      </c>
      <c r="F1180" s="4" t="str">
        <f>IFERROR(__xludf.DUMMYFUNCTION("""COMPUTED_VALUE"""),"18:55:00Z")</f>
        <v>18:55:00Z</v>
      </c>
      <c r="G1180" s="11" t="str">
        <f t="shared" si="1"/>
        <v>18:55:00</v>
      </c>
      <c r="H1180" s="10">
        <f>IFERROR(__xludf.DUMMYFUNCTION("SPLIT(D1180,""T"")"),42580.0)</f>
        <v>42580</v>
      </c>
      <c r="I1180" s="4" t="str">
        <f>IFERROR(__xludf.DUMMYFUNCTION("""COMPUTED_VALUE"""),"17:55:00Z")</f>
        <v>17:55:00Z</v>
      </c>
      <c r="J1180" s="4" t="str">
        <f t="shared" si="2"/>
        <v>17:55:00</v>
      </c>
      <c r="K1180" s="4">
        <f t="shared" si="3"/>
        <v>2</v>
      </c>
      <c r="L1180" s="4">
        <f t="shared" si="4"/>
        <v>0.04166666667</v>
      </c>
      <c r="M1180" s="4">
        <f t="shared" si="5"/>
        <v>2.041666667</v>
      </c>
    </row>
    <row r="1181">
      <c r="A1181" s="4" t="s">
        <v>62</v>
      </c>
      <c r="B1181" s="4" t="s">
        <v>1007</v>
      </c>
      <c r="C1181" s="4" t="s">
        <v>1008</v>
      </c>
      <c r="D1181" s="4" t="s">
        <v>1009</v>
      </c>
      <c r="E1181" s="10">
        <f>IFERROR(__xludf.DUMMYFUNCTION("SPLIT(B1181,""T"")"),42174.0)</f>
        <v>42174</v>
      </c>
      <c r="F1181" s="4" t="str">
        <f>IFERROR(__xludf.DUMMYFUNCTION("""COMPUTED_VALUE"""),"17:45:00Z")</f>
        <v>17:45:00Z</v>
      </c>
      <c r="G1181" s="11" t="str">
        <f t="shared" si="1"/>
        <v>17:45:00</v>
      </c>
      <c r="H1181" s="10">
        <f>IFERROR(__xludf.DUMMYFUNCTION("SPLIT(D1181,""T"")"),42172.0)</f>
        <v>42172</v>
      </c>
      <c r="I1181" s="4" t="str">
        <f>IFERROR(__xludf.DUMMYFUNCTION("""COMPUTED_VALUE"""),"17:03:00Z")</f>
        <v>17:03:00Z</v>
      </c>
      <c r="J1181" s="4" t="str">
        <f t="shared" si="2"/>
        <v>17:03:00</v>
      </c>
      <c r="K1181" s="4">
        <f t="shared" si="3"/>
        <v>2</v>
      </c>
      <c r="L1181" s="4">
        <f t="shared" si="4"/>
        <v>0.02916666667</v>
      </c>
      <c r="M1181" s="4">
        <f t="shared" si="5"/>
        <v>2.029166667</v>
      </c>
    </row>
    <row r="1182">
      <c r="A1182" s="4" t="s">
        <v>260</v>
      </c>
      <c r="B1182" s="4" t="s">
        <v>1494</v>
      </c>
      <c r="C1182" s="4" t="s">
        <v>1495</v>
      </c>
      <c r="D1182" s="4" t="s">
        <v>1496</v>
      </c>
      <c r="E1182" s="10">
        <f>IFERROR(__xludf.DUMMYFUNCTION("SPLIT(B1182,""T"")"),42530.0)</f>
        <v>42530</v>
      </c>
      <c r="F1182" s="4" t="str">
        <f>IFERROR(__xludf.DUMMYFUNCTION("""COMPUTED_VALUE"""),"17:10:00Z")</f>
        <v>17:10:00Z</v>
      </c>
      <c r="G1182" s="11" t="str">
        <f t="shared" si="1"/>
        <v>17:10:00</v>
      </c>
      <c r="H1182" s="10">
        <f>IFERROR(__xludf.DUMMYFUNCTION("SPLIT(D1182,""T"")"),42528.0)</f>
        <v>42528</v>
      </c>
      <c r="I1182" s="4" t="str">
        <f>IFERROR(__xludf.DUMMYFUNCTION("""COMPUTED_VALUE"""),"16:30:00Z")</f>
        <v>16:30:00Z</v>
      </c>
      <c r="J1182" s="4" t="str">
        <f t="shared" si="2"/>
        <v>16:30:00</v>
      </c>
      <c r="K1182" s="4">
        <f t="shared" si="3"/>
        <v>2</v>
      </c>
      <c r="L1182" s="4">
        <f t="shared" si="4"/>
        <v>0.02777777778</v>
      </c>
      <c r="M1182" s="4">
        <f t="shared" si="5"/>
        <v>2.027777778</v>
      </c>
    </row>
    <row r="1183">
      <c r="A1183" s="4" t="s">
        <v>114</v>
      </c>
      <c r="B1183" s="4" t="s">
        <v>3266</v>
      </c>
      <c r="C1183" s="4" t="s">
        <v>3267</v>
      </c>
      <c r="D1183" s="4" t="s">
        <v>3268</v>
      </c>
      <c r="E1183" s="10">
        <f>IFERROR(__xludf.DUMMYFUNCTION("SPLIT(B1183,""T"")"),43749.0)</f>
        <v>43749</v>
      </c>
      <c r="F1183" s="4" t="str">
        <f>IFERROR(__xludf.DUMMYFUNCTION("""COMPUTED_VALUE"""),"07:30:00Z")</f>
        <v>07:30:00Z</v>
      </c>
      <c r="G1183" s="11" t="str">
        <f t="shared" si="1"/>
        <v>07:30:00</v>
      </c>
      <c r="H1183" s="10">
        <f>IFERROR(__xludf.DUMMYFUNCTION("SPLIT(D1183,""T"")"),43747.0)</f>
        <v>43747</v>
      </c>
      <c r="I1183" s="4" t="str">
        <f>IFERROR(__xludf.DUMMYFUNCTION("""COMPUTED_VALUE"""),"06:52:14Z")</f>
        <v>06:52:14Z</v>
      </c>
      <c r="J1183" s="4" t="str">
        <f t="shared" si="2"/>
        <v>06:52:14</v>
      </c>
      <c r="K1183" s="4">
        <f t="shared" si="3"/>
        <v>2</v>
      </c>
      <c r="L1183" s="4">
        <f t="shared" si="4"/>
        <v>0.02622685185</v>
      </c>
      <c r="M1183" s="4">
        <f t="shared" si="5"/>
        <v>2.026226852</v>
      </c>
    </row>
    <row r="1184">
      <c r="A1184" s="4" t="s">
        <v>149</v>
      </c>
      <c r="B1184" s="4" t="s">
        <v>3266</v>
      </c>
      <c r="C1184" s="4" t="s">
        <v>3267</v>
      </c>
      <c r="D1184" s="4" t="s">
        <v>3268</v>
      </c>
      <c r="E1184" s="10">
        <f>IFERROR(__xludf.DUMMYFUNCTION("SPLIT(B1184,""T"")"),43749.0)</f>
        <v>43749</v>
      </c>
      <c r="F1184" s="4" t="str">
        <f>IFERROR(__xludf.DUMMYFUNCTION("""COMPUTED_VALUE"""),"07:30:00Z")</f>
        <v>07:30:00Z</v>
      </c>
      <c r="G1184" s="11" t="str">
        <f t="shared" si="1"/>
        <v>07:30:00</v>
      </c>
      <c r="H1184" s="10">
        <f>IFERROR(__xludf.DUMMYFUNCTION("SPLIT(D1184,""T"")"),43747.0)</f>
        <v>43747</v>
      </c>
      <c r="I1184" s="4" t="str">
        <f>IFERROR(__xludf.DUMMYFUNCTION("""COMPUTED_VALUE"""),"06:52:14Z")</f>
        <v>06:52:14Z</v>
      </c>
      <c r="J1184" s="4" t="str">
        <f t="shared" si="2"/>
        <v>06:52:14</v>
      </c>
      <c r="K1184" s="4">
        <f t="shared" si="3"/>
        <v>2</v>
      </c>
      <c r="L1184" s="4">
        <f t="shared" si="4"/>
        <v>0.02622685185</v>
      </c>
      <c r="M1184" s="4">
        <f t="shared" si="5"/>
        <v>2.026226852</v>
      </c>
    </row>
    <row r="1185">
      <c r="A1185" s="4" t="s">
        <v>62</v>
      </c>
      <c r="B1185" s="4" t="s">
        <v>1519</v>
      </c>
      <c r="C1185" s="4" t="s">
        <v>1520</v>
      </c>
      <c r="D1185" s="4" t="s">
        <v>1521</v>
      </c>
      <c r="E1185" s="10">
        <f>IFERROR(__xludf.DUMMYFUNCTION("SPLIT(B1185,""T"")"),42571.0)</f>
        <v>42571</v>
      </c>
      <c r="F1185" s="4" t="str">
        <f>IFERROR(__xludf.DUMMYFUNCTION("""COMPUTED_VALUE"""),"13:45:00Z")</f>
        <v>13:45:00Z</v>
      </c>
      <c r="G1185" s="11" t="str">
        <f t="shared" si="1"/>
        <v>13:45:00</v>
      </c>
      <c r="H1185" s="10">
        <f>IFERROR(__xludf.DUMMYFUNCTION("SPLIT(D1185,""T"")"),42569.0)</f>
        <v>42569</v>
      </c>
      <c r="I1185" s="4" t="str">
        <f>IFERROR(__xludf.DUMMYFUNCTION("""COMPUTED_VALUE"""),"13:08:00Z")</f>
        <v>13:08:00Z</v>
      </c>
      <c r="J1185" s="4" t="str">
        <f t="shared" si="2"/>
        <v>13:08:00</v>
      </c>
      <c r="K1185" s="4">
        <f t="shared" si="3"/>
        <v>2</v>
      </c>
      <c r="L1185" s="4">
        <f t="shared" si="4"/>
        <v>0.02569444444</v>
      </c>
      <c r="M1185" s="4">
        <f t="shared" si="5"/>
        <v>2.025694444</v>
      </c>
    </row>
    <row r="1186">
      <c r="A1186" s="4" t="s">
        <v>186</v>
      </c>
      <c r="B1186" s="4" t="s">
        <v>141</v>
      </c>
      <c r="C1186" s="4" t="s">
        <v>374</v>
      </c>
      <c r="D1186" s="4" t="s">
        <v>375</v>
      </c>
      <c r="E1186" s="10">
        <f>IFERROR(__xludf.DUMMYFUNCTION("SPLIT(B1186,""T"")"),41504.0)</f>
        <v>41504</v>
      </c>
      <c r="F1186" s="4" t="str">
        <f>IFERROR(__xludf.DUMMYFUNCTION("""COMPUTED_VALUE"""),"18:30:00Z")</f>
        <v>18:30:00Z</v>
      </c>
      <c r="G1186" s="11" t="str">
        <f t="shared" si="1"/>
        <v>18:30:00</v>
      </c>
      <c r="H1186" s="10">
        <f>IFERROR(__xludf.DUMMYFUNCTION("SPLIT(D1186,""T"")"),41502.0)</f>
        <v>41502</v>
      </c>
      <c r="I1186" s="4" t="str">
        <f>IFERROR(__xludf.DUMMYFUNCTION("""COMPUTED_VALUE"""),"17:57:00Z")</f>
        <v>17:57:00Z</v>
      </c>
      <c r="J1186" s="4" t="str">
        <f t="shared" si="2"/>
        <v>17:57:00</v>
      </c>
      <c r="K1186" s="4">
        <f t="shared" si="3"/>
        <v>2</v>
      </c>
      <c r="L1186" s="4">
        <f t="shared" si="4"/>
        <v>0.02291666667</v>
      </c>
      <c r="M1186" s="4">
        <f t="shared" si="5"/>
        <v>2.022916667</v>
      </c>
    </row>
    <row r="1187">
      <c r="A1187" s="4" t="s">
        <v>50</v>
      </c>
      <c r="B1187" s="4" t="s">
        <v>51</v>
      </c>
      <c r="C1187" s="4" t="s">
        <v>52</v>
      </c>
      <c r="D1187" s="4" t="s">
        <v>53</v>
      </c>
      <c r="E1187" s="10">
        <f>IFERROR(__xludf.DUMMYFUNCTION("SPLIT(B1187,""T"")"),41498.0)</f>
        <v>41498</v>
      </c>
      <c r="F1187" s="4" t="str">
        <f>IFERROR(__xludf.DUMMYFUNCTION("""COMPUTED_VALUE"""),"12:00:00Z")</f>
        <v>12:00:00Z</v>
      </c>
      <c r="G1187" s="11" t="str">
        <f t="shared" si="1"/>
        <v>12:00:00</v>
      </c>
      <c r="H1187" s="10">
        <f>IFERROR(__xludf.DUMMYFUNCTION("SPLIT(D1187,""T"")"),41496.0)</f>
        <v>41496</v>
      </c>
      <c r="I1187" s="4" t="str">
        <f>IFERROR(__xludf.DUMMYFUNCTION("""COMPUTED_VALUE"""),"11:40:00Z")</f>
        <v>11:40:00Z</v>
      </c>
      <c r="J1187" s="4" t="str">
        <f t="shared" si="2"/>
        <v>11:40:00</v>
      </c>
      <c r="K1187" s="4">
        <f t="shared" si="3"/>
        <v>2</v>
      </c>
      <c r="L1187" s="4">
        <f t="shared" si="4"/>
        <v>0.01388888889</v>
      </c>
      <c r="M1187" s="4">
        <f t="shared" si="5"/>
        <v>2.013888889</v>
      </c>
    </row>
    <row r="1188">
      <c r="A1188" s="4" t="s">
        <v>156</v>
      </c>
      <c r="B1188" s="4" t="s">
        <v>356</v>
      </c>
      <c r="C1188" s="4" t="s">
        <v>357</v>
      </c>
      <c r="D1188" s="4" t="s">
        <v>358</v>
      </c>
      <c r="E1188" s="10">
        <f>IFERROR(__xludf.DUMMYFUNCTION("SPLIT(B1188,""T"")"),41439.0)</f>
        <v>41439</v>
      </c>
      <c r="F1188" s="4" t="str">
        <f>IFERROR(__xludf.DUMMYFUNCTION("""COMPUTED_VALUE"""),"16:30:00Z")</f>
        <v>16:30:00Z</v>
      </c>
      <c r="G1188" s="11" t="str">
        <f t="shared" si="1"/>
        <v>16:30:00</v>
      </c>
      <c r="H1188" s="10">
        <f>IFERROR(__xludf.DUMMYFUNCTION("SPLIT(D1188,""T"")"),41437.0)</f>
        <v>41437</v>
      </c>
      <c r="I1188" s="4" t="str">
        <f>IFERROR(__xludf.DUMMYFUNCTION("""COMPUTED_VALUE"""),"16:40:00Z")</f>
        <v>16:40:00Z</v>
      </c>
      <c r="J1188" s="4" t="str">
        <f t="shared" si="2"/>
        <v>16:40:00</v>
      </c>
      <c r="K1188" s="4">
        <f t="shared" si="3"/>
        <v>2</v>
      </c>
      <c r="L1188" s="4">
        <f t="shared" si="4"/>
        <v>-0.006944444444</v>
      </c>
      <c r="M1188" s="4">
        <f t="shared" si="5"/>
        <v>1.993055556</v>
      </c>
    </row>
    <row r="1189">
      <c r="A1189" s="4" t="s">
        <v>62</v>
      </c>
      <c r="B1189" s="4" t="s">
        <v>1682</v>
      </c>
      <c r="C1189" s="4" t="s">
        <v>1683</v>
      </c>
      <c r="D1189" s="4" t="s">
        <v>1684</v>
      </c>
      <c r="E1189" s="10">
        <f>IFERROR(__xludf.DUMMYFUNCTION("SPLIT(B1189,""T"")"),42575.0)</f>
        <v>42575</v>
      </c>
      <c r="F1189" s="4" t="str">
        <f>IFERROR(__xludf.DUMMYFUNCTION("""COMPUTED_VALUE"""),"14:30:00Z")</f>
        <v>14:30:00Z</v>
      </c>
      <c r="G1189" s="11" t="str">
        <f t="shared" si="1"/>
        <v>14:30:00</v>
      </c>
      <c r="H1189" s="10">
        <f>IFERROR(__xludf.DUMMYFUNCTION("SPLIT(D1189,""T"")"),42573.0)</f>
        <v>42573</v>
      </c>
      <c r="I1189" s="4" t="str">
        <f>IFERROR(__xludf.DUMMYFUNCTION("""COMPUTED_VALUE"""),"14:47:00Z")</f>
        <v>14:47:00Z</v>
      </c>
      <c r="J1189" s="4" t="str">
        <f t="shared" si="2"/>
        <v>14:47:00</v>
      </c>
      <c r="K1189" s="4">
        <f t="shared" si="3"/>
        <v>2</v>
      </c>
      <c r="L1189" s="4">
        <f t="shared" si="4"/>
        <v>-0.01180555556</v>
      </c>
      <c r="M1189" s="4">
        <f t="shared" si="5"/>
        <v>1.988194444</v>
      </c>
    </row>
    <row r="1190">
      <c r="A1190" s="4" t="s">
        <v>630</v>
      </c>
      <c r="B1190" s="4" t="s">
        <v>1251</v>
      </c>
      <c r="C1190" s="4" t="s">
        <v>1252</v>
      </c>
      <c r="D1190" s="4" t="s">
        <v>862</v>
      </c>
      <c r="E1190" s="10">
        <f>IFERROR(__xludf.DUMMYFUNCTION("SPLIT(B1190,""T"")"),42217.0)</f>
        <v>42217</v>
      </c>
      <c r="F1190" s="4" t="str">
        <f>IFERROR(__xludf.DUMMYFUNCTION("""COMPUTED_VALUE"""),"15:25:00Z")</f>
        <v>15:25:00Z</v>
      </c>
      <c r="G1190" s="11" t="str">
        <f t="shared" si="1"/>
        <v>15:25:00</v>
      </c>
      <c r="H1190" s="10">
        <f>IFERROR(__xludf.DUMMYFUNCTION("SPLIT(D1190,""T"")"),42215.0)</f>
        <v>42215</v>
      </c>
      <c r="I1190" s="4" t="str">
        <f>IFERROR(__xludf.DUMMYFUNCTION("""COMPUTED_VALUE"""),"16:00:00Z")</f>
        <v>16:00:00Z</v>
      </c>
      <c r="J1190" s="4" t="str">
        <f t="shared" si="2"/>
        <v>16:00:00</v>
      </c>
      <c r="K1190" s="4">
        <f t="shared" si="3"/>
        <v>2</v>
      </c>
      <c r="L1190" s="4">
        <f t="shared" si="4"/>
        <v>-0.02430555556</v>
      </c>
      <c r="M1190" s="4">
        <f t="shared" si="5"/>
        <v>1.975694444</v>
      </c>
    </row>
    <row r="1191">
      <c r="A1191" s="4" t="s">
        <v>27</v>
      </c>
      <c r="B1191" s="4" t="s">
        <v>3274</v>
      </c>
      <c r="C1191" s="4" t="s">
        <v>3275</v>
      </c>
      <c r="D1191" s="4" t="s">
        <v>3276</v>
      </c>
      <c r="E1191" s="10">
        <f>IFERROR(__xludf.DUMMYFUNCTION("SPLIT(B1191,""T"")"),43750.0)</f>
        <v>43750</v>
      </c>
      <c r="F1191" s="4" t="str">
        <f>IFERROR(__xludf.DUMMYFUNCTION("""COMPUTED_VALUE"""),"17:22:00Z")</f>
        <v>17:22:00Z</v>
      </c>
      <c r="G1191" s="11" t="str">
        <f t="shared" si="1"/>
        <v>17:22:00</v>
      </c>
      <c r="H1191" s="10">
        <f>IFERROR(__xludf.DUMMYFUNCTION("SPLIT(D1191,""T"")"),43748.0)</f>
        <v>43748</v>
      </c>
      <c r="I1191" s="4" t="str">
        <f>IFERROR(__xludf.DUMMYFUNCTION("""COMPUTED_VALUE"""),"18:36:46Z")</f>
        <v>18:36:46Z</v>
      </c>
      <c r="J1191" s="4" t="str">
        <f t="shared" si="2"/>
        <v>18:36:46</v>
      </c>
      <c r="K1191" s="4">
        <f t="shared" si="3"/>
        <v>2</v>
      </c>
      <c r="L1191" s="4">
        <f t="shared" si="4"/>
        <v>-0.0519212963</v>
      </c>
      <c r="M1191" s="4">
        <f t="shared" si="5"/>
        <v>1.948078704</v>
      </c>
    </row>
    <row r="1192">
      <c r="A1192" s="4" t="s">
        <v>35</v>
      </c>
      <c r="B1192" s="4" t="s">
        <v>1550</v>
      </c>
      <c r="C1192" s="4" t="s">
        <v>1564</v>
      </c>
      <c r="D1192" s="4" t="s">
        <v>1565</v>
      </c>
      <c r="E1192" s="10">
        <f>IFERROR(__xludf.DUMMYFUNCTION("SPLIT(B1192,""T"")"),42566.0)</f>
        <v>42566</v>
      </c>
      <c r="F1192" s="4" t="str">
        <f>IFERROR(__xludf.DUMMYFUNCTION("""COMPUTED_VALUE"""),"14:00:00Z")</f>
        <v>14:00:00Z</v>
      </c>
      <c r="G1192" s="11" t="str">
        <f t="shared" si="1"/>
        <v>14:00:00</v>
      </c>
      <c r="H1192" s="10">
        <f>IFERROR(__xludf.DUMMYFUNCTION("SPLIT(D1192,""T"")"),42564.0)</f>
        <v>42564</v>
      </c>
      <c r="I1192" s="4" t="str">
        <f>IFERROR(__xludf.DUMMYFUNCTION("""COMPUTED_VALUE"""),"15:52:00Z")</f>
        <v>15:52:00Z</v>
      </c>
      <c r="J1192" s="4" t="str">
        <f t="shared" si="2"/>
        <v>15:52:00</v>
      </c>
      <c r="K1192" s="4">
        <f t="shared" si="3"/>
        <v>2</v>
      </c>
      <c r="L1192" s="4">
        <f t="shared" si="4"/>
        <v>-0.07777777778</v>
      </c>
      <c r="M1192" s="4">
        <f t="shared" si="5"/>
        <v>1.922222222</v>
      </c>
    </row>
    <row r="1193">
      <c r="A1193" s="4" t="s">
        <v>260</v>
      </c>
      <c r="B1193" s="4" t="s">
        <v>793</v>
      </c>
      <c r="C1193" s="4" t="s">
        <v>125</v>
      </c>
      <c r="D1193" s="4" t="s">
        <v>794</v>
      </c>
      <c r="E1193" s="10">
        <f>IFERROR(__xludf.DUMMYFUNCTION("SPLIT(B1193,""T"")"),41788.0)</f>
        <v>41788</v>
      </c>
      <c r="F1193" s="4" t="str">
        <f>IFERROR(__xludf.DUMMYFUNCTION("""COMPUTED_VALUE"""),"08:45:00Z")</f>
        <v>08:45:00Z</v>
      </c>
      <c r="G1193" s="11" t="str">
        <f t="shared" si="1"/>
        <v>08:45:00</v>
      </c>
      <c r="H1193" s="10">
        <f>IFERROR(__xludf.DUMMYFUNCTION("SPLIT(D1193,""T"")"),41786.0)</f>
        <v>41786</v>
      </c>
      <c r="I1193" s="4" t="str">
        <f>IFERROR(__xludf.DUMMYFUNCTION("""COMPUTED_VALUE"""),"11:23:00Z")</f>
        <v>11:23:00Z</v>
      </c>
      <c r="J1193" s="4" t="str">
        <f t="shared" si="2"/>
        <v>11:23:00</v>
      </c>
      <c r="K1193" s="4">
        <f t="shared" si="3"/>
        <v>2</v>
      </c>
      <c r="L1193" s="4">
        <f t="shared" si="4"/>
        <v>-0.1097222222</v>
      </c>
      <c r="M1193" s="4">
        <f t="shared" si="5"/>
        <v>1.890277778</v>
      </c>
    </row>
    <row r="1194">
      <c r="A1194" s="4" t="s">
        <v>411</v>
      </c>
      <c r="B1194" s="4" t="s">
        <v>412</v>
      </c>
      <c r="C1194" s="4" t="s">
        <v>413</v>
      </c>
      <c r="D1194" s="4" t="s">
        <v>414</v>
      </c>
      <c r="E1194" s="10">
        <f>IFERROR(__xludf.DUMMYFUNCTION("SPLIT(B1194,""T"")"),41505.0)</f>
        <v>41505</v>
      </c>
      <c r="F1194" s="4" t="str">
        <f>IFERROR(__xludf.DUMMYFUNCTION("""COMPUTED_VALUE"""),"07:10:00Z")</f>
        <v>07:10:00Z</v>
      </c>
      <c r="G1194" s="11" t="str">
        <f t="shared" si="1"/>
        <v>07:10:00</v>
      </c>
      <c r="H1194" s="10">
        <f>IFERROR(__xludf.DUMMYFUNCTION("SPLIT(D1194,""T"")"),41503.0)</f>
        <v>41503</v>
      </c>
      <c r="I1194" s="4" t="str">
        <f>IFERROR(__xludf.DUMMYFUNCTION("""COMPUTED_VALUE"""),"10:11:00Z")</f>
        <v>10:11:00Z</v>
      </c>
      <c r="J1194" s="4" t="str">
        <f t="shared" si="2"/>
        <v>10:11:00</v>
      </c>
      <c r="K1194" s="4">
        <f t="shared" si="3"/>
        <v>2</v>
      </c>
      <c r="L1194" s="4">
        <f t="shared" si="4"/>
        <v>-0.1256944444</v>
      </c>
      <c r="M1194" s="4">
        <f t="shared" si="5"/>
        <v>1.874305556</v>
      </c>
    </row>
    <row r="1195">
      <c r="A1195" s="4" t="s">
        <v>101</v>
      </c>
      <c r="B1195" s="4" t="s">
        <v>1218</v>
      </c>
      <c r="C1195" s="4" t="s">
        <v>1219</v>
      </c>
      <c r="D1195" s="4" t="s">
        <v>1220</v>
      </c>
      <c r="E1195" s="10">
        <f>IFERROR(__xludf.DUMMYFUNCTION("SPLIT(B1195,""T"")"),42164.0)</f>
        <v>42164</v>
      </c>
      <c r="F1195" s="4" t="str">
        <f>IFERROR(__xludf.DUMMYFUNCTION("""COMPUTED_VALUE"""),"09:00:00Z")</f>
        <v>09:00:00Z</v>
      </c>
      <c r="G1195" s="11" t="str">
        <f t="shared" si="1"/>
        <v>09:00:00</v>
      </c>
      <c r="H1195" s="10">
        <f>IFERROR(__xludf.DUMMYFUNCTION("SPLIT(D1195,""T"")"),42162.0)</f>
        <v>42162</v>
      </c>
      <c r="I1195" s="4" t="str">
        <f>IFERROR(__xludf.DUMMYFUNCTION("""COMPUTED_VALUE"""),"12:06:00Z")</f>
        <v>12:06:00Z</v>
      </c>
      <c r="J1195" s="4" t="str">
        <f t="shared" si="2"/>
        <v>12:06:00</v>
      </c>
      <c r="K1195" s="4">
        <f t="shared" si="3"/>
        <v>2</v>
      </c>
      <c r="L1195" s="4">
        <f t="shared" si="4"/>
        <v>-0.1291666667</v>
      </c>
      <c r="M1195" s="4">
        <f t="shared" si="5"/>
        <v>1.870833333</v>
      </c>
    </row>
    <row r="1196">
      <c r="A1196" s="4" t="s">
        <v>166</v>
      </c>
      <c r="B1196" s="4" t="s">
        <v>234</v>
      </c>
      <c r="C1196" s="4" t="s">
        <v>235</v>
      </c>
      <c r="D1196" s="4" t="s">
        <v>236</v>
      </c>
      <c r="E1196" s="10">
        <f>IFERROR(__xludf.DUMMYFUNCTION("SPLIT(B1196,""T"")"),41601.0)</f>
        <v>41601</v>
      </c>
      <c r="F1196" s="4" t="str">
        <f>IFERROR(__xludf.DUMMYFUNCTION("""COMPUTED_VALUE"""),"18:30:00Z")</f>
        <v>18:30:00Z</v>
      </c>
      <c r="G1196" s="11" t="str">
        <f t="shared" si="1"/>
        <v>18:30:00</v>
      </c>
      <c r="H1196" s="10">
        <f>IFERROR(__xludf.DUMMYFUNCTION("SPLIT(D1196,""T"")"),41599.0)</f>
        <v>41599</v>
      </c>
      <c r="I1196" s="4" t="str">
        <f>IFERROR(__xludf.DUMMYFUNCTION("""COMPUTED_VALUE"""),"21:39:00Z")</f>
        <v>21:39:00Z</v>
      </c>
      <c r="J1196" s="4" t="str">
        <f t="shared" si="2"/>
        <v>21:39:00</v>
      </c>
      <c r="K1196" s="4">
        <f t="shared" si="3"/>
        <v>2</v>
      </c>
      <c r="L1196" s="4">
        <f t="shared" si="4"/>
        <v>-0.13125</v>
      </c>
      <c r="M1196" s="4">
        <f t="shared" si="5"/>
        <v>1.86875</v>
      </c>
    </row>
    <row r="1197">
      <c r="A1197" s="4" t="s">
        <v>35</v>
      </c>
      <c r="B1197" s="4" t="s">
        <v>1001</v>
      </c>
      <c r="C1197" s="4" t="s">
        <v>1002</v>
      </c>
      <c r="D1197" s="4" t="s">
        <v>1003</v>
      </c>
      <c r="E1197" s="10">
        <f>IFERROR(__xludf.DUMMYFUNCTION("SPLIT(B1197,""T"")"),42232.0)</f>
        <v>42232</v>
      </c>
      <c r="F1197" s="4" t="str">
        <f>IFERROR(__xludf.DUMMYFUNCTION("""COMPUTED_VALUE"""),"12:00:00Z")</f>
        <v>12:00:00Z</v>
      </c>
      <c r="G1197" s="11" t="str">
        <f t="shared" si="1"/>
        <v>12:00:00</v>
      </c>
      <c r="H1197" s="10">
        <f>IFERROR(__xludf.DUMMYFUNCTION("SPLIT(D1197,""T"")"),42230.0)</f>
        <v>42230</v>
      </c>
      <c r="I1197" s="4" t="str">
        <f>IFERROR(__xludf.DUMMYFUNCTION("""COMPUTED_VALUE"""),"15:22:00Z")</f>
        <v>15:22:00Z</v>
      </c>
      <c r="J1197" s="4" t="str">
        <f t="shared" si="2"/>
        <v>15:22:00</v>
      </c>
      <c r="K1197" s="4">
        <f t="shared" si="3"/>
        <v>2</v>
      </c>
      <c r="L1197" s="4">
        <f t="shared" si="4"/>
        <v>-0.1402777778</v>
      </c>
      <c r="M1197" s="4">
        <f t="shared" si="5"/>
        <v>1.859722222</v>
      </c>
    </row>
    <row r="1198">
      <c r="A1198" s="4" t="s">
        <v>145</v>
      </c>
      <c r="B1198" s="4" t="s">
        <v>146</v>
      </c>
      <c r="C1198" s="4" t="s">
        <v>147</v>
      </c>
      <c r="D1198" s="4" t="s">
        <v>148</v>
      </c>
      <c r="E1198" s="10">
        <f>IFERROR(__xludf.DUMMYFUNCTION("SPLIT(B1198,""T"")"),41460.0)</f>
        <v>41460</v>
      </c>
      <c r="F1198" s="4" t="str">
        <f>IFERROR(__xludf.DUMMYFUNCTION("""COMPUTED_VALUE"""),"18:30:00Z")</f>
        <v>18:30:00Z</v>
      </c>
      <c r="G1198" s="11" t="str">
        <f t="shared" si="1"/>
        <v>18:30:00</v>
      </c>
      <c r="H1198" s="10">
        <f>IFERROR(__xludf.DUMMYFUNCTION("SPLIT(D1198,""T"")"),41458.0)</f>
        <v>41458</v>
      </c>
      <c r="I1198" s="4" t="str">
        <f>IFERROR(__xludf.DUMMYFUNCTION("""COMPUTED_VALUE"""),"22:56:00Z")</f>
        <v>22:56:00Z</v>
      </c>
      <c r="J1198" s="4" t="str">
        <f t="shared" si="2"/>
        <v>22:56:00</v>
      </c>
      <c r="K1198" s="4">
        <f t="shared" si="3"/>
        <v>2</v>
      </c>
      <c r="L1198" s="4">
        <f t="shared" si="4"/>
        <v>-0.1847222222</v>
      </c>
      <c r="M1198" s="4">
        <f t="shared" si="5"/>
        <v>1.815277778</v>
      </c>
    </row>
    <row r="1199">
      <c r="A1199" s="4" t="s">
        <v>23</v>
      </c>
      <c r="B1199" s="4" t="s">
        <v>3527</v>
      </c>
      <c r="C1199" s="4" t="s">
        <v>2718</v>
      </c>
      <c r="D1199" s="4" t="s">
        <v>3528</v>
      </c>
      <c r="E1199" s="10">
        <f>IFERROR(__xludf.DUMMYFUNCTION("SPLIT(B1199,""T"")"),43682.0)</f>
        <v>43682</v>
      </c>
      <c r="F1199" s="4" t="str">
        <f>IFERROR(__xludf.DUMMYFUNCTION("""COMPUTED_VALUE"""),"12:25:00Z")</f>
        <v>12:25:00Z</v>
      </c>
      <c r="G1199" s="11" t="str">
        <f t="shared" si="1"/>
        <v>12:25:00</v>
      </c>
      <c r="H1199" s="10">
        <f>IFERROR(__xludf.DUMMYFUNCTION("SPLIT(D1199,""T"")"),43680.0)</f>
        <v>43680</v>
      </c>
      <c r="I1199" s="4" t="str">
        <f>IFERROR(__xludf.DUMMYFUNCTION("""COMPUTED_VALUE"""),"17:01:15Z")</f>
        <v>17:01:15Z</v>
      </c>
      <c r="J1199" s="4" t="str">
        <f t="shared" si="2"/>
        <v>17:01:15</v>
      </c>
      <c r="K1199" s="4">
        <f t="shared" si="3"/>
        <v>2</v>
      </c>
      <c r="L1199" s="4">
        <f t="shared" si="4"/>
        <v>-0.1918402778</v>
      </c>
      <c r="M1199" s="4">
        <f t="shared" si="5"/>
        <v>1.808159722</v>
      </c>
    </row>
    <row r="1200">
      <c r="A1200" s="4" t="s">
        <v>27</v>
      </c>
      <c r="B1200" s="4" t="s">
        <v>382</v>
      </c>
      <c r="C1200" s="4" t="s">
        <v>383</v>
      </c>
      <c r="D1200" s="4" t="s">
        <v>384</v>
      </c>
      <c r="E1200" s="10">
        <f>IFERROR(__xludf.DUMMYFUNCTION("SPLIT(B1200,""T"")"),41494.0)</f>
        <v>41494</v>
      </c>
      <c r="F1200" s="4" t="str">
        <f>IFERROR(__xludf.DUMMYFUNCTION("""COMPUTED_VALUE"""),"09:00:00Z")</f>
        <v>09:00:00Z</v>
      </c>
      <c r="G1200" s="11" t="str">
        <f t="shared" si="1"/>
        <v>09:00:00</v>
      </c>
      <c r="H1200" s="10">
        <f>IFERROR(__xludf.DUMMYFUNCTION("SPLIT(D1200,""T"")"),41492.0)</f>
        <v>41492</v>
      </c>
      <c r="I1200" s="4" t="str">
        <f>IFERROR(__xludf.DUMMYFUNCTION("""COMPUTED_VALUE"""),"13:39:00Z")</f>
        <v>13:39:00Z</v>
      </c>
      <c r="J1200" s="4" t="str">
        <f t="shared" si="2"/>
        <v>13:39:00</v>
      </c>
      <c r="K1200" s="4">
        <f t="shared" si="3"/>
        <v>2</v>
      </c>
      <c r="L1200" s="4">
        <f t="shared" si="4"/>
        <v>-0.19375</v>
      </c>
      <c r="M1200" s="4">
        <f t="shared" si="5"/>
        <v>1.80625</v>
      </c>
    </row>
    <row r="1201">
      <c r="A1201" s="4" t="s">
        <v>69</v>
      </c>
      <c r="B1201" s="4" t="s">
        <v>1408</v>
      </c>
      <c r="C1201" s="4" t="s">
        <v>1015</v>
      </c>
      <c r="D1201" s="4" t="s">
        <v>1409</v>
      </c>
      <c r="E1201" s="10">
        <f>IFERROR(__xludf.DUMMYFUNCTION("SPLIT(B1201,""T"")"),42634.0)</f>
        <v>42634</v>
      </c>
      <c r="F1201" s="4" t="str">
        <f>IFERROR(__xludf.DUMMYFUNCTION("""COMPUTED_VALUE"""),"09:30:00Z")</f>
        <v>09:30:00Z</v>
      </c>
      <c r="G1201" s="11" t="str">
        <f t="shared" si="1"/>
        <v>09:30:00</v>
      </c>
      <c r="H1201" s="10">
        <f>IFERROR(__xludf.DUMMYFUNCTION("SPLIT(D1201,""T"")"),42632.0)</f>
        <v>42632</v>
      </c>
      <c r="I1201" s="4" t="str">
        <f>IFERROR(__xludf.DUMMYFUNCTION("""COMPUTED_VALUE"""),"14:13:00Z")</f>
        <v>14:13:00Z</v>
      </c>
      <c r="J1201" s="4" t="str">
        <f t="shared" si="2"/>
        <v>14:13:00</v>
      </c>
      <c r="K1201" s="4">
        <f t="shared" si="3"/>
        <v>2</v>
      </c>
      <c r="L1201" s="4">
        <f t="shared" si="4"/>
        <v>-0.1965277778</v>
      </c>
      <c r="M1201" s="4">
        <f t="shared" si="5"/>
        <v>1.803472222</v>
      </c>
    </row>
    <row r="1202">
      <c r="A1202" s="4" t="s">
        <v>58</v>
      </c>
      <c r="B1202" s="4" t="s">
        <v>1068</v>
      </c>
      <c r="C1202" s="4" t="s">
        <v>891</v>
      </c>
      <c r="D1202" s="4" t="s">
        <v>1069</v>
      </c>
      <c r="E1202" s="10">
        <f>IFERROR(__xludf.DUMMYFUNCTION("SPLIT(B1202,""T"")"),42260.0)</f>
        <v>42260</v>
      </c>
      <c r="F1202" s="4" t="str">
        <f>IFERROR(__xludf.DUMMYFUNCTION("""COMPUTED_VALUE"""),"10:15:00Z")</f>
        <v>10:15:00Z</v>
      </c>
      <c r="G1202" s="11" t="str">
        <f t="shared" si="1"/>
        <v>10:15:00</v>
      </c>
      <c r="H1202" s="10">
        <f>IFERROR(__xludf.DUMMYFUNCTION("SPLIT(D1202,""T"")"),42258.0)</f>
        <v>42258</v>
      </c>
      <c r="I1202" s="4" t="str">
        <f>IFERROR(__xludf.DUMMYFUNCTION("""COMPUTED_VALUE"""),"15:08:00Z")</f>
        <v>15:08:00Z</v>
      </c>
      <c r="J1202" s="4" t="str">
        <f t="shared" si="2"/>
        <v>15:08:00</v>
      </c>
      <c r="K1202" s="4">
        <f t="shared" si="3"/>
        <v>2</v>
      </c>
      <c r="L1202" s="4">
        <f t="shared" si="4"/>
        <v>-0.2034722222</v>
      </c>
      <c r="M1202" s="4">
        <f t="shared" si="5"/>
        <v>1.796527778</v>
      </c>
    </row>
    <row r="1203">
      <c r="A1203" s="4" t="s">
        <v>320</v>
      </c>
      <c r="B1203" s="4" t="s">
        <v>3505</v>
      </c>
      <c r="C1203" s="4" t="s">
        <v>3506</v>
      </c>
      <c r="D1203" s="4" t="s">
        <v>3507</v>
      </c>
      <c r="E1203" s="10">
        <f>IFERROR(__xludf.DUMMYFUNCTION("SPLIT(B1203,""T"")"),43662.0)</f>
        <v>43662</v>
      </c>
      <c r="F1203" s="4" t="str">
        <f>IFERROR(__xludf.DUMMYFUNCTION("""COMPUTED_VALUE"""),"09:00:00Z")</f>
        <v>09:00:00Z</v>
      </c>
      <c r="G1203" s="11" t="str">
        <f t="shared" si="1"/>
        <v>09:00:00</v>
      </c>
      <c r="H1203" s="10">
        <f>IFERROR(__xludf.DUMMYFUNCTION("SPLIT(D1203,""T"")"),43660.0)</f>
        <v>43660</v>
      </c>
      <c r="I1203" s="4" t="str">
        <f>IFERROR(__xludf.DUMMYFUNCTION("""COMPUTED_VALUE"""),"14:02:31Z")</f>
        <v>14:02:31Z</v>
      </c>
      <c r="J1203" s="4" t="str">
        <f t="shared" si="2"/>
        <v>14:02:31</v>
      </c>
      <c r="K1203" s="4">
        <f t="shared" si="3"/>
        <v>2</v>
      </c>
      <c r="L1203" s="4">
        <f t="shared" si="4"/>
        <v>-0.2100810185</v>
      </c>
      <c r="M1203" s="4">
        <f t="shared" si="5"/>
        <v>1.789918981</v>
      </c>
    </row>
    <row r="1204">
      <c r="A1204" s="4" t="s">
        <v>134</v>
      </c>
      <c r="B1204" s="4" t="s">
        <v>359</v>
      </c>
      <c r="C1204" s="4" t="s">
        <v>360</v>
      </c>
      <c r="D1204" s="4" t="s">
        <v>361</v>
      </c>
      <c r="E1204" s="10">
        <f>IFERROR(__xludf.DUMMYFUNCTION("SPLIT(B1204,""T"")"),41409.0)</f>
        <v>41409</v>
      </c>
      <c r="F1204" s="4" t="str">
        <f>IFERROR(__xludf.DUMMYFUNCTION("""COMPUTED_VALUE"""),"08:15:00Z")</f>
        <v>08:15:00Z</v>
      </c>
      <c r="G1204" s="11" t="str">
        <f t="shared" si="1"/>
        <v>08:15:00</v>
      </c>
      <c r="H1204" s="10">
        <f>IFERROR(__xludf.DUMMYFUNCTION("SPLIT(D1204,""T"")"),41407.0)</f>
        <v>41407</v>
      </c>
      <c r="I1204" s="4" t="str">
        <f>IFERROR(__xludf.DUMMYFUNCTION("""COMPUTED_VALUE"""),"13:30:00Z")</f>
        <v>13:30:00Z</v>
      </c>
      <c r="J1204" s="4" t="str">
        <f t="shared" si="2"/>
        <v>13:30:00</v>
      </c>
      <c r="K1204" s="4">
        <f t="shared" si="3"/>
        <v>2</v>
      </c>
      <c r="L1204" s="4">
        <f t="shared" si="4"/>
        <v>-0.21875</v>
      </c>
      <c r="M1204" s="4">
        <f t="shared" si="5"/>
        <v>1.78125</v>
      </c>
    </row>
    <row r="1205">
      <c r="A1205" s="4" t="s">
        <v>62</v>
      </c>
      <c r="B1205" s="4" t="s">
        <v>3415</v>
      </c>
      <c r="C1205" s="4" t="s">
        <v>3416</v>
      </c>
      <c r="D1205" s="4" t="s">
        <v>3417</v>
      </c>
      <c r="E1205" s="10">
        <f>IFERROR(__xludf.DUMMYFUNCTION("SPLIT(B1205,""T"")"),43680.0)</f>
        <v>43680</v>
      </c>
      <c r="F1205" s="4" t="str">
        <f>IFERROR(__xludf.DUMMYFUNCTION("""COMPUTED_VALUE"""),"09:10:00Z")</f>
        <v>09:10:00Z</v>
      </c>
      <c r="G1205" s="11" t="str">
        <f t="shared" si="1"/>
        <v>09:10:00</v>
      </c>
      <c r="H1205" s="10">
        <f>IFERROR(__xludf.DUMMYFUNCTION("SPLIT(D1205,""T"")"),43678.0)</f>
        <v>43678</v>
      </c>
      <c r="I1205" s="4" t="str">
        <f>IFERROR(__xludf.DUMMYFUNCTION("""COMPUTED_VALUE"""),"14:53:15Z")</f>
        <v>14:53:15Z</v>
      </c>
      <c r="J1205" s="4" t="str">
        <f t="shared" si="2"/>
        <v>14:53:15</v>
      </c>
      <c r="K1205" s="4">
        <f t="shared" si="3"/>
        <v>2</v>
      </c>
      <c r="L1205" s="4">
        <f t="shared" si="4"/>
        <v>-0.2383680556</v>
      </c>
      <c r="M1205" s="4">
        <f t="shared" si="5"/>
        <v>1.761631944</v>
      </c>
    </row>
    <row r="1206">
      <c r="A1206" s="4" t="s">
        <v>39</v>
      </c>
      <c r="B1206" s="4" t="s">
        <v>415</v>
      </c>
      <c r="C1206" s="4" t="s">
        <v>223</v>
      </c>
      <c r="D1206" s="4" t="s">
        <v>416</v>
      </c>
      <c r="E1206" s="10">
        <f>IFERROR(__xludf.DUMMYFUNCTION("SPLIT(B1206,""T"")"),41444.0)</f>
        <v>41444</v>
      </c>
      <c r="F1206" s="4" t="str">
        <f>IFERROR(__xludf.DUMMYFUNCTION("""COMPUTED_VALUE"""),"08:45:00Z")</f>
        <v>08:45:00Z</v>
      </c>
      <c r="G1206" s="11" t="str">
        <f t="shared" si="1"/>
        <v>08:45:00</v>
      </c>
      <c r="H1206" s="10">
        <f>IFERROR(__xludf.DUMMYFUNCTION("SPLIT(D1206,""T"")"),41442.0)</f>
        <v>41442</v>
      </c>
      <c r="I1206" s="4" t="str">
        <f>IFERROR(__xludf.DUMMYFUNCTION("""COMPUTED_VALUE"""),"14:41:00Z")</f>
        <v>14:41:00Z</v>
      </c>
      <c r="J1206" s="4" t="str">
        <f t="shared" si="2"/>
        <v>14:41:00</v>
      </c>
      <c r="K1206" s="4">
        <f t="shared" si="3"/>
        <v>2</v>
      </c>
      <c r="L1206" s="4">
        <f t="shared" si="4"/>
        <v>-0.2472222222</v>
      </c>
      <c r="M1206" s="4">
        <f t="shared" si="5"/>
        <v>1.752777778</v>
      </c>
    </row>
    <row r="1207">
      <c r="A1207" s="4" t="s">
        <v>69</v>
      </c>
      <c r="B1207" s="4" t="s">
        <v>3350</v>
      </c>
      <c r="C1207" s="4" t="s">
        <v>2491</v>
      </c>
      <c r="D1207" s="4" t="s">
        <v>3351</v>
      </c>
      <c r="E1207" s="10">
        <f>IFERROR(__xludf.DUMMYFUNCTION("SPLIT(B1207,""T"")"),43594.0)</f>
        <v>43594</v>
      </c>
      <c r="F1207" s="4" t="str">
        <f>IFERROR(__xludf.DUMMYFUNCTION("""COMPUTED_VALUE"""),"09:37:00Z")</f>
        <v>09:37:00Z</v>
      </c>
      <c r="G1207" s="11" t="str">
        <f t="shared" si="1"/>
        <v>09:37:00</v>
      </c>
      <c r="H1207" s="10">
        <f>IFERROR(__xludf.DUMMYFUNCTION("SPLIT(D1207,""T"")"),43592.0)</f>
        <v>43592</v>
      </c>
      <c r="I1207" s="4" t="str">
        <f>IFERROR(__xludf.DUMMYFUNCTION("""COMPUTED_VALUE"""),"15:47:00Z")</f>
        <v>15:47:00Z</v>
      </c>
      <c r="J1207" s="4" t="str">
        <f t="shared" si="2"/>
        <v>15:47:00</v>
      </c>
      <c r="K1207" s="4">
        <f t="shared" si="3"/>
        <v>2</v>
      </c>
      <c r="L1207" s="4">
        <f t="shared" si="4"/>
        <v>-0.2569444444</v>
      </c>
      <c r="M1207" s="4">
        <f t="shared" si="5"/>
        <v>1.743055556</v>
      </c>
    </row>
    <row r="1208">
      <c r="A1208" s="4" t="s">
        <v>179</v>
      </c>
      <c r="B1208" s="4" t="s">
        <v>3436</v>
      </c>
      <c r="C1208" s="4" t="s">
        <v>3437</v>
      </c>
      <c r="D1208" s="4" t="s">
        <v>3438</v>
      </c>
      <c r="E1208" s="10">
        <f>IFERROR(__xludf.DUMMYFUNCTION("SPLIT(B1208,""T"")"),43651.0)</f>
        <v>43651</v>
      </c>
      <c r="F1208" s="4" t="str">
        <f>IFERROR(__xludf.DUMMYFUNCTION("""COMPUTED_VALUE"""),"07:50:00Z")</f>
        <v>07:50:00Z</v>
      </c>
      <c r="G1208" s="11" t="str">
        <f t="shared" si="1"/>
        <v>07:50:00</v>
      </c>
      <c r="H1208" s="10">
        <f>IFERROR(__xludf.DUMMYFUNCTION("SPLIT(D1208,""T"")"),43649.0)</f>
        <v>43649</v>
      </c>
      <c r="I1208" s="4" t="str">
        <f>IFERROR(__xludf.DUMMYFUNCTION("""COMPUTED_VALUE"""),"15:34:12Z")</f>
        <v>15:34:12Z</v>
      </c>
      <c r="J1208" s="4" t="str">
        <f t="shared" si="2"/>
        <v>15:34:12</v>
      </c>
      <c r="K1208" s="4">
        <f t="shared" si="3"/>
        <v>2</v>
      </c>
      <c r="L1208" s="4">
        <f t="shared" si="4"/>
        <v>-0.3223611111</v>
      </c>
      <c r="M1208" s="4">
        <f t="shared" si="5"/>
        <v>1.677638889</v>
      </c>
    </row>
    <row r="1209">
      <c r="A1209" s="4" t="s">
        <v>39</v>
      </c>
      <c r="B1209" s="4" t="s">
        <v>785</v>
      </c>
      <c r="C1209" s="4" t="s">
        <v>82</v>
      </c>
      <c r="D1209" s="4" t="s">
        <v>786</v>
      </c>
      <c r="E1209" s="10">
        <f>IFERROR(__xludf.DUMMYFUNCTION("SPLIT(B1209,""T"")"),41801.0)</f>
        <v>41801</v>
      </c>
      <c r="F1209" s="4" t="str">
        <f>IFERROR(__xludf.DUMMYFUNCTION("""COMPUTED_VALUE"""),"07:30:00Z")</f>
        <v>07:30:00Z</v>
      </c>
      <c r="G1209" s="11" t="str">
        <f t="shared" si="1"/>
        <v>07:30:00</v>
      </c>
      <c r="H1209" s="10">
        <f>IFERROR(__xludf.DUMMYFUNCTION("SPLIT(D1209,""T"")"),41799.0)</f>
        <v>41799</v>
      </c>
      <c r="I1209" s="4" t="str">
        <f>IFERROR(__xludf.DUMMYFUNCTION("""COMPUTED_VALUE"""),"15:15:00Z")</f>
        <v>15:15:00Z</v>
      </c>
      <c r="J1209" s="4" t="str">
        <f t="shared" si="2"/>
        <v>15:15:00</v>
      </c>
      <c r="K1209" s="4">
        <f t="shared" si="3"/>
        <v>2</v>
      </c>
      <c r="L1209" s="4">
        <f t="shared" si="4"/>
        <v>-0.3229166667</v>
      </c>
      <c r="M1209" s="4">
        <f t="shared" si="5"/>
        <v>1.677083333</v>
      </c>
    </row>
    <row r="1210">
      <c r="A1210" s="4" t="s">
        <v>62</v>
      </c>
      <c r="B1210" s="4" t="s">
        <v>439</v>
      </c>
      <c r="C1210" s="4" t="s">
        <v>440</v>
      </c>
      <c r="D1210" s="4" t="s">
        <v>441</v>
      </c>
      <c r="E1210" s="10">
        <f>IFERROR(__xludf.DUMMYFUNCTION("SPLIT(B1210,""T"")"),41545.0)</f>
        <v>41545</v>
      </c>
      <c r="F1210" s="4" t="str">
        <f>IFERROR(__xludf.DUMMYFUNCTION("""COMPUTED_VALUE"""),"09:15:00Z")</f>
        <v>09:15:00Z</v>
      </c>
      <c r="G1210" s="11" t="str">
        <f t="shared" si="1"/>
        <v>09:15:00</v>
      </c>
      <c r="H1210" s="10">
        <f>IFERROR(__xludf.DUMMYFUNCTION("SPLIT(D1210,""T"")"),41543.0)</f>
        <v>41543</v>
      </c>
      <c r="I1210" s="4" t="str">
        <f>IFERROR(__xludf.DUMMYFUNCTION("""COMPUTED_VALUE"""),"17:29:00Z")</f>
        <v>17:29:00Z</v>
      </c>
      <c r="J1210" s="4" t="str">
        <f t="shared" si="2"/>
        <v>17:29:00</v>
      </c>
      <c r="K1210" s="4">
        <f t="shared" si="3"/>
        <v>2</v>
      </c>
      <c r="L1210" s="4">
        <f t="shared" si="4"/>
        <v>-0.3430555556</v>
      </c>
      <c r="M1210" s="4">
        <f t="shared" si="5"/>
        <v>1.656944444</v>
      </c>
    </row>
    <row r="1211">
      <c r="A1211" s="4" t="s">
        <v>134</v>
      </c>
      <c r="B1211" s="4" t="s">
        <v>483</v>
      </c>
      <c r="C1211" s="4" t="s">
        <v>484</v>
      </c>
      <c r="D1211" s="4" t="s">
        <v>485</v>
      </c>
      <c r="E1211" s="10">
        <f>IFERROR(__xludf.DUMMYFUNCTION("SPLIT(B1211,""T"")"),41386.0)</f>
        <v>41386</v>
      </c>
      <c r="F1211" s="4" t="str">
        <f>IFERROR(__xludf.DUMMYFUNCTION("""COMPUTED_VALUE"""),"09:00:00Z")</f>
        <v>09:00:00Z</v>
      </c>
      <c r="G1211" s="11" t="str">
        <f t="shared" si="1"/>
        <v>09:00:00</v>
      </c>
      <c r="H1211" s="10">
        <f>IFERROR(__xludf.DUMMYFUNCTION("SPLIT(D1211,""T"")"),41384.0)</f>
        <v>41384</v>
      </c>
      <c r="I1211" s="4" t="str">
        <f>IFERROR(__xludf.DUMMYFUNCTION("""COMPUTED_VALUE"""),"17:30:00Z")</f>
        <v>17:30:00Z</v>
      </c>
      <c r="J1211" s="4" t="str">
        <f t="shared" si="2"/>
        <v>17:30:00</v>
      </c>
      <c r="K1211" s="4">
        <f t="shared" si="3"/>
        <v>2</v>
      </c>
      <c r="L1211" s="4">
        <f t="shared" si="4"/>
        <v>-0.3541666667</v>
      </c>
      <c r="M1211" s="4">
        <f t="shared" si="5"/>
        <v>1.645833333</v>
      </c>
    </row>
    <row r="1212">
      <c r="A1212" s="4" t="s">
        <v>145</v>
      </c>
      <c r="B1212" s="4" t="s">
        <v>597</v>
      </c>
      <c r="C1212" s="4" t="s">
        <v>598</v>
      </c>
      <c r="D1212" s="4" t="s">
        <v>599</v>
      </c>
      <c r="E1212" s="10">
        <f>IFERROR(__xludf.DUMMYFUNCTION("SPLIT(B1212,""T"")"),41823.0)</f>
        <v>41823</v>
      </c>
      <c r="F1212" s="4" t="str">
        <f>IFERROR(__xludf.DUMMYFUNCTION("""COMPUTED_VALUE"""),"10:30:00Z")</f>
        <v>10:30:00Z</v>
      </c>
      <c r="G1212" s="11" t="str">
        <f t="shared" si="1"/>
        <v>10:30:00</v>
      </c>
      <c r="H1212" s="10">
        <f>IFERROR(__xludf.DUMMYFUNCTION("SPLIT(D1212,""T"")"),41821.0)</f>
        <v>41821</v>
      </c>
      <c r="I1212" s="4" t="str">
        <f>IFERROR(__xludf.DUMMYFUNCTION("""COMPUTED_VALUE"""),"19:00:00Z")</f>
        <v>19:00:00Z</v>
      </c>
      <c r="J1212" s="4" t="str">
        <f t="shared" si="2"/>
        <v>19:00:00</v>
      </c>
      <c r="K1212" s="4">
        <f t="shared" si="3"/>
        <v>2</v>
      </c>
      <c r="L1212" s="4">
        <f t="shared" si="4"/>
        <v>-0.3541666667</v>
      </c>
      <c r="M1212" s="4">
        <f t="shared" si="5"/>
        <v>1.645833333</v>
      </c>
    </row>
    <row r="1213">
      <c r="A1213" s="4" t="s">
        <v>205</v>
      </c>
      <c r="B1213" s="4" t="s">
        <v>1159</v>
      </c>
      <c r="C1213" s="4" t="s">
        <v>1160</v>
      </c>
      <c r="D1213" s="4" t="s">
        <v>1161</v>
      </c>
      <c r="E1213" s="10">
        <f>IFERROR(__xludf.DUMMYFUNCTION("SPLIT(B1213,""T"")"),42188.0)</f>
        <v>42188</v>
      </c>
      <c r="F1213" s="4" t="str">
        <f>IFERROR(__xludf.DUMMYFUNCTION("""COMPUTED_VALUE"""),"20:00:00Z")</f>
        <v>20:00:00Z</v>
      </c>
      <c r="G1213" s="11" t="str">
        <f t="shared" si="1"/>
        <v>20:00:00</v>
      </c>
      <c r="H1213" s="10">
        <f>IFERROR(__xludf.DUMMYFUNCTION("SPLIT(D1213,""T"")"),42187.0)</f>
        <v>42187</v>
      </c>
      <c r="I1213" s="4" t="str">
        <f>IFERROR(__xludf.DUMMYFUNCTION("""COMPUTED_VALUE"""),"04:40:00Z")</f>
        <v>04:40:00Z</v>
      </c>
      <c r="J1213" s="4" t="str">
        <f t="shared" si="2"/>
        <v>04:40:00</v>
      </c>
      <c r="K1213" s="4">
        <f t="shared" si="3"/>
        <v>1</v>
      </c>
      <c r="L1213" s="4">
        <f t="shared" si="4"/>
        <v>0.6388888889</v>
      </c>
      <c r="M1213" s="4">
        <f t="shared" si="5"/>
        <v>1.638888889</v>
      </c>
    </row>
    <row r="1214">
      <c r="A1214" s="4" t="s">
        <v>35</v>
      </c>
      <c r="B1214" s="4" t="s">
        <v>420</v>
      </c>
      <c r="C1214" s="4" t="s">
        <v>421</v>
      </c>
      <c r="D1214" s="4" t="s">
        <v>422</v>
      </c>
      <c r="E1214" s="10">
        <f>IFERROR(__xludf.DUMMYFUNCTION("SPLIT(B1214,""T"")"),41619.0)</f>
        <v>41619</v>
      </c>
      <c r="F1214" s="4" t="str">
        <f>IFERROR(__xludf.DUMMYFUNCTION("""COMPUTED_VALUE"""),"17:30:00Z")</f>
        <v>17:30:00Z</v>
      </c>
      <c r="G1214" s="11" t="str">
        <f t="shared" si="1"/>
        <v>17:30:00</v>
      </c>
      <c r="H1214" s="10">
        <f>IFERROR(__xludf.DUMMYFUNCTION("SPLIT(D1214,""T"")"),41618.0)</f>
        <v>41618</v>
      </c>
      <c r="I1214" s="4" t="str">
        <f>IFERROR(__xludf.DUMMYFUNCTION("""COMPUTED_VALUE"""),"02:26:00Z")</f>
        <v>02:26:00Z</v>
      </c>
      <c r="J1214" s="4" t="str">
        <f t="shared" si="2"/>
        <v>02:26:00</v>
      </c>
      <c r="K1214" s="4">
        <f t="shared" si="3"/>
        <v>1</v>
      </c>
      <c r="L1214" s="4">
        <f t="shared" si="4"/>
        <v>0.6277777778</v>
      </c>
      <c r="M1214" s="4">
        <f t="shared" si="5"/>
        <v>1.627777778</v>
      </c>
    </row>
    <row r="1215">
      <c r="A1215" s="4" t="s">
        <v>19</v>
      </c>
      <c r="B1215" s="4" t="s">
        <v>1662</v>
      </c>
      <c r="C1215" s="4" t="s">
        <v>1663</v>
      </c>
      <c r="D1215" s="4" t="s">
        <v>1498</v>
      </c>
      <c r="E1215" s="10">
        <f>IFERROR(__xludf.DUMMYFUNCTION("SPLIT(B1215,""T"")"),42583.0)</f>
        <v>42583</v>
      </c>
      <c r="F1215" s="4" t="str">
        <f>IFERROR(__xludf.DUMMYFUNCTION("""COMPUTED_VALUE"""),"08:05:00Z")</f>
        <v>08:05:00Z</v>
      </c>
      <c r="G1215" s="11" t="str">
        <f t="shared" si="1"/>
        <v>08:05:00</v>
      </c>
      <c r="H1215" s="10">
        <f>IFERROR(__xludf.DUMMYFUNCTION("SPLIT(D1215,""T"")"),42581.0)</f>
        <v>42581</v>
      </c>
      <c r="I1215" s="4" t="str">
        <f>IFERROR(__xludf.DUMMYFUNCTION("""COMPUTED_VALUE"""),"17:25:00Z")</f>
        <v>17:25:00Z</v>
      </c>
      <c r="J1215" s="4" t="str">
        <f t="shared" si="2"/>
        <v>17:25:00</v>
      </c>
      <c r="K1215" s="4">
        <f t="shared" si="3"/>
        <v>2</v>
      </c>
      <c r="L1215" s="4">
        <f t="shared" si="4"/>
        <v>-0.3888888889</v>
      </c>
      <c r="M1215" s="4">
        <f t="shared" si="5"/>
        <v>1.611111111</v>
      </c>
    </row>
    <row r="1216">
      <c r="A1216" s="4" t="s">
        <v>62</v>
      </c>
      <c r="B1216" s="4" t="s">
        <v>1017</v>
      </c>
      <c r="C1216" s="4" t="s">
        <v>1018</v>
      </c>
      <c r="D1216" s="4" t="s">
        <v>1019</v>
      </c>
      <c r="E1216" s="10">
        <f>IFERROR(__xludf.DUMMYFUNCTION("SPLIT(B1216,""T"")"),42211.0)</f>
        <v>42211</v>
      </c>
      <c r="F1216" s="4" t="str">
        <f>IFERROR(__xludf.DUMMYFUNCTION("""COMPUTED_VALUE"""),"06:45:00Z")</f>
        <v>06:45:00Z</v>
      </c>
      <c r="G1216" s="11" t="str">
        <f t="shared" si="1"/>
        <v>06:45:00</v>
      </c>
      <c r="H1216" s="10">
        <f>IFERROR(__xludf.DUMMYFUNCTION("SPLIT(D1216,""T"")"),42209.0)</f>
        <v>42209</v>
      </c>
      <c r="I1216" s="4" t="str">
        <f>IFERROR(__xludf.DUMMYFUNCTION("""COMPUTED_VALUE"""),"16:18:00Z")</f>
        <v>16:18:00Z</v>
      </c>
      <c r="J1216" s="4" t="str">
        <f t="shared" si="2"/>
        <v>16:18:00</v>
      </c>
      <c r="K1216" s="4">
        <f t="shared" si="3"/>
        <v>2</v>
      </c>
      <c r="L1216" s="4">
        <f t="shared" si="4"/>
        <v>-0.3979166667</v>
      </c>
      <c r="M1216" s="4">
        <f t="shared" si="5"/>
        <v>1.602083333</v>
      </c>
    </row>
    <row r="1217">
      <c r="A1217" s="4" t="s">
        <v>411</v>
      </c>
      <c r="B1217" s="4" t="s">
        <v>3288</v>
      </c>
      <c r="C1217" s="4" t="s">
        <v>3289</v>
      </c>
      <c r="D1217" s="4" t="s">
        <v>3290</v>
      </c>
      <c r="E1217" s="10">
        <f>IFERROR(__xludf.DUMMYFUNCTION("SPLIT(B1217,""T"")"),43666.0)</f>
        <v>43666</v>
      </c>
      <c r="F1217" s="4" t="str">
        <f>IFERROR(__xludf.DUMMYFUNCTION("""COMPUTED_VALUE"""),"08:56:00Z")</f>
        <v>08:56:00Z</v>
      </c>
      <c r="G1217" s="11" t="str">
        <f t="shared" si="1"/>
        <v>08:56:00</v>
      </c>
      <c r="H1217" s="10">
        <f>IFERROR(__xludf.DUMMYFUNCTION("SPLIT(D1217,""T"")"),43664.0)</f>
        <v>43664</v>
      </c>
      <c r="I1217" s="4" t="str">
        <f>IFERROR(__xludf.DUMMYFUNCTION("""COMPUTED_VALUE"""),"18:31:00Z")</f>
        <v>18:31:00Z</v>
      </c>
      <c r="J1217" s="4" t="str">
        <f t="shared" si="2"/>
        <v>18:31:00</v>
      </c>
      <c r="K1217" s="4">
        <f t="shared" si="3"/>
        <v>2</v>
      </c>
      <c r="L1217" s="4">
        <f t="shared" si="4"/>
        <v>-0.3993055556</v>
      </c>
      <c r="M1217" s="4">
        <f t="shared" si="5"/>
        <v>1.600694444</v>
      </c>
    </row>
    <row r="1218">
      <c r="A1218" s="4" t="s">
        <v>87</v>
      </c>
      <c r="B1218" s="4" t="s">
        <v>751</v>
      </c>
      <c r="C1218" s="4" t="s">
        <v>752</v>
      </c>
      <c r="D1218" s="4" t="s">
        <v>753</v>
      </c>
      <c r="E1218" s="10">
        <f>IFERROR(__xludf.DUMMYFUNCTION("SPLIT(B1218,""T"")"),41836.0)</f>
        <v>41836</v>
      </c>
      <c r="F1218" s="4" t="str">
        <f>IFERROR(__xludf.DUMMYFUNCTION("""COMPUTED_VALUE"""),"08:00:00Z")</f>
        <v>08:00:00Z</v>
      </c>
      <c r="G1218" s="11" t="str">
        <f t="shared" si="1"/>
        <v>08:00:00</v>
      </c>
      <c r="H1218" s="10">
        <f>IFERROR(__xludf.DUMMYFUNCTION("SPLIT(D1218,""T"")"),41834.0)</f>
        <v>41834</v>
      </c>
      <c r="I1218" s="4" t="str">
        <f>IFERROR(__xludf.DUMMYFUNCTION("""COMPUTED_VALUE"""),"18:00:00Z")</f>
        <v>18:00:00Z</v>
      </c>
      <c r="J1218" s="4" t="str">
        <f t="shared" si="2"/>
        <v>18:00:00</v>
      </c>
      <c r="K1218" s="4">
        <f t="shared" si="3"/>
        <v>2</v>
      </c>
      <c r="L1218" s="4">
        <f t="shared" si="4"/>
        <v>-0.4166666667</v>
      </c>
      <c r="M1218" s="4">
        <f t="shared" si="5"/>
        <v>1.583333333</v>
      </c>
    </row>
    <row r="1219">
      <c r="A1219" s="4" t="s">
        <v>367</v>
      </c>
      <c r="B1219" s="4" t="s">
        <v>1199</v>
      </c>
      <c r="C1219" s="4" t="s">
        <v>1200</v>
      </c>
      <c r="D1219" s="4" t="s">
        <v>1201</v>
      </c>
      <c r="E1219" s="10">
        <f>IFERROR(__xludf.DUMMYFUNCTION("SPLIT(B1219,""T"")"),42221.0)</f>
        <v>42221</v>
      </c>
      <c r="F1219" s="4" t="str">
        <f>IFERROR(__xludf.DUMMYFUNCTION("""COMPUTED_VALUE"""),"07:30:00Z")</f>
        <v>07:30:00Z</v>
      </c>
      <c r="G1219" s="11" t="str">
        <f t="shared" si="1"/>
        <v>07:30:00</v>
      </c>
      <c r="H1219" s="10">
        <f>IFERROR(__xludf.DUMMYFUNCTION("SPLIT(D1219,""T"")"),42219.0)</f>
        <v>42219</v>
      </c>
      <c r="I1219" s="4" t="str">
        <f>IFERROR(__xludf.DUMMYFUNCTION("""COMPUTED_VALUE"""),"18:07:00Z")</f>
        <v>18:07:00Z</v>
      </c>
      <c r="J1219" s="4" t="str">
        <f t="shared" si="2"/>
        <v>18:07:00</v>
      </c>
      <c r="K1219" s="4">
        <f t="shared" si="3"/>
        <v>2</v>
      </c>
      <c r="L1219" s="4">
        <f t="shared" si="4"/>
        <v>-0.4423611111</v>
      </c>
      <c r="M1219" s="4">
        <f t="shared" si="5"/>
        <v>1.557638889</v>
      </c>
    </row>
    <row r="1220">
      <c r="A1220" s="4" t="s">
        <v>134</v>
      </c>
      <c r="B1220" s="4" t="s">
        <v>1597</v>
      </c>
      <c r="C1220" s="4" t="s">
        <v>1598</v>
      </c>
      <c r="D1220" s="4" t="s">
        <v>1599</v>
      </c>
      <c r="E1220" s="10">
        <f>IFERROR(__xludf.DUMMYFUNCTION("SPLIT(B1220,""T"")"),42622.0)</f>
        <v>42622</v>
      </c>
      <c r="F1220" s="4" t="str">
        <f>IFERROR(__xludf.DUMMYFUNCTION("""COMPUTED_VALUE"""),"06:00:00Z")</f>
        <v>06:00:00Z</v>
      </c>
      <c r="G1220" s="11" t="str">
        <f t="shared" si="1"/>
        <v>06:00:00</v>
      </c>
      <c r="H1220" s="10">
        <f>IFERROR(__xludf.DUMMYFUNCTION("SPLIT(D1220,""T"")"),42620.0)</f>
        <v>42620</v>
      </c>
      <c r="I1220" s="4" t="str">
        <f>IFERROR(__xludf.DUMMYFUNCTION("""COMPUTED_VALUE"""),"16:53:00Z")</f>
        <v>16:53:00Z</v>
      </c>
      <c r="J1220" s="4" t="str">
        <f t="shared" si="2"/>
        <v>16:53:00</v>
      </c>
      <c r="K1220" s="4">
        <f t="shared" si="3"/>
        <v>2</v>
      </c>
      <c r="L1220" s="4">
        <f t="shared" si="4"/>
        <v>-0.4534722222</v>
      </c>
      <c r="M1220" s="4">
        <f t="shared" si="5"/>
        <v>1.546527778</v>
      </c>
    </row>
    <row r="1221">
      <c r="A1221" s="4" t="s">
        <v>35</v>
      </c>
      <c r="B1221" s="4" t="s">
        <v>1603</v>
      </c>
      <c r="C1221" s="4" t="s">
        <v>1604</v>
      </c>
      <c r="D1221" s="4" t="s">
        <v>1605</v>
      </c>
      <c r="E1221" s="10">
        <f>IFERROR(__xludf.DUMMYFUNCTION("SPLIT(B1221,""T"")"),42490.0)</f>
        <v>42490</v>
      </c>
      <c r="F1221" s="4" t="str">
        <f>IFERROR(__xludf.DUMMYFUNCTION("""COMPUTED_VALUE"""),"07:00:00Z")</f>
        <v>07:00:00Z</v>
      </c>
      <c r="G1221" s="11" t="str">
        <f t="shared" si="1"/>
        <v>07:00:00</v>
      </c>
      <c r="H1221" s="10">
        <f>IFERROR(__xludf.DUMMYFUNCTION("SPLIT(D1221,""T"")"),42488.0)</f>
        <v>42488</v>
      </c>
      <c r="I1221" s="4" t="str">
        <f>IFERROR(__xludf.DUMMYFUNCTION("""COMPUTED_VALUE"""),"19:00:00Z")</f>
        <v>19:00:00Z</v>
      </c>
      <c r="J1221" s="4" t="str">
        <f t="shared" si="2"/>
        <v>19:00:00</v>
      </c>
      <c r="K1221" s="4">
        <f t="shared" si="3"/>
        <v>2</v>
      </c>
      <c r="L1221" s="4">
        <f t="shared" si="4"/>
        <v>-0.5</v>
      </c>
      <c r="M1221" s="4">
        <f t="shared" si="5"/>
        <v>1.5</v>
      </c>
    </row>
    <row r="1222">
      <c r="A1222" s="4" t="s">
        <v>186</v>
      </c>
      <c r="B1222" s="4" t="s">
        <v>3631</v>
      </c>
      <c r="C1222" s="4" t="s">
        <v>2090</v>
      </c>
      <c r="D1222" s="4" t="s">
        <v>3632</v>
      </c>
      <c r="E1222" s="10">
        <f>IFERROR(__xludf.DUMMYFUNCTION("SPLIT(B1222,""T"")"),43775.0)</f>
        <v>43775</v>
      </c>
      <c r="F1222" s="4" t="str">
        <f>IFERROR(__xludf.DUMMYFUNCTION("""COMPUTED_VALUE"""),"18:30:00Z")</f>
        <v>18:30:00Z</v>
      </c>
      <c r="G1222" s="11" t="str">
        <f t="shared" si="1"/>
        <v>18:30:00</v>
      </c>
      <c r="H1222" s="10">
        <f>IFERROR(__xludf.DUMMYFUNCTION("SPLIT(D1222,""T"")"),43774.0)</f>
        <v>43774</v>
      </c>
      <c r="I1222" s="4" t="str">
        <f>IFERROR(__xludf.DUMMYFUNCTION("""COMPUTED_VALUE"""),"06:52:14Z")</f>
        <v>06:52:14Z</v>
      </c>
      <c r="J1222" s="4" t="str">
        <f t="shared" si="2"/>
        <v>06:52:14</v>
      </c>
      <c r="K1222" s="4">
        <f t="shared" si="3"/>
        <v>1</v>
      </c>
      <c r="L1222" s="4">
        <f t="shared" si="4"/>
        <v>0.4845601852</v>
      </c>
      <c r="M1222" s="4">
        <f t="shared" si="5"/>
        <v>1.484560185</v>
      </c>
    </row>
    <row r="1223">
      <c r="A1223" s="4" t="s">
        <v>39</v>
      </c>
      <c r="B1223" s="4" t="s">
        <v>713</v>
      </c>
      <c r="C1223" s="4" t="s">
        <v>125</v>
      </c>
      <c r="D1223" s="4" t="s">
        <v>714</v>
      </c>
      <c r="E1223" s="10">
        <f>IFERROR(__xludf.DUMMYFUNCTION("SPLIT(B1223,""T"")"),41665.0)</f>
        <v>41665</v>
      </c>
      <c r="F1223" s="4" t="str">
        <f>IFERROR(__xludf.DUMMYFUNCTION("""COMPUTED_VALUE"""),"18:00:00Z")</f>
        <v>18:00:00Z</v>
      </c>
      <c r="G1223" s="11" t="str">
        <f t="shared" si="1"/>
        <v>18:00:00</v>
      </c>
      <c r="H1223" s="10">
        <f>IFERROR(__xludf.DUMMYFUNCTION("SPLIT(D1223,""T"")"),41664.0)</f>
        <v>41664</v>
      </c>
      <c r="I1223" s="4" t="str">
        <f>IFERROR(__xludf.DUMMYFUNCTION("""COMPUTED_VALUE"""),"06:37:00Z")</f>
        <v>06:37:00Z</v>
      </c>
      <c r="J1223" s="4" t="str">
        <f t="shared" si="2"/>
        <v>06:37:00</v>
      </c>
      <c r="K1223" s="4">
        <f t="shared" si="3"/>
        <v>1</v>
      </c>
      <c r="L1223" s="4">
        <f t="shared" si="4"/>
        <v>0.4743055556</v>
      </c>
      <c r="M1223" s="4">
        <f t="shared" si="5"/>
        <v>1.474305556</v>
      </c>
    </row>
    <row r="1224">
      <c r="A1224" s="4" t="s">
        <v>50</v>
      </c>
      <c r="B1224" s="4" t="s">
        <v>1241</v>
      </c>
      <c r="C1224" s="4" t="s">
        <v>527</v>
      </c>
      <c r="D1224" s="4" t="s">
        <v>1242</v>
      </c>
      <c r="E1224" s="10">
        <f>IFERROR(__xludf.DUMMYFUNCTION("SPLIT(B1224,""T"")"),42166.0)</f>
        <v>42166</v>
      </c>
      <c r="F1224" s="4" t="str">
        <f>IFERROR(__xludf.DUMMYFUNCTION("""COMPUTED_VALUE"""),"18:15:00Z")</f>
        <v>18:15:00Z</v>
      </c>
      <c r="G1224" s="11" t="str">
        <f t="shared" si="1"/>
        <v>18:15:00</v>
      </c>
      <c r="H1224" s="10">
        <f>IFERROR(__xludf.DUMMYFUNCTION("SPLIT(D1224,""T"")"),42165.0)</f>
        <v>42165</v>
      </c>
      <c r="I1224" s="4" t="str">
        <f>IFERROR(__xludf.DUMMYFUNCTION("""COMPUTED_VALUE"""),"07:42:00Z")</f>
        <v>07:42:00Z</v>
      </c>
      <c r="J1224" s="4" t="str">
        <f t="shared" si="2"/>
        <v>07:42:00</v>
      </c>
      <c r="K1224" s="4">
        <f t="shared" si="3"/>
        <v>1</v>
      </c>
      <c r="L1224" s="4">
        <f t="shared" si="4"/>
        <v>0.4395833333</v>
      </c>
      <c r="M1224" s="4">
        <f t="shared" si="5"/>
        <v>1.439583333</v>
      </c>
    </row>
    <row r="1225">
      <c r="A1225" s="4" t="s">
        <v>260</v>
      </c>
      <c r="B1225" s="4" t="s">
        <v>3354</v>
      </c>
      <c r="C1225" s="4" t="s">
        <v>1683</v>
      </c>
      <c r="D1225" s="4" t="s">
        <v>3355</v>
      </c>
      <c r="E1225" s="10">
        <f>IFERROR(__xludf.DUMMYFUNCTION("SPLIT(B1225,""T"")"),43643.0)</f>
        <v>43643</v>
      </c>
      <c r="F1225" s="4" t="str">
        <f>IFERROR(__xludf.DUMMYFUNCTION("""COMPUTED_VALUE"""),"19:06:00Z")</f>
        <v>19:06:00Z</v>
      </c>
      <c r="G1225" s="11" t="str">
        <f t="shared" si="1"/>
        <v>19:06:00</v>
      </c>
      <c r="H1225" s="10">
        <f>IFERROR(__xludf.DUMMYFUNCTION("SPLIT(D1225,""T"")"),43642.0)</f>
        <v>43642</v>
      </c>
      <c r="I1225" s="4" t="str">
        <f>IFERROR(__xludf.DUMMYFUNCTION("""COMPUTED_VALUE"""),"08:54:24Z")</f>
        <v>08:54:24Z</v>
      </c>
      <c r="J1225" s="4" t="str">
        <f t="shared" si="2"/>
        <v>08:54:24</v>
      </c>
      <c r="K1225" s="4">
        <f t="shared" si="3"/>
        <v>1</v>
      </c>
      <c r="L1225" s="4">
        <f t="shared" si="4"/>
        <v>0.4247222222</v>
      </c>
      <c r="M1225" s="4">
        <f t="shared" si="5"/>
        <v>1.424722222</v>
      </c>
    </row>
    <row r="1226">
      <c r="A1226" s="4" t="s">
        <v>62</v>
      </c>
      <c r="B1226" s="4" t="s">
        <v>1647</v>
      </c>
      <c r="C1226" s="4" t="s">
        <v>1648</v>
      </c>
      <c r="D1226" s="4" t="s">
        <v>1649</v>
      </c>
      <c r="E1226" s="10">
        <f>IFERROR(__xludf.DUMMYFUNCTION("SPLIT(B1226,""T"")"),42593.0)</f>
        <v>42593</v>
      </c>
      <c r="F1226" s="4" t="str">
        <f>IFERROR(__xludf.DUMMYFUNCTION("""COMPUTED_VALUE"""),"18:30:00Z")</f>
        <v>18:30:00Z</v>
      </c>
      <c r="G1226" s="11" t="str">
        <f t="shared" si="1"/>
        <v>18:30:00</v>
      </c>
      <c r="H1226" s="10">
        <f>IFERROR(__xludf.DUMMYFUNCTION("SPLIT(D1226,""T"")"),42592.0)</f>
        <v>42592</v>
      </c>
      <c r="I1226" s="4" t="str">
        <f>IFERROR(__xludf.DUMMYFUNCTION("""COMPUTED_VALUE"""),"09:14:00Z")</f>
        <v>09:14:00Z</v>
      </c>
      <c r="J1226" s="4" t="str">
        <f t="shared" si="2"/>
        <v>09:14:00</v>
      </c>
      <c r="K1226" s="4">
        <f t="shared" si="3"/>
        <v>1</v>
      </c>
      <c r="L1226" s="4">
        <f t="shared" si="4"/>
        <v>0.3861111111</v>
      </c>
      <c r="M1226" s="4">
        <f t="shared" si="5"/>
        <v>1.386111111</v>
      </c>
    </row>
    <row r="1227">
      <c r="A1227" s="4" t="s">
        <v>35</v>
      </c>
      <c r="B1227" s="4" t="s">
        <v>1721</v>
      </c>
      <c r="C1227" s="4" t="s">
        <v>1722</v>
      </c>
      <c r="D1227" s="4" t="s">
        <v>1704</v>
      </c>
      <c r="E1227" s="10">
        <f>IFERROR(__xludf.DUMMYFUNCTION("SPLIT(B1227,""T"")"),42503.0)</f>
        <v>42503</v>
      </c>
      <c r="F1227" s="4" t="str">
        <f>IFERROR(__xludf.DUMMYFUNCTION("""COMPUTED_VALUE"""),"22:30:00Z")</f>
        <v>22:30:00Z</v>
      </c>
      <c r="G1227" s="11" t="str">
        <f t="shared" si="1"/>
        <v>22:30:00</v>
      </c>
      <c r="H1227" s="10">
        <f>IFERROR(__xludf.DUMMYFUNCTION("SPLIT(D1227,""T"")"),42502.0)</f>
        <v>42502</v>
      </c>
      <c r="I1227" s="4" t="str">
        <f>IFERROR(__xludf.DUMMYFUNCTION("""COMPUTED_VALUE"""),"14:13:00Z")</f>
        <v>14:13:00Z</v>
      </c>
      <c r="J1227" s="4" t="str">
        <f t="shared" si="2"/>
        <v>14:13:00</v>
      </c>
      <c r="K1227" s="4">
        <f t="shared" si="3"/>
        <v>1</v>
      </c>
      <c r="L1227" s="4">
        <f t="shared" si="4"/>
        <v>0.3451388889</v>
      </c>
      <c r="M1227" s="4">
        <f t="shared" si="5"/>
        <v>1.345138889</v>
      </c>
    </row>
    <row r="1228">
      <c r="A1228" s="4" t="s">
        <v>3366</v>
      </c>
      <c r="B1228" s="4" t="s">
        <v>3367</v>
      </c>
      <c r="C1228" s="4" t="s">
        <v>3368</v>
      </c>
      <c r="D1228" s="4" t="s">
        <v>3369</v>
      </c>
      <c r="E1228" s="10">
        <f>IFERROR(__xludf.DUMMYFUNCTION("SPLIT(B1228,""T"")"),43694.0)</f>
        <v>43694</v>
      </c>
      <c r="F1228" s="4" t="str">
        <f>IFERROR(__xludf.DUMMYFUNCTION("""COMPUTED_VALUE"""),"14:30:00Z")</f>
        <v>14:30:00Z</v>
      </c>
      <c r="G1228" s="11" t="str">
        <f t="shared" si="1"/>
        <v>14:30:00</v>
      </c>
      <c r="H1228" s="10">
        <f>IFERROR(__xludf.DUMMYFUNCTION("SPLIT(D1228,""T"")"),43693.0)</f>
        <v>43693</v>
      </c>
      <c r="I1228" s="4" t="str">
        <f>IFERROR(__xludf.DUMMYFUNCTION("""COMPUTED_VALUE"""),"06:14:55Z")</f>
        <v>06:14:55Z</v>
      </c>
      <c r="J1228" s="4" t="str">
        <f t="shared" si="2"/>
        <v>06:14:55</v>
      </c>
      <c r="K1228" s="4">
        <f t="shared" si="3"/>
        <v>1</v>
      </c>
      <c r="L1228" s="4">
        <f t="shared" si="4"/>
        <v>0.3438078704</v>
      </c>
      <c r="M1228" s="4">
        <f t="shared" si="5"/>
        <v>1.34380787</v>
      </c>
    </row>
    <row r="1229">
      <c r="A1229" s="4" t="s">
        <v>19</v>
      </c>
      <c r="B1229" s="4" t="s">
        <v>637</v>
      </c>
      <c r="C1229" s="4" t="s">
        <v>638</v>
      </c>
      <c r="D1229" s="4" t="s">
        <v>639</v>
      </c>
      <c r="E1229" s="10">
        <f>IFERROR(__xludf.DUMMYFUNCTION("SPLIT(B1229,""T"")"),41795.0)</f>
        <v>41795</v>
      </c>
      <c r="F1229" s="4" t="str">
        <f>IFERROR(__xludf.DUMMYFUNCTION("""COMPUTED_VALUE"""),"20:00:00Z")</f>
        <v>20:00:00Z</v>
      </c>
      <c r="G1229" s="11" t="str">
        <f t="shared" si="1"/>
        <v>20:00:00</v>
      </c>
      <c r="H1229" s="10">
        <f>IFERROR(__xludf.DUMMYFUNCTION("SPLIT(D1229,""T"")"),41794.0)</f>
        <v>41794</v>
      </c>
      <c r="I1229" s="4" t="str">
        <f>IFERROR(__xludf.DUMMYFUNCTION("""COMPUTED_VALUE"""),"11:45:00Z")</f>
        <v>11:45:00Z</v>
      </c>
      <c r="J1229" s="4" t="str">
        <f t="shared" si="2"/>
        <v>11:45:00</v>
      </c>
      <c r="K1229" s="4">
        <f t="shared" si="3"/>
        <v>1</v>
      </c>
      <c r="L1229" s="4">
        <f t="shared" si="4"/>
        <v>0.34375</v>
      </c>
      <c r="M1229" s="4">
        <f t="shared" si="5"/>
        <v>1.34375</v>
      </c>
    </row>
    <row r="1230">
      <c r="A1230" s="4" t="s">
        <v>101</v>
      </c>
      <c r="B1230" s="4" t="s">
        <v>1126</v>
      </c>
      <c r="C1230" s="4" t="s">
        <v>1127</v>
      </c>
      <c r="D1230" s="4" t="s">
        <v>1128</v>
      </c>
      <c r="E1230" s="10">
        <f>IFERROR(__xludf.DUMMYFUNCTION("SPLIT(B1230,""T"")"),42174.0)</f>
        <v>42174</v>
      </c>
      <c r="F1230" s="4" t="str">
        <f>IFERROR(__xludf.DUMMYFUNCTION("""COMPUTED_VALUE"""),"20:05:00Z")</f>
        <v>20:05:00Z</v>
      </c>
      <c r="G1230" s="11" t="str">
        <f t="shared" si="1"/>
        <v>20:05:00</v>
      </c>
      <c r="H1230" s="10">
        <f>IFERROR(__xludf.DUMMYFUNCTION("SPLIT(D1230,""T"")"),42173.0)</f>
        <v>42173</v>
      </c>
      <c r="I1230" s="4" t="str">
        <f>IFERROR(__xludf.DUMMYFUNCTION("""COMPUTED_VALUE"""),"12:03:00Z")</f>
        <v>12:03:00Z</v>
      </c>
      <c r="J1230" s="4" t="str">
        <f t="shared" si="2"/>
        <v>12:03:00</v>
      </c>
      <c r="K1230" s="4">
        <f t="shared" si="3"/>
        <v>1</v>
      </c>
      <c r="L1230" s="4">
        <f t="shared" si="4"/>
        <v>0.3347222222</v>
      </c>
      <c r="M1230" s="4">
        <f t="shared" si="5"/>
        <v>1.334722222</v>
      </c>
    </row>
    <row r="1231">
      <c r="A1231" s="4" t="s">
        <v>50</v>
      </c>
      <c r="B1231" s="4" t="s">
        <v>823</v>
      </c>
      <c r="C1231" s="4" t="s">
        <v>667</v>
      </c>
      <c r="D1231" s="4" t="s">
        <v>824</v>
      </c>
      <c r="E1231" s="10">
        <f>IFERROR(__xludf.DUMMYFUNCTION("SPLIT(B1231,""T"")"),41643.0)</f>
        <v>41643</v>
      </c>
      <c r="F1231" s="4" t="str">
        <f>IFERROR(__xludf.DUMMYFUNCTION("""COMPUTED_VALUE"""),"18:30:00Z")</f>
        <v>18:30:00Z</v>
      </c>
      <c r="G1231" s="11" t="str">
        <f t="shared" si="1"/>
        <v>18:30:00</v>
      </c>
      <c r="H1231" s="10">
        <f>IFERROR(__xludf.DUMMYFUNCTION("SPLIT(D1231,""T"")"),41642.0)</f>
        <v>41642</v>
      </c>
      <c r="I1231" s="4" t="str">
        <f>IFERROR(__xludf.DUMMYFUNCTION("""COMPUTED_VALUE"""),"10:30:00Z")</f>
        <v>10:30:00Z</v>
      </c>
      <c r="J1231" s="4" t="str">
        <f t="shared" si="2"/>
        <v>10:30:00</v>
      </c>
      <c r="K1231" s="4">
        <f t="shared" si="3"/>
        <v>1</v>
      </c>
      <c r="L1231" s="4">
        <f t="shared" si="4"/>
        <v>0.3333333333</v>
      </c>
      <c r="M1231" s="4">
        <f t="shared" si="5"/>
        <v>1.333333333</v>
      </c>
    </row>
    <row r="1232">
      <c r="A1232" s="4" t="s">
        <v>27</v>
      </c>
      <c r="B1232" s="4" t="s">
        <v>3614</v>
      </c>
      <c r="C1232" s="4" t="s">
        <v>569</v>
      </c>
      <c r="D1232" s="4" t="s">
        <v>3615</v>
      </c>
      <c r="E1232" s="10">
        <f>IFERROR(__xludf.DUMMYFUNCTION("SPLIT(B1232,""T"")"),43663.0)</f>
        <v>43663</v>
      </c>
      <c r="F1232" s="4" t="str">
        <f>IFERROR(__xludf.DUMMYFUNCTION("""COMPUTED_VALUE"""),"21:29:00Z")</f>
        <v>21:29:00Z</v>
      </c>
      <c r="G1232" s="11" t="str">
        <f t="shared" si="1"/>
        <v>21:29:00</v>
      </c>
      <c r="H1232" s="10">
        <f>IFERROR(__xludf.DUMMYFUNCTION("SPLIT(D1232,""T"")"),43662.0)</f>
        <v>43662</v>
      </c>
      <c r="I1232" s="4" t="str">
        <f>IFERROR(__xludf.DUMMYFUNCTION("""COMPUTED_VALUE"""),"13:45:43Z")</f>
        <v>13:45:43Z</v>
      </c>
      <c r="J1232" s="4" t="str">
        <f t="shared" si="2"/>
        <v>13:45:43</v>
      </c>
      <c r="K1232" s="4">
        <f t="shared" si="3"/>
        <v>1</v>
      </c>
      <c r="L1232" s="4">
        <f t="shared" si="4"/>
        <v>0.321724537</v>
      </c>
      <c r="M1232" s="4">
        <f t="shared" si="5"/>
        <v>1.321724537</v>
      </c>
    </row>
    <row r="1233">
      <c r="A1233" s="4" t="s">
        <v>80</v>
      </c>
      <c r="B1233" s="4" t="s">
        <v>3495</v>
      </c>
      <c r="C1233" s="4" t="s">
        <v>3496</v>
      </c>
      <c r="D1233" s="4" t="s">
        <v>3497</v>
      </c>
      <c r="E1233" s="10">
        <f>IFERROR(__xludf.DUMMYFUNCTION("SPLIT(B1233,""T"")"),43766.0)</f>
        <v>43766</v>
      </c>
      <c r="F1233" s="4" t="str">
        <f>IFERROR(__xludf.DUMMYFUNCTION("""COMPUTED_VALUE"""),"16:26:00Z")</f>
        <v>16:26:00Z</v>
      </c>
      <c r="G1233" s="11" t="str">
        <f t="shared" si="1"/>
        <v>16:26:00</v>
      </c>
      <c r="H1233" s="10">
        <f>IFERROR(__xludf.DUMMYFUNCTION("SPLIT(D1233,""T"")"),43765.0)</f>
        <v>43765</v>
      </c>
      <c r="I1233" s="4" t="str">
        <f>IFERROR(__xludf.DUMMYFUNCTION("""COMPUTED_VALUE"""),"08:50:23Z")</f>
        <v>08:50:23Z</v>
      </c>
      <c r="J1233" s="4" t="str">
        <f t="shared" si="2"/>
        <v>08:50:23</v>
      </c>
      <c r="K1233" s="4">
        <f t="shared" si="3"/>
        <v>1</v>
      </c>
      <c r="L1233" s="4">
        <f t="shared" si="4"/>
        <v>0.316400463</v>
      </c>
      <c r="M1233" s="4">
        <f t="shared" si="5"/>
        <v>1.316400463</v>
      </c>
    </row>
    <row r="1234">
      <c r="A1234" s="4" t="s">
        <v>247</v>
      </c>
      <c r="B1234" s="4" t="s">
        <v>1566</v>
      </c>
      <c r="C1234" s="4" t="s">
        <v>1630</v>
      </c>
      <c r="D1234" s="4" t="s">
        <v>1631</v>
      </c>
      <c r="E1234" s="10">
        <f>IFERROR(__xludf.DUMMYFUNCTION("SPLIT(B1234,""T"")"),42625.0)</f>
        <v>42625</v>
      </c>
      <c r="F1234" s="4" t="str">
        <f>IFERROR(__xludf.DUMMYFUNCTION("""COMPUTED_VALUE"""),"19:00:00Z")</f>
        <v>19:00:00Z</v>
      </c>
      <c r="G1234" s="11" t="str">
        <f t="shared" si="1"/>
        <v>19:00:00</v>
      </c>
      <c r="H1234" s="10">
        <f>IFERROR(__xludf.DUMMYFUNCTION("SPLIT(D1234,""T"")"),42624.0)</f>
        <v>42624</v>
      </c>
      <c r="I1234" s="4" t="str">
        <f>IFERROR(__xludf.DUMMYFUNCTION("""COMPUTED_VALUE"""),"11:25:00Z")</f>
        <v>11:25:00Z</v>
      </c>
      <c r="J1234" s="4" t="str">
        <f t="shared" si="2"/>
        <v>11:25:00</v>
      </c>
      <c r="K1234" s="4">
        <f t="shared" si="3"/>
        <v>1</v>
      </c>
      <c r="L1234" s="4">
        <f t="shared" si="4"/>
        <v>0.3159722222</v>
      </c>
      <c r="M1234" s="4">
        <f t="shared" si="5"/>
        <v>1.315972222</v>
      </c>
    </row>
    <row r="1235">
      <c r="A1235" s="4" t="s">
        <v>39</v>
      </c>
      <c r="B1235" s="4" t="s">
        <v>1568</v>
      </c>
      <c r="C1235" s="4" t="s">
        <v>1569</v>
      </c>
      <c r="D1235" s="4" t="s">
        <v>1570</v>
      </c>
      <c r="E1235" s="10">
        <f>IFERROR(__xludf.DUMMYFUNCTION("SPLIT(B1235,""T"")"),42637.0)</f>
        <v>42637</v>
      </c>
      <c r="F1235" s="4" t="str">
        <f>IFERROR(__xludf.DUMMYFUNCTION("""COMPUTED_VALUE"""),"20:00:00Z")</f>
        <v>20:00:00Z</v>
      </c>
      <c r="G1235" s="11" t="str">
        <f t="shared" si="1"/>
        <v>20:00:00</v>
      </c>
      <c r="H1235" s="10">
        <f>IFERROR(__xludf.DUMMYFUNCTION("SPLIT(D1235,""T"")"),42636.0)</f>
        <v>42636</v>
      </c>
      <c r="I1235" s="4" t="str">
        <f>IFERROR(__xludf.DUMMYFUNCTION("""COMPUTED_VALUE"""),"12:40:00Z")</f>
        <v>12:40:00Z</v>
      </c>
      <c r="J1235" s="4" t="str">
        <f t="shared" si="2"/>
        <v>12:40:00</v>
      </c>
      <c r="K1235" s="4">
        <f t="shared" si="3"/>
        <v>1</v>
      </c>
      <c r="L1235" s="4">
        <f t="shared" si="4"/>
        <v>0.3055555556</v>
      </c>
      <c r="M1235" s="4">
        <f t="shared" si="5"/>
        <v>1.305555556</v>
      </c>
    </row>
    <row r="1236">
      <c r="A1236" s="4" t="s">
        <v>162</v>
      </c>
      <c r="B1236" s="4" t="s">
        <v>1669</v>
      </c>
      <c r="C1236" s="4" t="s">
        <v>1670</v>
      </c>
      <c r="D1236" s="4" t="s">
        <v>1671</v>
      </c>
      <c r="E1236" s="10">
        <f>IFERROR(__xludf.DUMMYFUNCTION("SPLIT(B1236,""T"")"),42553.0)</f>
        <v>42553</v>
      </c>
      <c r="F1236" s="4" t="str">
        <f>IFERROR(__xludf.DUMMYFUNCTION("""COMPUTED_VALUE"""),"20:00:00Z")</f>
        <v>20:00:00Z</v>
      </c>
      <c r="G1236" s="11" t="str">
        <f t="shared" si="1"/>
        <v>20:00:00</v>
      </c>
      <c r="H1236" s="10">
        <f>IFERROR(__xludf.DUMMYFUNCTION("SPLIT(D1236,""T"")"),42552.0)</f>
        <v>42552</v>
      </c>
      <c r="I1236" s="4" t="str">
        <f>IFERROR(__xludf.DUMMYFUNCTION("""COMPUTED_VALUE"""),"12:56:00Z")</f>
        <v>12:56:00Z</v>
      </c>
      <c r="J1236" s="4" t="str">
        <f t="shared" si="2"/>
        <v>12:56:00</v>
      </c>
      <c r="K1236" s="4">
        <f t="shared" si="3"/>
        <v>1</v>
      </c>
      <c r="L1236" s="4">
        <f t="shared" si="4"/>
        <v>0.2944444444</v>
      </c>
      <c r="M1236" s="4">
        <f t="shared" si="5"/>
        <v>1.294444444</v>
      </c>
    </row>
    <row r="1237">
      <c r="A1237" s="4" t="s">
        <v>27</v>
      </c>
      <c r="B1237" s="4" t="s">
        <v>142</v>
      </c>
      <c r="C1237" s="4" t="s">
        <v>143</v>
      </c>
      <c r="D1237" s="4" t="s">
        <v>144</v>
      </c>
      <c r="E1237" s="10">
        <f>IFERROR(__xludf.DUMMYFUNCTION("SPLIT(B1237,""T"")"),41399.0)</f>
        <v>41399</v>
      </c>
      <c r="F1237" s="4" t="str">
        <f>IFERROR(__xludf.DUMMYFUNCTION("""COMPUTED_VALUE"""),"18:45:00Z")</f>
        <v>18:45:00Z</v>
      </c>
      <c r="G1237" s="11" t="str">
        <f t="shared" si="1"/>
        <v>18:45:00</v>
      </c>
      <c r="H1237" s="10">
        <f>IFERROR(__xludf.DUMMYFUNCTION("SPLIT(D1237,""T"")"),41398.0)</f>
        <v>41398</v>
      </c>
      <c r="I1237" s="4" t="str">
        <f>IFERROR(__xludf.DUMMYFUNCTION("""COMPUTED_VALUE"""),"11:43:00Z")</f>
        <v>11:43:00Z</v>
      </c>
      <c r="J1237" s="4" t="str">
        <f t="shared" si="2"/>
        <v>11:43:00</v>
      </c>
      <c r="K1237" s="4">
        <f t="shared" si="3"/>
        <v>1</v>
      </c>
      <c r="L1237" s="4">
        <f t="shared" si="4"/>
        <v>0.2930555556</v>
      </c>
      <c r="M1237" s="4">
        <f t="shared" si="5"/>
        <v>1.293055556</v>
      </c>
    </row>
    <row r="1238">
      <c r="A1238" s="4" t="s">
        <v>170</v>
      </c>
      <c r="B1238" s="4" t="s">
        <v>1522</v>
      </c>
      <c r="C1238" s="4" t="s">
        <v>1523</v>
      </c>
      <c r="D1238" s="4" t="s">
        <v>1524</v>
      </c>
      <c r="E1238" s="10">
        <f>IFERROR(__xludf.DUMMYFUNCTION("SPLIT(B1238,""T"")"),42561.0)</f>
        <v>42561</v>
      </c>
      <c r="F1238" s="4" t="str">
        <f>IFERROR(__xludf.DUMMYFUNCTION("""COMPUTED_VALUE"""),"19:30:00Z")</f>
        <v>19:30:00Z</v>
      </c>
      <c r="G1238" s="11" t="str">
        <f t="shared" si="1"/>
        <v>19:30:00</v>
      </c>
      <c r="H1238" s="10">
        <f>IFERROR(__xludf.DUMMYFUNCTION("SPLIT(D1238,""T"")"),42560.0)</f>
        <v>42560</v>
      </c>
      <c r="I1238" s="4" t="str">
        <f>IFERROR(__xludf.DUMMYFUNCTION("""COMPUTED_VALUE"""),"12:43:00Z")</f>
        <v>12:43:00Z</v>
      </c>
      <c r="J1238" s="4" t="str">
        <f t="shared" si="2"/>
        <v>12:43:00</v>
      </c>
      <c r="K1238" s="4">
        <f t="shared" si="3"/>
        <v>1</v>
      </c>
      <c r="L1238" s="4">
        <f t="shared" si="4"/>
        <v>0.2826388889</v>
      </c>
      <c r="M1238" s="4">
        <f t="shared" si="5"/>
        <v>1.282638889</v>
      </c>
    </row>
    <row r="1239">
      <c r="A1239" s="4" t="s">
        <v>62</v>
      </c>
      <c r="B1239" s="4" t="s">
        <v>1680</v>
      </c>
      <c r="C1239" s="4" t="s">
        <v>1648</v>
      </c>
      <c r="D1239" s="4" t="s">
        <v>1681</v>
      </c>
      <c r="E1239" s="10">
        <f>IFERROR(__xludf.DUMMYFUNCTION("SPLIT(B1239,""T"")"),42688.0)</f>
        <v>42688</v>
      </c>
      <c r="F1239" s="4" t="str">
        <f>IFERROR(__xludf.DUMMYFUNCTION("""COMPUTED_VALUE"""),"18:00:00Z")</f>
        <v>18:00:00Z</v>
      </c>
      <c r="G1239" s="11" t="str">
        <f t="shared" si="1"/>
        <v>18:00:00</v>
      </c>
      <c r="H1239" s="10">
        <f>IFERROR(__xludf.DUMMYFUNCTION("SPLIT(D1239,""T"")"),42687.0)</f>
        <v>42687</v>
      </c>
      <c r="I1239" s="4" t="str">
        <f>IFERROR(__xludf.DUMMYFUNCTION("""COMPUTED_VALUE"""),"11:14:00Z")</f>
        <v>11:14:00Z</v>
      </c>
      <c r="J1239" s="4" t="str">
        <f t="shared" si="2"/>
        <v>11:14:00</v>
      </c>
      <c r="K1239" s="4">
        <f t="shared" si="3"/>
        <v>1</v>
      </c>
      <c r="L1239" s="4">
        <f t="shared" si="4"/>
        <v>0.2819444444</v>
      </c>
      <c r="M1239" s="4">
        <f t="shared" si="5"/>
        <v>1.281944444</v>
      </c>
    </row>
    <row r="1240">
      <c r="A1240" s="4" t="s">
        <v>388</v>
      </c>
      <c r="B1240" s="4" t="s">
        <v>732</v>
      </c>
      <c r="C1240" s="4" t="s">
        <v>733</v>
      </c>
      <c r="D1240" s="4" t="s">
        <v>559</v>
      </c>
      <c r="E1240" s="10">
        <f>IFERROR(__xludf.DUMMYFUNCTION("SPLIT(B1240,""T"")"),41870.0)</f>
        <v>41870</v>
      </c>
      <c r="F1240" s="4" t="str">
        <f>IFERROR(__xludf.DUMMYFUNCTION("""COMPUTED_VALUE"""),"16:45:00Z")</f>
        <v>16:45:00Z</v>
      </c>
      <c r="G1240" s="11" t="str">
        <f t="shared" si="1"/>
        <v>16:45:00</v>
      </c>
      <c r="H1240" s="10">
        <f>IFERROR(__xludf.DUMMYFUNCTION("SPLIT(D1240,""T"")"),41869.0)</f>
        <v>41869</v>
      </c>
      <c r="I1240" s="4" t="str">
        <f>IFERROR(__xludf.DUMMYFUNCTION("""COMPUTED_VALUE"""),"10:00:00Z")</f>
        <v>10:00:00Z</v>
      </c>
      <c r="J1240" s="4" t="str">
        <f t="shared" si="2"/>
        <v>10:00:00</v>
      </c>
      <c r="K1240" s="4">
        <f t="shared" si="3"/>
        <v>1</v>
      </c>
      <c r="L1240" s="4">
        <f t="shared" si="4"/>
        <v>0.28125</v>
      </c>
      <c r="M1240" s="4">
        <f t="shared" si="5"/>
        <v>1.28125</v>
      </c>
    </row>
    <row r="1241">
      <c r="A1241" s="4" t="s">
        <v>62</v>
      </c>
      <c r="B1241" s="4" t="s">
        <v>1138</v>
      </c>
      <c r="C1241" s="4" t="s">
        <v>1139</v>
      </c>
      <c r="D1241" s="4" t="s">
        <v>1140</v>
      </c>
      <c r="E1241" s="10">
        <f>IFERROR(__xludf.DUMMYFUNCTION("SPLIT(B1241,""T"")"),42226.0)</f>
        <v>42226</v>
      </c>
      <c r="F1241" s="4" t="str">
        <f>IFERROR(__xludf.DUMMYFUNCTION("""COMPUTED_VALUE"""),"15:05:00Z")</f>
        <v>15:05:00Z</v>
      </c>
      <c r="G1241" s="11" t="str">
        <f t="shared" si="1"/>
        <v>15:05:00</v>
      </c>
      <c r="H1241" s="10">
        <f>IFERROR(__xludf.DUMMYFUNCTION("SPLIT(D1241,""T"")"),42225.0)</f>
        <v>42225</v>
      </c>
      <c r="I1241" s="4" t="str">
        <f>IFERROR(__xludf.DUMMYFUNCTION("""COMPUTED_VALUE"""),"08:22:00Z")</f>
        <v>08:22:00Z</v>
      </c>
      <c r="J1241" s="4" t="str">
        <f t="shared" si="2"/>
        <v>08:22:00</v>
      </c>
      <c r="K1241" s="4">
        <f t="shared" si="3"/>
        <v>1</v>
      </c>
      <c r="L1241" s="4">
        <f t="shared" si="4"/>
        <v>0.2798611111</v>
      </c>
      <c r="M1241" s="4">
        <f t="shared" si="5"/>
        <v>1.279861111</v>
      </c>
    </row>
    <row r="1242">
      <c r="A1242" s="4" t="s">
        <v>149</v>
      </c>
      <c r="B1242" s="4" t="s">
        <v>392</v>
      </c>
      <c r="C1242" s="4" t="s">
        <v>393</v>
      </c>
      <c r="D1242" s="4" t="s">
        <v>394</v>
      </c>
      <c r="E1242" s="10">
        <f>IFERROR(__xludf.DUMMYFUNCTION("SPLIT(B1242,""T"")"),41587.0)</f>
        <v>41587</v>
      </c>
      <c r="F1242" s="4" t="str">
        <f>IFERROR(__xludf.DUMMYFUNCTION("""COMPUTED_VALUE"""),"17:00:00Z")</f>
        <v>17:00:00Z</v>
      </c>
      <c r="G1242" s="11" t="str">
        <f t="shared" si="1"/>
        <v>17:00:00</v>
      </c>
      <c r="H1242" s="10">
        <f>IFERROR(__xludf.DUMMYFUNCTION("SPLIT(D1242,""T"")"),41586.0)</f>
        <v>41586</v>
      </c>
      <c r="I1242" s="4" t="str">
        <f>IFERROR(__xludf.DUMMYFUNCTION("""COMPUTED_VALUE"""),"10:30:00Z")</f>
        <v>10:30:00Z</v>
      </c>
      <c r="J1242" s="4" t="str">
        <f t="shared" si="2"/>
        <v>10:30:00</v>
      </c>
      <c r="K1242" s="4">
        <f t="shared" si="3"/>
        <v>1</v>
      </c>
      <c r="L1242" s="4">
        <f t="shared" si="4"/>
        <v>0.2708333333</v>
      </c>
      <c r="M1242" s="4">
        <f t="shared" si="5"/>
        <v>1.270833333</v>
      </c>
    </row>
    <row r="1243">
      <c r="A1243" s="4" t="s">
        <v>186</v>
      </c>
      <c r="B1243" s="4" t="s">
        <v>1233</v>
      </c>
      <c r="C1243" s="4" t="s">
        <v>1234</v>
      </c>
      <c r="D1243" s="4" t="s">
        <v>1235</v>
      </c>
      <c r="E1243" s="10">
        <f>IFERROR(__xludf.DUMMYFUNCTION("SPLIT(B1243,""T"")"),42241.0)</f>
        <v>42241</v>
      </c>
      <c r="F1243" s="4" t="str">
        <f>IFERROR(__xludf.DUMMYFUNCTION("""COMPUTED_VALUE"""),"18:30:00Z")</f>
        <v>18:30:00Z</v>
      </c>
      <c r="G1243" s="11" t="str">
        <f t="shared" si="1"/>
        <v>18:30:00</v>
      </c>
      <c r="H1243" s="10">
        <f>IFERROR(__xludf.DUMMYFUNCTION("SPLIT(D1243,""T"")"),42240.0)</f>
        <v>42240</v>
      </c>
      <c r="I1243" s="4" t="str">
        <f>IFERROR(__xludf.DUMMYFUNCTION("""COMPUTED_VALUE"""),"12:12:00Z")</f>
        <v>12:12:00Z</v>
      </c>
      <c r="J1243" s="4" t="str">
        <f t="shared" si="2"/>
        <v>12:12:00</v>
      </c>
      <c r="K1243" s="4">
        <f t="shared" si="3"/>
        <v>1</v>
      </c>
      <c r="L1243" s="4">
        <f t="shared" si="4"/>
        <v>0.2625</v>
      </c>
      <c r="M1243" s="4">
        <f t="shared" si="5"/>
        <v>1.2625</v>
      </c>
    </row>
    <row r="1244">
      <c r="A1244" s="4" t="s">
        <v>87</v>
      </c>
      <c r="B1244" s="4" t="s">
        <v>1106</v>
      </c>
      <c r="C1244" s="4" t="s">
        <v>238</v>
      </c>
      <c r="D1244" s="4" t="s">
        <v>1107</v>
      </c>
      <c r="E1244" s="10">
        <f>IFERROR(__xludf.DUMMYFUNCTION("SPLIT(B1244,""T"")"),42250.0)</f>
        <v>42250</v>
      </c>
      <c r="F1244" s="4" t="str">
        <f>IFERROR(__xludf.DUMMYFUNCTION("""COMPUTED_VALUE"""),"19:35:00Z")</f>
        <v>19:35:00Z</v>
      </c>
      <c r="G1244" s="11" t="str">
        <f t="shared" si="1"/>
        <v>19:35:00</v>
      </c>
      <c r="H1244" s="10">
        <f>IFERROR(__xludf.DUMMYFUNCTION("SPLIT(D1244,""T"")"),42249.0)</f>
        <v>42249</v>
      </c>
      <c r="I1244" s="4" t="str">
        <f>IFERROR(__xludf.DUMMYFUNCTION("""COMPUTED_VALUE"""),"13:18:00Z")</f>
        <v>13:18:00Z</v>
      </c>
      <c r="J1244" s="4" t="str">
        <f t="shared" si="2"/>
        <v>13:18:00</v>
      </c>
      <c r="K1244" s="4">
        <f t="shared" si="3"/>
        <v>1</v>
      </c>
      <c r="L1244" s="4">
        <f t="shared" si="4"/>
        <v>0.2618055556</v>
      </c>
      <c r="M1244" s="4">
        <f t="shared" si="5"/>
        <v>1.261805556</v>
      </c>
    </row>
    <row r="1245">
      <c r="A1245" s="4" t="s">
        <v>260</v>
      </c>
      <c r="B1245" s="4" t="s">
        <v>261</v>
      </c>
      <c r="C1245" s="4" t="s">
        <v>262</v>
      </c>
      <c r="D1245" s="4" t="s">
        <v>263</v>
      </c>
      <c r="E1245" s="10">
        <f>IFERROR(__xludf.DUMMYFUNCTION("SPLIT(B1245,""T"")"),41468.0)</f>
        <v>41468</v>
      </c>
      <c r="F1245" s="4" t="str">
        <f>IFERROR(__xludf.DUMMYFUNCTION("""COMPUTED_VALUE"""),"21:45:00Z")</f>
        <v>21:45:00Z</v>
      </c>
      <c r="G1245" s="11" t="str">
        <f t="shared" si="1"/>
        <v>21:45:00</v>
      </c>
      <c r="H1245" s="10">
        <f>IFERROR(__xludf.DUMMYFUNCTION("SPLIT(D1245,""T"")"),41467.0)</f>
        <v>41467</v>
      </c>
      <c r="I1245" s="4" t="str">
        <f>IFERROR(__xludf.DUMMYFUNCTION("""COMPUTED_VALUE"""),"15:35:00Z")</f>
        <v>15:35:00Z</v>
      </c>
      <c r="J1245" s="4" t="str">
        <f t="shared" si="2"/>
        <v>15:35:00</v>
      </c>
      <c r="K1245" s="4">
        <f t="shared" si="3"/>
        <v>1</v>
      </c>
      <c r="L1245" s="4">
        <f t="shared" si="4"/>
        <v>0.2569444444</v>
      </c>
      <c r="M1245" s="4">
        <f t="shared" si="5"/>
        <v>1.256944444</v>
      </c>
    </row>
    <row r="1246">
      <c r="A1246" s="4" t="s">
        <v>62</v>
      </c>
      <c r="B1246" s="4" t="s">
        <v>3746</v>
      </c>
      <c r="C1246" s="4" t="s">
        <v>1089</v>
      </c>
      <c r="D1246" s="4" t="s">
        <v>3747</v>
      </c>
      <c r="E1246" s="10">
        <f>IFERROR(__xludf.DUMMYFUNCTION("SPLIT(B1246,""T"")"),43646.0)</f>
        <v>43646</v>
      </c>
      <c r="F1246" s="4" t="str">
        <f>IFERROR(__xludf.DUMMYFUNCTION("""COMPUTED_VALUE"""),"16:50:00Z")</f>
        <v>16:50:00Z</v>
      </c>
      <c r="G1246" s="11" t="str">
        <f t="shared" si="1"/>
        <v>16:50:00</v>
      </c>
      <c r="H1246" s="10">
        <f>IFERROR(__xludf.DUMMYFUNCTION("SPLIT(D1246,""T"")"),43645.0)</f>
        <v>43645</v>
      </c>
      <c r="I1246" s="4" t="str">
        <f>IFERROR(__xludf.DUMMYFUNCTION("""COMPUTED_VALUE"""),"11:11:55Z")</f>
        <v>11:11:55Z</v>
      </c>
      <c r="J1246" s="4" t="str">
        <f t="shared" si="2"/>
        <v>11:11:55</v>
      </c>
      <c r="K1246" s="4">
        <f t="shared" si="3"/>
        <v>1</v>
      </c>
      <c r="L1246" s="4">
        <f t="shared" si="4"/>
        <v>0.2347800926</v>
      </c>
      <c r="M1246" s="4">
        <f t="shared" si="5"/>
        <v>1.234780093</v>
      </c>
    </row>
    <row r="1247">
      <c r="A1247" s="4" t="s">
        <v>23</v>
      </c>
      <c r="B1247" s="4" t="s">
        <v>124</v>
      </c>
      <c r="C1247" s="4" t="s">
        <v>125</v>
      </c>
      <c r="D1247" s="4" t="s">
        <v>126</v>
      </c>
      <c r="E1247" s="10">
        <f>IFERROR(__xludf.DUMMYFUNCTION("SPLIT(B1247,""T"")"),41412.0)</f>
        <v>41412</v>
      </c>
      <c r="F1247" s="4" t="str">
        <f>IFERROR(__xludf.DUMMYFUNCTION("""COMPUTED_VALUE"""),"19:00:00Z")</f>
        <v>19:00:00Z</v>
      </c>
      <c r="G1247" s="11" t="str">
        <f t="shared" si="1"/>
        <v>19:00:00</v>
      </c>
      <c r="H1247" s="10">
        <f>IFERROR(__xludf.DUMMYFUNCTION("SPLIT(D1247,""T"")"),41411.0)</f>
        <v>41411</v>
      </c>
      <c r="I1247" s="4" t="str">
        <f>IFERROR(__xludf.DUMMYFUNCTION("""COMPUTED_VALUE"""),"13:23:00Z")</f>
        <v>13:23:00Z</v>
      </c>
      <c r="J1247" s="4" t="str">
        <f t="shared" si="2"/>
        <v>13:23:00</v>
      </c>
      <c r="K1247" s="4">
        <f t="shared" si="3"/>
        <v>1</v>
      </c>
      <c r="L1247" s="4">
        <f t="shared" si="4"/>
        <v>0.2340277778</v>
      </c>
      <c r="M1247" s="4">
        <f t="shared" si="5"/>
        <v>1.234027778</v>
      </c>
    </row>
    <row r="1248">
      <c r="A1248" s="4" t="s">
        <v>54</v>
      </c>
      <c r="B1248" s="4" t="s">
        <v>1062</v>
      </c>
      <c r="C1248" s="4" t="s">
        <v>1063</v>
      </c>
      <c r="D1248" s="4" t="s">
        <v>1064</v>
      </c>
      <c r="E1248" s="10">
        <f>IFERROR(__xludf.DUMMYFUNCTION("SPLIT(B1248,""T"")"),42225.0)</f>
        <v>42225</v>
      </c>
      <c r="F1248" s="4" t="str">
        <f>IFERROR(__xludf.DUMMYFUNCTION("""COMPUTED_VALUE"""),"20:30:00Z")</f>
        <v>20:30:00Z</v>
      </c>
      <c r="G1248" s="11" t="str">
        <f t="shared" si="1"/>
        <v>20:30:00</v>
      </c>
      <c r="H1248" s="10">
        <f>IFERROR(__xludf.DUMMYFUNCTION("SPLIT(D1248,""T"")"),42224.0)</f>
        <v>42224</v>
      </c>
      <c r="I1248" s="4" t="str">
        <f>IFERROR(__xludf.DUMMYFUNCTION("""COMPUTED_VALUE"""),"14:55:00Z")</f>
        <v>14:55:00Z</v>
      </c>
      <c r="J1248" s="4" t="str">
        <f t="shared" si="2"/>
        <v>14:55:00</v>
      </c>
      <c r="K1248" s="4">
        <f t="shared" si="3"/>
        <v>1</v>
      </c>
      <c r="L1248" s="4">
        <f t="shared" si="4"/>
        <v>0.2326388889</v>
      </c>
      <c r="M1248" s="4">
        <f t="shared" si="5"/>
        <v>1.232638889</v>
      </c>
    </row>
    <row r="1249">
      <c r="A1249" s="4" t="s">
        <v>58</v>
      </c>
      <c r="B1249" s="4" t="s">
        <v>1082</v>
      </c>
      <c r="C1249" s="4" t="s">
        <v>1083</v>
      </c>
      <c r="D1249" s="4" t="s">
        <v>1084</v>
      </c>
      <c r="E1249" s="10">
        <f>IFERROR(__xludf.DUMMYFUNCTION("SPLIT(B1249,""T"")"),42216.0)</f>
        <v>42216</v>
      </c>
      <c r="F1249" s="4" t="str">
        <f>IFERROR(__xludf.DUMMYFUNCTION("""COMPUTED_VALUE"""),"18:30:00Z")</f>
        <v>18:30:00Z</v>
      </c>
      <c r="G1249" s="11" t="str">
        <f t="shared" si="1"/>
        <v>18:30:00</v>
      </c>
      <c r="H1249" s="10">
        <f>IFERROR(__xludf.DUMMYFUNCTION("SPLIT(D1249,""T"")"),42215.0)</f>
        <v>42215</v>
      </c>
      <c r="I1249" s="4" t="str">
        <f>IFERROR(__xludf.DUMMYFUNCTION("""COMPUTED_VALUE"""),"12:57:00Z")</f>
        <v>12:57:00Z</v>
      </c>
      <c r="J1249" s="4" t="str">
        <f t="shared" si="2"/>
        <v>12:57:00</v>
      </c>
      <c r="K1249" s="4">
        <f t="shared" si="3"/>
        <v>1</v>
      </c>
      <c r="L1249" s="4">
        <f t="shared" si="4"/>
        <v>0.23125</v>
      </c>
      <c r="M1249" s="4">
        <f t="shared" si="5"/>
        <v>1.23125</v>
      </c>
    </row>
    <row r="1250">
      <c r="A1250" s="4" t="s">
        <v>62</v>
      </c>
      <c r="B1250" s="4" t="s">
        <v>652</v>
      </c>
      <c r="C1250" s="4" t="s">
        <v>653</v>
      </c>
      <c r="D1250" s="4" t="s">
        <v>654</v>
      </c>
      <c r="E1250" s="10">
        <f>IFERROR(__xludf.DUMMYFUNCTION("SPLIT(B1250,""T"")"),41774.0)</f>
        <v>41774</v>
      </c>
      <c r="F1250" s="4" t="str">
        <f>IFERROR(__xludf.DUMMYFUNCTION("""COMPUTED_VALUE"""),"18:30:00Z")</f>
        <v>18:30:00Z</v>
      </c>
      <c r="G1250" s="11" t="str">
        <f t="shared" si="1"/>
        <v>18:30:00</v>
      </c>
      <c r="H1250" s="10">
        <f>IFERROR(__xludf.DUMMYFUNCTION("SPLIT(D1250,""T"")"),41773.0)</f>
        <v>41773</v>
      </c>
      <c r="I1250" s="4" t="str">
        <f>IFERROR(__xludf.DUMMYFUNCTION("""COMPUTED_VALUE"""),"13:00:00Z")</f>
        <v>13:00:00Z</v>
      </c>
      <c r="J1250" s="4" t="str">
        <f t="shared" si="2"/>
        <v>13:00:00</v>
      </c>
      <c r="K1250" s="4">
        <f t="shared" si="3"/>
        <v>1</v>
      </c>
      <c r="L1250" s="4">
        <f t="shared" si="4"/>
        <v>0.2291666667</v>
      </c>
      <c r="M1250" s="4">
        <f t="shared" si="5"/>
        <v>1.229166667</v>
      </c>
    </row>
    <row r="1251">
      <c r="A1251" s="4" t="s">
        <v>149</v>
      </c>
      <c r="B1251" s="4" t="s">
        <v>3568</v>
      </c>
      <c r="C1251" s="4" t="s">
        <v>3569</v>
      </c>
      <c r="D1251" s="4" t="s">
        <v>3570</v>
      </c>
      <c r="E1251" s="10">
        <f>IFERROR(__xludf.DUMMYFUNCTION("SPLIT(B1251,""T"")"),43627.0)</f>
        <v>43627</v>
      </c>
      <c r="F1251" s="4" t="str">
        <f>IFERROR(__xludf.DUMMYFUNCTION("""COMPUTED_VALUE"""),"17:18:00Z")</f>
        <v>17:18:00Z</v>
      </c>
      <c r="G1251" s="11" t="str">
        <f t="shared" si="1"/>
        <v>17:18:00</v>
      </c>
      <c r="H1251" s="10">
        <f>IFERROR(__xludf.DUMMYFUNCTION("SPLIT(D1251,""T"")"),43626.0)</f>
        <v>43626</v>
      </c>
      <c r="I1251" s="4" t="str">
        <f>IFERROR(__xludf.DUMMYFUNCTION("""COMPUTED_VALUE"""),"11:55:00Z")</f>
        <v>11:55:00Z</v>
      </c>
      <c r="J1251" s="4" t="str">
        <f t="shared" si="2"/>
        <v>11:55:00</v>
      </c>
      <c r="K1251" s="4">
        <f t="shared" si="3"/>
        <v>1</v>
      </c>
      <c r="L1251" s="4">
        <f t="shared" si="4"/>
        <v>0.2243055556</v>
      </c>
      <c r="M1251" s="4">
        <f t="shared" si="5"/>
        <v>1.224305556</v>
      </c>
    </row>
    <row r="1252">
      <c r="A1252" s="4" t="s">
        <v>58</v>
      </c>
      <c r="B1252" s="4" t="s">
        <v>3730</v>
      </c>
      <c r="C1252" s="4" t="s">
        <v>758</v>
      </c>
      <c r="D1252" s="4" t="s">
        <v>3731</v>
      </c>
      <c r="E1252" s="10">
        <f>IFERROR(__xludf.DUMMYFUNCTION("SPLIT(B1252,""T"")"),43652.0)</f>
        <v>43652</v>
      </c>
      <c r="F1252" s="4" t="str">
        <f>IFERROR(__xludf.DUMMYFUNCTION("""COMPUTED_VALUE"""),"20:03:00Z")</f>
        <v>20:03:00Z</v>
      </c>
      <c r="G1252" s="11" t="str">
        <f t="shared" si="1"/>
        <v>20:03:00</v>
      </c>
      <c r="H1252" s="10">
        <f>IFERROR(__xludf.DUMMYFUNCTION("SPLIT(D1252,""T"")"),43651.0)</f>
        <v>43651</v>
      </c>
      <c r="I1252" s="4" t="str">
        <f>IFERROR(__xludf.DUMMYFUNCTION("""COMPUTED_VALUE"""),"14:46:33Z")</f>
        <v>14:46:33Z</v>
      </c>
      <c r="J1252" s="4" t="str">
        <f t="shared" si="2"/>
        <v>14:46:33</v>
      </c>
      <c r="K1252" s="4">
        <f t="shared" si="3"/>
        <v>1</v>
      </c>
      <c r="L1252" s="4">
        <f t="shared" si="4"/>
        <v>0.2197569444</v>
      </c>
      <c r="M1252" s="4">
        <f t="shared" si="5"/>
        <v>1.219756944</v>
      </c>
    </row>
    <row r="1253">
      <c r="A1253" s="4" t="s">
        <v>134</v>
      </c>
      <c r="B1253" s="4" t="s">
        <v>3826</v>
      </c>
      <c r="C1253" s="4" t="s">
        <v>3827</v>
      </c>
      <c r="D1253" s="4" t="s">
        <v>3828</v>
      </c>
      <c r="E1253" s="10">
        <f>IFERROR(__xludf.DUMMYFUNCTION("SPLIT(B1253,""T"")"),43760.0)</f>
        <v>43760</v>
      </c>
      <c r="F1253" s="4" t="str">
        <f>IFERROR(__xludf.DUMMYFUNCTION("""COMPUTED_VALUE"""),"13:30:00Z")</f>
        <v>13:30:00Z</v>
      </c>
      <c r="G1253" s="11" t="str">
        <f t="shared" si="1"/>
        <v>13:30:00</v>
      </c>
      <c r="H1253" s="10">
        <f>IFERROR(__xludf.DUMMYFUNCTION("SPLIT(D1253,""T"")"),43759.0)</f>
        <v>43759</v>
      </c>
      <c r="I1253" s="4" t="str">
        <f>IFERROR(__xludf.DUMMYFUNCTION("""COMPUTED_VALUE"""),"08:16:33Z")</f>
        <v>08:16:33Z</v>
      </c>
      <c r="J1253" s="4" t="str">
        <f t="shared" si="2"/>
        <v>08:16:33</v>
      </c>
      <c r="K1253" s="4">
        <f t="shared" si="3"/>
        <v>1</v>
      </c>
      <c r="L1253" s="4">
        <f t="shared" si="4"/>
        <v>0.2176736111</v>
      </c>
      <c r="M1253" s="4">
        <f t="shared" si="5"/>
        <v>1.217673611</v>
      </c>
    </row>
    <row r="1254">
      <c r="A1254" s="4" t="s">
        <v>166</v>
      </c>
      <c r="B1254" s="4" t="s">
        <v>1243</v>
      </c>
      <c r="C1254" s="4" t="s">
        <v>1244</v>
      </c>
      <c r="D1254" s="4" t="s">
        <v>1245</v>
      </c>
      <c r="E1254" s="10">
        <f>IFERROR(__xludf.DUMMYFUNCTION("SPLIT(B1254,""T"")"),42183.0)</f>
        <v>42183</v>
      </c>
      <c r="F1254" s="4" t="str">
        <f>IFERROR(__xludf.DUMMYFUNCTION("""COMPUTED_VALUE"""),"18:00:00Z")</f>
        <v>18:00:00Z</v>
      </c>
      <c r="G1254" s="11" t="str">
        <f t="shared" si="1"/>
        <v>18:00:00</v>
      </c>
      <c r="H1254" s="10">
        <f>IFERROR(__xludf.DUMMYFUNCTION("SPLIT(D1254,""T"")"),42182.0)</f>
        <v>42182</v>
      </c>
      <c r="I1254" s="4" t="str">
        <f>IFERROR(__xludf.DUMMYFUNCTION("""COMPUTED_VALUE"""),"12:51:00Z")</f>
        <v>12:51:00Z</v>
      </c>
      <c r="J1254" s="4" t="str">
        <f t="shared" si="2"/>
        <v>12:51:00</v>
      </c>
      <c r="K1254" s="4">
        <f t="shared" si="3"/>
        <v>1</v>
      </c>
      <c r="L1254" s="4">
        <f t="shared" si="4"/>
        <v>0.2145833333</v>
      </c>
      <c r="M1254" s="4">
        <f t="shared" si="5"/>
        <v>1.214583333</v>
      </c>
    </row>
    <row r="1255">
      <c r="A1255" s="4" t="s">
        <v>80</v>
      </c>
      <c r="B1255" s="4" t="s">
        <v>3533</v>
      </c>
      <c r="C1255" s="4" t="s">
        <v>941</v>
      </c>
      <c r="D1255" s="4" t="s">
        <v>3534</v>
      </c>
      <c r="E1255" s="10">
        <f>IFERROR(__xludf.DUMMYFUNCTION("SPLIT(B1255,""T"")"),43766.0)</f>
        <v>43766</v>
      </c>
      <c r="F1255" s="4" t="str">
        <f>IFERROR(__xludf.DUMMYFUNCTION("""COMPUTED_VALUE"""),"16:30:00Z")</f>
        <v>16:30:00Z</v>
      </c>
      <c r="G1255" s="11" t="str">
        <f t="shared" si="1"/>
        <v>16:30:00</v>
      </c>
      <c r="H1255" s="10">
        <f>IFERROR(__xludf.DUMMYFUNCTION("SPLIT(D1255,""T"")"),43765.0)</f>
        <v>43765</v>
      </c>
      <c r="I1255" s="4" t="str">
        <f>IFERROR(__xludf.DUMMYFUNCTION("""COMPUTED_VALUE"""),"11:29:03Z")</f>
        <v>11:29:03Z</v>
      </c>
      <c r="J1255" s="4" t="str">
        <f t="shared" si="2"/>
        <v>11:29:03</v>
      </c>
      <c r="K1255" s="4">
        <f t="shared" si="3"/>
        <v>1</v>
      </c>
      <c r="L1255" s="4">
        <f t="shared" si="4"/>
        <v>0.2089930556</v>
      </c>
      <c r="M1255" s="4">
        <f t="shared" si="5"/>
        <v>1.208993056</v>
      </c>
    </row>
    <row r="1256">
      <c r="A1256" s="4" t="s">
        <v>35</v>
      </c>
      <c r="B1256" s="4" t="s">
        <v>379</v>
      </c>
      <c r="C1256" s="4" t="s">
        <v>380</v>
      </c>
      <c r="D1256" s="4" t="s">
        <v>381</v>
      </c>
      <c r="E1256" s="10">
        <f>IFERROR(__xludf.DUMMYFUNCTION("SPLIT(B1256,""T"")"),41593.0)</f>
        <v>41593</v>
      </c>
      <c r="F1256" s="4" t="str">
        <f>IFERROR(__xludf.DUMMYFUNCTION("""COMPUTED_VALUE"""),"16:00:00Z")</f>
        <v>16:00:00Z</v>
      </c>
      <c r="G1256" s="11" t="str">
        <f t="shared" si="1"/>
        <v>16:00:00</v>
      </c>
      <c r="H1256" s="10">
        <f>IFERROR(__xludf.DUMMYFUNCTION("SPLIT(D1256,""T"")"),41592.0)</f>
        <v>41592</v>
      </c>
      <c r="I1256" s="4" t="str">
        <f>IFERROR(__xludf.DUMMYFUNCTION("""COMPUTED_VALUE"""),"11:05:00Z")</f>
        <v>11:05:00Z</v>
      </c>
      <c r="J1256" s="4" t="str">
        <f t="shared" si="2"/>
        <v>11:05:00</v>
      </c>
      <c r="K1256" s="4">
        <f t="shared" si="3"/>
        <v>1</v>
      </c>
      <c r="L1256" s="4">
        <f t="shared" si="4"/>
        <v>0.2048611111</v>
      </c>
      <c r="M1256" s="4">
        <f t="shared" si="5"/>
        <v>1.204861111</v>
      </c>
    </row>
    <row r="1257">
      <c r="A1257" s="4" t="s">
        <v>69</v>
      </c>
      <c r="B1257" s="4" t="s">
        <v>3741</v>
      </c>
      <c r="C1257" s="4" t="s">
        <v>3416</v>
      </c>
      <c r="D1257" s="4" t="s">
        <v>3742</v>
      </c>
      <c r="E1257" s="10">
        <f>IFERROR(__xludf.DUMMYFUNCTION("SPLIT(B1257,""T"")"),43683.0)</f>
        <v>43683</v>
      </c>
      <c r="F1257" s="4" t="str">
        <f>IFERROR(__xludf.DUMMYFUNCTION("""COMPUTED_VALUE"""),"18:43:00Z")</f>
        <v>18:43:00Z</v>
      </c>
      <c r="G1257" s="11" t="str">
        <f t="shared" si="1"/>
        <v>18:43:00</v>
      </c>
      <c r="H1257" s="10">
        <f>IFERROR(__xludf.DUMMYFUNCTION("SPLIT(D1257,""T"")"),43682.0)</f>
        <v>43682</v>
      </c>
      <c r="I1257" s="4" t="str">
        <f>IFERROR(__xludf.DUMMYFUNCTION("""COMPUTED_VALUE"""),"13:56:02Z")</f>
        <v>13:56:02Z</v>
      </c>
      <c r="J1257" s="4" t="str">
        <f t="shared" si="2"/>
        <v>13:56:02</v>
      </c>
      <c r="K1257" s="4">
        <f t="shared" si="3"/>
        <v>1</v>
      </c>
      <c r="L1257" s="4">
        <f t="shared" si="4"/>
        <v>0.1992824074</v>
      </c>
      <c r="M1257" s="4">
        <f t="shared" si="5"/>
        <v>1.199282407</v>
      </c>
    </row>
    <row r="1258">
      <c r="A1258" s="4" t="s">
        <v>58</v>
      </c>
      <c r="B1258" s="4" t="s">
        <v>1617</v>
      </c>
      <c r="C1258" s="4" t="s">
        <v>29</v>
      </c>
      <c r="D1258" s="4" t="s">
        <v>1650</v>
      </c>
      <c r="E1258" s="10">
        <f>IFERROR(__xludf.DUMMYFUNCTION("SPLIT(B1258,""T"")"),42592.0)</f>
        <v>42592</v>
      </c>
      <c r="F1258" s="4" t="str">
        <f>IFERROR(__xludf.DUMMYFUNCTION("""COMPUTED_VALUE"""),"17:00:00Z")</f>
        <v>17:00:00Z</v>
      </c>
      <c r="G1258" s="11" t="str">
        <f t="shared" si="1"/>
        <v>17:00:00</v>
      </c>
      <c r="H1258" s="10">
        <f>IFERROR(__xludf.DUMMYFUNCTION("SPLIT(D1258,""T"")"),42591.0)</f>
        <v>42591</v>
      </c>
      <c r="I1258" s="4" t="str">
        <f>IFERROR(__xludf.DUMMYFUNCTION("""COMPUTED_VALUE"""),"12:14:00Z")</f>
        <v>12:14:00Z</v>
      </c>
      <c r="J1258" s="4" t="str">
        <f t="shared" si="2"/>
        <v>12:14:00</v>
      </c>
      <c r="K1258" s="4">
        <f t="shared" si="3"/>
        <v>1</v>
      </c>
      <c r="L1258" s="4">
        <f t="shared" si="4"/>
        <v>0.1986111111</v>
      </c>
      <c r="M1258" s="4">
        <f t="shared" si="5"/>
        <v>1.198611111</v>
      </c>
    </row>
    <row r="1259">
      <c r="A1259" s="4" t="s">
        <v>130</v>
      </c>
      <c r="B1259" s="4" t="s">
        <v>1600</v>
      </c>
      <c r="C1259" s="4" t="s">
        <v>1601</v>
      </c>
      <c r="D1259" s="4" t="s">
        <v>1602</v>
      </c>
      <c r="E1259" s="10">
        <f>IFERROR(__xludf.DUMMYFUNCTION("SPLIT(B1259,""T"")"),42574.0)</f>
        <v>42574</v>
      </c>
      <c r="F1259" s="4" t="str">
        <f>IFERROR(__xludf.DUMMYFUNCTION("""COMPUTED_VALUE"""),"18:00:00Z")</f>
        <v>18:00:00Z</v>
      </c>
      <c r="G1259" s="11" t="str">
        <f t="shared" si="1"/>
        <v>18:00:00</v>
      </c>
      <c r="H1259" s="10">
        <f>IFERROR(__xludf.DUMMYFUNCTION("SPLIT(D1259,""T"")"),42573.0)</f>
        <v>42573</v>
      </c>
      <c r="I1259" s="4" t="str">
        <f>IFERROR(__xludf.DUMMYFUNCTION("""COMPUTED_VALUE"""),"13:15:00Z")</f>
        <v>13:15:00Z</v>
      </c>
      <c r="J1259" s="4" t="str">
        <f t="shared" si="2"/>
        <v>13:15:00</v>
      </c>
      <c r="K1259" s="4">
        <f t="shared" si="3"/>
        <v>1</v>
      </c>
      <c r="L1259" s="4">
        <f t="shared" si="4"/>
        <v>0.1979166667</v>
      </c>
      <c r="M1259" s="4">
        <f t="shared" si="5"/>
        <v>1.197916667</v>
      </c>
    </row>
    <row r="1260">
      <c r="A1260" s="4" t="s">
        <v>278</v>
      </c>
      <c r="B1260" s="4" t="s">
        <v>3543</v>
      </c>
      <c r="C1260" s="4" t="s">
        <v>3544</v>
      </c>
      <c r="D1260" s="4" t="s">
        <v>3545</v>
      </c>
      <c r="E1260" s="10">
        <f>IFERROR(__xludf.DUMMYFUNCTION("SPLIT(B1260,""T"")"),43766.0)</f>
        <v>43766</v>
      </c>
      <c r="F1260" s="4" t="str">
        <f>IFERROR(__xludf.DUMMYFUNCTION("""COMPUTED_VALUE"""),"16:28:00Z")</f>
        <v>16:28:00Z</v>
      </c>
      <c r="G1260" s="11" t="str">
        <f t="shared" si="1"/>
        <v>16:28:00</v>
      </c>
      <c r="H1260" s="10">
        <f>IFERROR(__xludf.DUMMYFUNCTION("SPLIT(D1260,""T"")"),43765.0)</f>
        <v>43765</v>
      </c>
      <c r="I1260" s="4" t="str">
        <f>IFERROR(__xludf.DUMMYFUNCTION("""COMPUTED_VALUE"""),"11:52:15Z")</f>
        <v>11:52:15Z</v>
      </c>
      <c r="J1260" s="4" t="str">
        <f t="shared" si="2"/>
        <v>11:52:15</v>
      </c>
      <c r="K1260" s="4">
        <f t="shared" si="3"/>
        <v>1</v>
      </c>
      <c r="L1260" s="4">
        <f t="shared" si="4"/>
        <v>0.1914930556</v>
      </c>
      <c r="M1260" s="4">
        <f t="shared" si="5"/>
        <v>1.191493056</v>
      </c>
    </row>
    <row r="1261">
      <c r="A1261" s="4" t="s">
        <v>114</v>
      </c>
      <c r="B1261" s="4" t="s">
        <v>748</v>
      </c>
      <c r="C1261" s="4" t="s">
        <v>749</v>
      </c>
      <c r="D1261" s="4" t="s">
        <v>750</v>
      </c>
      <c r="E1261" s="10">
        <f>IFERROR(__xludf.DUMMYFUNCTION("SPLIT(B1261,""T"")"),41760.0)</f>
        <v>41760</v>
      </c>
      <c r="F1261" s="4" t="str">
        <f>IFERROR(__xludf.DUMMYFUNCTION("""COMPUTED_VALUE"""),"19:00:00Z")</f>
        <v>19:00:00Z</v>
      </c>
      <c r="G1261" s="11" t="str">
        <f t="shared" si="1"/>
        <v>19:00:00</v>
      </c>
      <c r="H1261" s="10">
        <f>IFERROR(__xludf.DUMMYFUNCTION("SPLIT(D1261,""T"")"),41759.0)</f>
        <v>41759</v>
      </c>
      <c r="I1261" s="4" t="str">
        <f>IFERROR(__xludf.DUMMYFUNCTION("""COMPUTED_VALUE"""),"14:25:00Z")</f>
        <v>14:25:00Z</v>
      </c>
      <c r="J1261" s="4" t="str">
        <f t="shared" si="2"/>
        <v>14:25:00</v>
      </c>
      <c r="K1261" s="4">
        <f t="shared" si="3"/>
        <v>1</v>
      </c>
      <c r="L1261" s="4">
        <f t="shared" si="4"/>
        <v>0.1909722222</v>
      </c>
      <c r="M1261" s="4">
        <f t="shared" si="5"/>
        <v>1.190972222</v>
      </c>
    </row>
    <row r="1262">
      <c r="A1262" s="4" t="s">
        <v>54</v>
      </c>
      <c r="B1262" s="4" t="s">
        <v>3259</v>
      </c>
      <c r="C1262" s="4" t="s">
        <v>3260</v>
      </c>
      <c r="D1262" s="4" t="s">
        <v>3261</v>
      </c>
      <c r="E1262" s="10">
        <f>IFERROR(__xludf.DUMMYFUNCTION("SPLIT(B1262,""T"")"),43766.0)</f>
        <v>43766</v>
      </c>
      <c r="F1262" s="4" t="str">
        <f>IFERROR(__xludf.DUMMYFUNCTION("""COMPUTED_VALUE"""),"07:22:00Z")</f>
        <v>07:22:00Z</v>
      </c>
      <c r="G1262" s="11" t="str">
        <f t="shared" si="1"/>
        <v>07:22:00</v>
      </c>
      <c r="H1262" s="10">
        <f>IFERROR(__xludf.DUMMYFUNCTION("SPLIT(D1262,""T"")"),43765.0)</f>
        <v>43765</v>
      </c>
      <c r="I1262" s="4" t="str">
        <f>IFERROR(__xludf.DUMMYFUNCTION("""COMPUTED_VALUE"""),"02:47:20Z")</f>
        <v>02:47:20Z</v>
      </c>
      <c r="J1262" s="4" t="str">
        <f t="shared" si="2"/>
        <v>02:47:20</v>
      </c>
      <c r="K1262" s="4">
        <f t="shared" si="3"/>
        <v>1</v>
      </c>
      <c r="L1262" s="4">
        <f t="shared" si="4"/>
        <v>0.1907407407</v>
      </c>
      <c r="M1262" s="4">
        <f t="shared" si="5"/>
        <v>1.190740741</v>
      </c>
    </row>
    <row r="1263">
      <c r="A1263" s="4" t="s">
        <v>401</v>
      </c>
      <c r="B1263" s="4" t="s">
        <v>1508</v>
      </c>
      <c r="C1263" s="4" t="s">
        <v>1509</v>
      </c>
      <c r="D1263" s="4" t="s">
        <v>1510</v>
      </c>
      <c r="E1263" s="10">
        <f>IFERROR(__xludf.DUMMYFUNCTION("SPLIT(B1263,""T"")"),42600.0)</f>
        <v>42600</v>
      </c>
      <c r="F1263" s="4" t="str">
        <f>IFERROR(__xludf.DUMMYFUNCTION("""COMPUTED_VALUE"""),"19:50:00Z")</f>
        <v>19:50:00Z</v>
      </c>
      <c r="G1263" s="11" t="str">
        <f t="shared" si="1"/>
        <v>19:50:00</v>
      </c>
      <c r="H1263" s="10">
        <f>IFERROR(__xludf.DUMMYFUNCTION("SPLIT(D1263,""T"")"),42599.0)</f>
        <v>42599</v>
      </c>
      <c r="I1263" s="4" t="str">
        <f>IFERROR(__xludf.DUMMYFUNCTION("""COMPUTED_VALUE"""),"15:19:00Z")</f>
        <v>15:19:00Z</v>
      </c>
      <c r="J1263" s="4" t="str">
        <f t="shared" si="2"/>
        <v>15:19:00</v>
      </c>
      <c r="K1263" s="4">
        <f t="shared" si="3"/>
        <v>1</v>
      </c>
      <c r="L1263" s="4">
        <f t="shared" si="4"/>
        <v>0.1881944444</v>
      </c>
      <c r="M1263" s="4">
        <f t="shared" si="5"/>
        <v>1.188194444</v>
      </c>
    </row>
    <row r="1264">
      <c r="A1264" s="4" t="s">
        <v>186</v>
      </c>
      <c r="B1264" s="4" t="s">
        <v>502</v>
      </c>
      <c r="C1264" s="4" t="s">
        <v>503</v>
      </c>
      <c r="D1264" s="4" t="s">
        <v>504</v>
      </c>
      <c r="E1264" s="10">
        <f>IFERROR(__xludf.DUMMYFUNCTION("SPLIT(B1264,""T"")"),41602.0)</f>
        <v>41602</v>
      </c>
      <c r="F1264" s="4" t="str">
        <f>IFERROR(__xludf.DUMMYFUNCTION("""COMPUTED_VALUE"""),"18:45:00Z")</f>
        <v>18:45:00Z</v>
      </c>
      <c r="G1264" s="11" t="str">
        <f t="shared" si="1"/>
        <v>18:45:00</v>
      </c>
      <c r="H1264" s="10">
        <f>IFERROR(__xludf.DUMMYFUNCTION("SPLIT(D1264,""T"")"),41601.0)</f>
        <v>41601</v>
      </c>
      <c r="I1264" s="4" t="str">
        <f>IFERROR(__xludf.DUMMYFUNCTION("""COMPUTED_VALUE"""),"14:17:00Z")</f>
        <v>14:17:00Z</v>
      </c>
      <c r="J1264" s="4" t="str">
        <f t="shared" si="2"/>
        <v>14:17:00</v>
      </c>
      <c r="K1264" s="4">
        <f t="shared" si="3"/>
        <v>1</v>
      </c>
      <c r="L1264" s="4">
        <f t="shared" si="4"/>
        <v>0.1861111111</v>
      </c>
      <c r="M1264" s="4">
        <f t="shared" si="5"/>
        <v>1.186111111</v>
      </c>
    </row>
    <row r="1265">
      <c r="A1265" s="4" t="s">
        <v>87</v>
      </c>
      <c r="B1265" s="4" t="s">
        <v>177</v>
      </c>
      <c r="C1265" s="4" t="s">
        <v>78</v>
      </c>
      <c r="D1265" s="4" t="s">
        <v>178</v>
      </c>
      <c r="E1265" s="10">
        <f>IFERROR(__xludf.DUMMYFUNCTION("SPLIT(B1265,""T"")"),41552.0)</f>
        <v>41552</v>
      </c>
      <c r="F1265" s="4" t="str">
        <f>IFERROR(__xludf.DUMMYFUNCTION("""COMPUTED_VALUE"""),"22:00:00Z")</f>
        <v>22:00:00Z</v>
      </c>
      <c r="G1265" s="11" t="str">
        <f t="shared" si="1"/>
        <v>22:00:00</v>
      </c>
      <c r="H1265" s="10">
        <f>IFERROR(__xludf.DUMMYFUNCTION("SPLIT(D1265,""T"")"),41551.0)</f>
        <v>41551</v>
      </c>
      <c r="I1265" s="4" t="str">
        <f>IFERROR(__xludf.DUMMYFUNCTION("""COMPUTED_VALUE"""),"17:37:00Z")</f>
        <v>17:37:00Z</v>
      </c>
      <c r="J1265" s="4" t="str">
        <f t="shared" si="2"/>
        <v>17:37:00</v>
      </c>
      <c r="K1265" s="4">
        <f t="shared" si="3"/>
        <v>1</v>
      </c>
      <c r="L1265" s="4">
        <f t="shared" si="4"/>
        <v>0.1826388889</v>
      </c>
      <c r="M1265" s="4">
        <f t="shared" si="5"/>
        <v>1.182638889</v>
      </c>
    </row>
    <row r="1266">
      <c r="A1266" s="4" t="s">
        <v>130</v>
      </c>
      <c r="B1266" s="4" t="s">
        <v>1693</v>
      </c>
      <c r="C1266" s="4" t="s">
        <v>1694</v>
      </c>
      <c r="D1266" s="4" t="s">
        <v>1695</v>
      </c>
      <c r="E1266" s="10">
        <f>IFERROR(__xludf.DUMMYFUNCTION("SPLIT(B1266,""T"")"),42589.0)</f>
        <v>42589</v>
      </c>
      <c r="F1266" s="4" t="str">
        <f>IFERROR(__xludf.DUMMYFUNCTION("""COMPUTED_VALUE"""),"19:18:00Z")</f>
        <v>19:18:00Z</v>
      </c>
      <c r="G1266" s="11" t="str">
        <f t="shared" si="1"/>
        <v>19:18:00</v>
      </c>
      <c r="H1266" s="10">
        <f>IFERROR(__xludf.DUMMYFUNCTION("SPLIT(D1266,""T"")"),42588.0)</f>
        <v>42588</v>
      </c>
      <c r="I1266" s="4" t="str">
        <f>IFERROR(__xludf.DUMMYFUNCTION("""COMPUTED_VALUE"""),"15:00:00Z")</f>
        <v>15:00:00Z</v>
      </c>
      <c r="J1266" s="4" t="str">
        <f t="shared" si="2"/>
        <v>15:00:00</v>
      </c>
      <c r="K1266" s="4">
        <f t="shared" si="3"/>
        <v>1</v>
      </c>
      <c r="L1266" s="4">
        <f t="shared" si="4"/>
        <v>0.1791666667</v>
      </c>
      <c r="M1266" s="4">
        <f t="shared" si="5"/>
        <v>1.179166667</v>
      </c>
    </row>
    <row r="1267">
      <c r="A1267" s="4" t="s">
        <v>313</v>
      </c>
      <c r="B1267" s="4" t="s">
        <v>314</v>
      </c>
      <c r="C1267" s="4" t="s">
        <v>255</v>
      </c>
      <c r="D1267" s="4" t="s">
        <v>315</v>
      </c>
      <c r="E1267" s="10">
        <f>IFERROR(__xludf.DUMMYFUNCTION("SPLIT(B1267,""T"")"),41546.0)</f>
        <v>41546</v>
      </c>
      <c r="F1267" s="4" t="str">
        <f>IFERROR(__xludf.DUMMYFUNCTION("""COMPUTED_VALUE"""),"18:15:00Z")</f>
        <v>18:15:00Z</v>
      </c>
      <c r="G1267" s="11" t="str">
        <f t="shared" si="1"/>
        <v>18:15:00</v>
      </c>
      <c r="H1267" s="10">
        <f>IFERROR(__xludf.DUMMYFUNCTION("SPLIT(D1267,""T"")"),41545.0)</f>
        <v>41545</v>
      </c>
      <c r="I1267" s="4" t="str">
        <f>IFERROR(__xludf.DUMMYFUNCTION("""COMPUTED_VALUE"""),"13:57:00Z")</f>
        <v>13:57:00Z</v>
      </c>
      <c r="J1267" s="4" t="str">
        <f t="shared" si="2"/>
        <v>13:57:00</v>
      </c>
      <c r="K1267" s="4">
        <f t="shared" si="3"/>
        <v>1</v>
      </c>
      <c r="L1267" s="4">
        <f t="shared" si="4"/>
        <v>0.1791666667</v>
      </c>
      <c r="M1267" s="4">
        <f t="shared" si="5"/>
        <v>1.179166667</v>
      </c>
    </row>
    <row r="1268">
      <c r="A1268" s="4" t="s">
        <v>156</v>
      </c>
      <c r="B1268" s="4" t="s">
        <v>333</v>
      </c>
      <c r="C1268" s="4" t="s">
        <v>334</v>
      </c>
      <c r="D1268" s="4" t="s">
        <v>335</v>
      </c>
      <c r="E1268" s="10">
        <f>IFERROR(__xludf.DUMMYFUNCTION("SPLIT(B1268,""T"")"),41414.0)</f>
        <v>41414</v>
      </c>
      <c r="F1268" s="4" t="str">
        <f>IFERROR(__xludf.DUMMYFUNCTION("""COMPUTED_VALUE"""),"19:10:00Z")</f>
        <v>19:10:00Z</v>
      </c>
      <c r="G1268" s="11" t="str">
        <f t="shared" si="1"/>
        <v>19:10:00</v>
      </c>
      <c r="H1268" s="10">
        <f>IFERROR(__xludf.DUMMYFUNCTION("SPLIT(D1268,""T"")"),41413.0)</f>
        <v>41413</v>
      </c>
      <c r="I1268" s="4" t="str">
        <f>IFERROR(__xludf.DUMMYFUNCTION("""COMPUTED_VALUE"""),"15:07:00Z")</f>
        <v>15:07:00Z</v>
      </c>
      <c r="J1268" s="4" t="str">
        <f t="shared" si="2"/>
        <v>15:07:00</v>
      </c>
      <c r="K1268" s="4">
        <f t="shared" si="3"/>
        <v>1</v>
      </c>
      <c r="L1268" s="4">
        <f t="shared" si="4"/>
        <v>0.16875</v>
      </c>
      <c r="M1268" s="4">
        <f t="shared" si="5"/>
        <v>1.16875</v>
      </c>
    </row>
    <row r="1269">
      <c r="A1269" s="4" t="s">
        <v>23</v>
      </c>
      <c r="B1269" s="4" t="s">
        <v>270</v>
      </c>
      <c r="C1269" s="4" t="s">
        <v>271</v>
      </c>
      <c r="D1269" s="4" t="s">
        <v>272</v>
      </c>
      <c r="E1269" s="10">
        <f>IFERROR(__xludf.DUMMYFUNCTION("SPLIT(B1269,""T"")"),41423.0)</f>
        <v>41423</v>
      </c>
      <c r="F1269" s="4" t="str">
        <f>IFERROR(__xludf.DUMMYFUNCTION("""COMPUTED_VALUE"""),"15:30:00Z")</f>
        <v>15:30:00Z</v>
      </c>
      <c r="G1269" s="11" t="str">
        <f t="shared" si="1"/>
        <v>15:30:00</v>
      </c>
      <c r="H1269" s="10">
        <f>IFERROR(__xludf.DUMMYFUNCTION("SPLIT(D1269,""T"")"),41422.0)</f>
        <v>41422</v>
      </c>
      <c r="I1269" s="4" t="str">
        <f>IFERROR(__xludf.DUMMYFUNCTION("""COMPUTED_VALUE"""),"11:30:00Z")</f>
        <v>11:30:00Z</v>
      </c>
      <c r="J1269" s="4" t="str">
        <f t="shared" si="2"/>
        <v>11:30:00</v>
      </c>
      <c r="K1269" s="4">
        <f t="shared" si="3"/>
        <v>1</v>
      </c>
      <c r="L1269" s="4">
        <f t="shared" si="4"/>
        <v>0.1666666667</v>
      </c>
      <c r="M1269" s="4">
        <f t="shared" si="5"/>
        <v>1.166666667</v>
      </c>
    </row>
    <row r="1270">
      <c r="A1270" s="4" t="s">
        <v>58</v>
      </c>
      <c r="B1270" s="4" t="s">
        <v>1246</v>
      </c>
      <c r="C1270" s="4" t="s">
        <v>1247</v>
      </c>
      <c r="D1270" s="4" t="s">
        <v>1248</v>
      </c>
      <c r="E1270" s="10">
        <f>IFERROR(__xludf.DUMMYFUNCTION("SPLIT(B1270,""T"")"),42193.0)</f>
        <v>42193</v>
      </c>
      <c r="F1270" s="4" t="str">
        <f>IFERROR(__xludf.DUMMYFUNCTION("""COMPUTED_VALUE"""),"16:30:00Z")</f>
        <v>16:30:00Z</v>
      </c>
      <c r="G1270" s="11" t="str">
        <f t="shared" si="1"/>
        <v>16:30:00</v>
      </c>
      <c r="H1270" s="10">
        <f>IFERROR(__xludf.DUMMYFUNCTION("SPLIT(D1270,""T"")"),42192.0)</f>
        <v>42192</v>
      </c>
      <c r="I1270" s="4" t="str">
        <f>IFERROR(__xludf.DUMMYFUNCTION("""COMPUTED_VALUE"""),"12:34:00Z")</f>
        <v>12:34:00Z</v>
      </c>
      <c r="J1270" s="4" t="str">
        <f t="shared" si="2"/>
        <v>12:34:00</v>
      </c>
      <c r="K1270" s="4">
        <f t="shared" si="3"/>
        <v>1</v>
      </c>
      <c r="L1270" s="4">
        <f t="shared" si="4"/>
        <v>0.1638888889</v>
      </c>
      <c r="M1270" s="4">
        <f t="shared" si="5"/>
        <v>1.163888889</v>
      </c>
    </row>
    <row r="1271">
      <c r="A1271" s="4" t="s">
        <v>411</v>
      </c>
      <c r="B1271" s="4" t="s">
        <v>1586</v>
      </c>
      <c r="C1271" s="4" t="s">
        <v>437</v>
      </c>
      <c r="D1271" s="4" t="s">
        <v>1587</v>
      </c>
      <c r="E1271" s="10">
        <f>IFERROR(__xludf.DUMMYFUNCTION("SPLIT(B1271,""T"")"),42573.0)</f>
        <v>42573</v>
      </c>
      <c r="F1271" s="4" t="str">
        <f>IFERROR(__xludf.DUMMYFUNCTION("""COMPUTED_VALUE"""),"19:00:00Z")</f>
        <v>19:00:00Z</v>
      </c>
      <c r="G1271" s="11" t="str">
        <f t="shared" si="1"/>
        <v>19:00:00</v>
      </c>
      <c r="H1271" s="10">
        <f>IFERROR(__xludf.DUMMYFUNCTION("SPLIT(D1271,""T"")"),42572.0)</f>
        <v>42572</v>
      </c>
      <c r="I1271" s="4" t="str">
        <f>IFERROR(__xludf.DUMMYFUNCTION("""COMPUTED_VALUE"""),"15:06:00Z")</f>
        <v>15:06:00Z</v>
      </c>
      <c r="J1271" s="4" t="str">
        <f t="shared" si="2"/>
        <v>15:06:00</v>
      </c>
      <c r="K1271" s="4">
        <f t="shared" si="3"/>
        <v>1</v>
      </c>
      <c r="L1271" s="4">
        <f t="shared" si="4"/>
        <v>0.1625</v>
      </c>
      <c r="M1271" s="4">
        <f t="shared" si="5"/>
        <v>1.1625</v>
      </c>
    </row>
    <row r="1272">
      <c r="A1272" s="4" t="s">
        <v>94</v>
      </c>
      <c r="B1272" s="4" t="s">
        <v>3721</v>
      </c>
      <c r="C1272" s="4" t="s">
        <v>3722</v>
      </c>
      <c r="D1272" s="4" t="s">
        <v>3723</v>
      </c>
      <c r="E1272" s="10">
        <f>IFERROR(__xludf.DUMMYFUNCTION("SPLIT(B1272,""T"")"),43620.0)</f>
        <v>43620</v>
      </c>
      <c r="F1272" s="4" t="str">
        <f>IFERROR(__xludf.DUMMYFUNCTION("""COMPUTED_VALUE"""),"16:03:00Z")</f>
        <v>16:03:00Z</v>
      </c>
      <c r="G1272" s="11" t="str">
        <f t="shared" si="1"/>
        <v>16:03:00</v>
      </c>
      <c r="H1272" s="10">
        <f>IFERROR(__xludf.DUMMYFUNCTION("SPLIT(D1272,""T"")"),43619.0)</f>
        <v>43619</v>
      </c>
      <c r="I1272" s="4" t="str">
        <f>IFERROR(__xludf.DUMMYFUNCTION("""COMPUTED_VALUE"""),"12:18:00Z")</f>
        <v>12:18:00Z</v>
      </c>
      <c r="J1272" s="4" t="str">
        <f t="shared" si="2"/>
        <v>12:18:00</v>
      </c>
      <c r="K1272" s="4">
        <f t="shared" si="3"/>
        <v>1</v>
      </c>
      <c r="L1272" s="4">
        <f t="shared" si="4"/>
        <v>0.15625</v>
      </c>
      <c r="M1272" s="4">
        <f t="shared" si="5"/>
        <v>1.15625</v>
      </c>
    </row>
    <row r="1273">
      <c r="A1273" s="4" t="s">
        <v>62</v>
      </c>
      <c r="B1273" s="4" t="s">
        <v>1214</v>
      </c>
      <c r="C1273" s="4" t="s">
        <v>125</v>
      </c>
      <c r="D1273" s="4" t="s">
        <v>1215</v>
      </c>
      <c r="E1273" s="10">
        <f>IFERROR(__xludf.DUMMYFUNCTION("SPLIT(B1273,""T"")"),42202.0)</f>
        <v>42202</v>
      </c>
      <c r="F1273" s="4" t="str">
        <f>IFERROR(__xludf.DUMMYFUNCTION("""COMPUTED_VALUE"""),"15:15:00Z")</f>
        <v>15:15:00Z</v>
      </c>
      <c r="G1273" s="11" t="str">
        <f t="shared" si="1"/>
        <v>15:15:00</v>
      </c>
      <c r="H1273" s="10">
        <f>IFERROR(__xludf.DUMMYFUNCTION("SPLIT(D1273,""T"")"),42201.0)</f>
        <v>42201</v>
      </c>
      <c r="I1273" s="4" t="str">
        <f>IFERROR(__xludf.DUMMYFUNCTION("""COMPUTED_VALUE"""),"11:30:00Z")</f>
        <v>11:30:00Z</v>
      </c>
      <c r="J1273" s="4" t="str">
        <f t="shared" si="2"/>
        <v>11:30:00</v>
      </c>
      <c r="K1273" s="4">
        <f t="shared" si="3"/>
        <v>1</v>
      </c>
      <c r="L1273" s="4">
        <f t="shared" si="4"/>
        <v>0.15625</v>
      </c>
      <c r="M1273" s="4">
        <f t="shared" si="5"/>
        <v>1.15625</v>
      </c>
    </row>
    <row r="1274">
      <c r="A1274" s="4" t="s">
        <v>134</v>
      </c>
      <c r="B1274" s="4" t="s">
        <v>780</v>
      </c>
      <c r="C1274" s="4" t="s">
        <v>781</v>
      </c>
      <c r="D1274" s="4" t="s">
        <v>782</v>
      </c>
      <c r="E1274" s="10">
        <f>IFERROR(__xludf.DUMMYFUNCTION("SPLIT(B1274,""T"")"),41929.0)</f>
        <v>41929</v>
      </c>
      <c r="F1274" s="4" t="str">
        <f>IFERROR(__xludf.DUMMYFUNCTION("""COMPUTED_VALUE"""),"18:15:00Z")</f>
        <v>18:15:00Z</v>
      </c>
      <c r="G1274" s="11" t="str">
        <f t="shared" si="1"/>
        <v>18:15:00</v>
      </c>
      <c r="H1274" s="10">
        <f>IFERROR(__xludf.DUMMYFUNCTION("SPLIT(D1274,""T"")"),41928.0)</f>
        <v>41928</v>
      </c>
      <c r="I1274" s="4" t="str">
        <f>IFERROR(__xludf.DUMMYFUNCTION("""COMPUTED_VALUE"""),"14:34:00Z")</f>
        <v>14:34:00Z</v>
      </c>
      <c r="J1274" s="4" t="str">
        <f t="shared" si="2"/>
        <v>14:34:00</v>
      </c>
      <c r="K1274" s="4">
        <f t="shared" si="3"/>
        <v>1</v>
      </c>
      <c r="L1274" s="4">
        <f t="shared" si="4"/>
        <v>0.1534722222</v>
      </c>
      <c r="M1274" s="4">
        <f t="shared" si="5"/>
        <v>1.153472222</v>
      </c>
    </row>
    <row r="1275">
      <c r="A1275" s="4" t="s">
        <v>411</v>
      </c>
      <c r="B1275" s="4" t="s">
        <v>1653</v>
      </c>
      <c r="C1275" s="4" t="s">
        <v>1654</v>
      </c>
      <c r="D1275" s="4" t="s">
        <v>1655</v>
      </c>
      <c r="E1275" s="10">
        <f>IFERROR(__xludf.DUMMYFUNCTION("SPLIT(B1275,""T"")"),42564.0)</f>
        <v>42564</v>
      </c>
      <c r="F1275" s="4" t="str">
        <f>IFERROR(__xludf.DUMMYFUNCTION("""COMPUTED_VALUE"""),"19:00:00Z")</f>
        <v>19:00:00Z</v>
      </c>
      <c r="G1275" s="11" t="str">
        <f t="shared" si="1"/>
        <v>19:00:00</v>
      </c>
      <c r="H1275" s="10">
        <f>IFERROR(__xludf.DUMMYFUNCTION("SPLIT(D1275,""T"")"),42563.0)</f>
        <v>42563</v>
      </c>
      <c r="I1275" s="4" t="str">
        <f>IFERROR(__xludf.DUMMYFUNCTION("""COMPUTED_VALUE"""),"15:19:00Z")</f>
        <v>15:19:00Z</v>
      </c>
      <c r="J1275" s="4" t="str">
        <f t="shared" si="2"/>
        <v>15:19:00</v>
      </c>
      <c r="K1275" s="4">
        <f t="shared" si="3"/>
        <v>1</v>
      </c>
      <c r="L1275" s="4">
        <f t="shared" si="4"/>
        <v>0.1534722222</v>
      </c>
      <c r="M1275" s="4">
        <f t="shared" si="5"/>
        <v>1.153472222</v>
      </c>
    </row>
    <row r="1276">
      <c r="A1276" s="4" t="s">
        <v>411</v>
      </c>
      <c r="B1276" s="4" t="s">
        <v>565</v>
      </c>
      <c r="C1276" s="4" t="s">
        <v>706</v>
      </c>
      <c r="D1276" s="4" t="s">
        <v>707</v>
      </c>
      <c r="E1276" s="10">
        <f>IFERROR(__xludf.DUMMYFUNCTION("SPLIT(B1276,""T"")"),41811.0)</f>
        <v>41811</v>
      </c>
      <c r="F1276" s="4" t="str">
        <f>IFERROR(__xludf.DUMMYFUNCTION("""COMPUTED_VALUE"""),"19:00:00Z")</f>
        <v>19:00:00Z</v>
      </c>
      <c r="G1276" s="11" t="str">
        <f t="shared" si="1"/>
        <v>19:00:00</v>
      </c>
      <c r="H1276" s="10">
        <f>IFERROR(__xludf.DUMMYFUNCTION("SPLIT(D1276,""T"")"),41810.0)</f>
        <v>41810</v>
      </c>
      <c r="I1276" s="4" t="str">
        <f>IFERROR(__xludf.DUMMYFUNCTION("""COMPUTED_VALUE"""),"15:27:00Z")</f>
        <v>15:27:00Z</v>
      </c>
      <c r="J1276" s="4" t="str">
        <f t="shared" si="2"/>
        <v>15:27:00</v>
      </c>
      <c r="K1276" s="4">
        <f t="shared" si="3"/>
        <v>1</v>
      </c>
      <c r="L1276" s="4">
        <f t="shared" si="4"/>
        <v>0.1479166667</v>
      </c>
      <c r="M1276" s="4">
        <f t="shared" si="5"/>
        <v>1.147916667</v>
      </c>
    </row>
    <row r="1277">
      <c r="A1277" s="4" t="s">
        <v>134</v>
      </c>
      <c r="B1277" s="4" t="s">
        <v>295</v>
      </c>
      <c r="C1277" s="4" t="s">
        <v>296</v>
      </c>
      <c r="D1277" s="4" t="s">
        <v>297</v>
      </c>
      <c r="E1277" s="10">
        <f>IFERROR(__xludf.DUMMYFUNCTION("SPLIT(B1277,""T"")"),41504.0)</f>
        <v>41504</v>
      </c>
      <c r="F1277" s="4" t="str">
        <f>IFERROR(__xludf.DUMMYFUNCTION("""COMPUTED_VALUE"""),"20:55:00Z")</f>
        <v>20:55:00Z</v>
      </c>
      <c r="G1277" s="11" t="str">
        <f t="shared" si="1"/>
        <v>20:55:00</v>
      </c>
      <c r="H1277" s="10">
        <f>IFERROR(__xludf.DUMMYFUNCTION("SPLIT(D1277,""T"")"),41503.0)</f>
        <v>41503</v>
      </c>
      <c r="I1277" s="4" t="str">
        <f>IFERROR(__xludf.DUMMYFUNCTION("""COMPUTED_VALUE"""),"17:25:00Z")</f>
        <v>17:25:00Z</v>
      </c>
      <c r="J1277" s="4" t="str">
        <f t="shared" si="2"/>
        <v>17:25:00</v>
      </c>
      <c r="K1277" s="4">
        <f t="shared" si="3"/>
        <v>1</v>
      </c>
      <c r="L1277" s="4">
        <f t="shared" si="4"/>
        <v>0.1458333333</v>
      </c>
      <c r="M1277" s="4">
        <f t="shared" si="5"/>
        <v>1.145833333</v>
      </c>
    </row>
    <row r="1278">
      <c r="A1278" s="4" t="s">
        <v>27</v>
      </c>
      <c r="B1278" s="4" t="s">
        <v>3715</v>
      </c>
      <c r="C1278" s="4" t="s">
        <v>3716</v>
      </c>
      <c r="D1278" s="4" t="s">
        <v>3717</v>
      </c>
      <c r="E1278" s="10">
        <f>IFERROR(__xludf.DUMMYFUNCTION("SPLIT(B1278,""T"")"),43700.0)</f>
        <v>43700</v>
      </c>
      <c r="F1278" s="4" t="str">
        <f>IFERROR(__xludf.DUMMYFUNCTION("""COMPUTED_VALUE"""),"23:00:00Z")</f>
        <v>23:00:00Z</v>
      </c>
      <c r="G1278" s="11" t="str">
        <f t="shared" si="1"/>
        <v>23:00:00</v>
      </c>
      <c r="H1278" s="10">
        <f>IFERROR(__xludf.DUMMYFUNCTION("SPLIT(D1278,""T"")"),43699.0)</f>
        <v>43699</v>
      </c>
      <c r="I1278" s="4" t="str">
        <f>IFERROR(__xludf.DUMMYFUNCTION("""COMPUTED_VALUE"""),"19:31:10Z")</f>
        <v>19:31:10Z</v>
      </c>
      <c r="J1278" s="4" t="str">
        <f t="shared" si="2"/>
        <v>19:31:10</v>
      </c>
      <c r="K1278" s="4">
        <f t="shared" si="3"/>
        <v>1</v>
      </c>
      <c r="L1278" s="4">
        <f t="shared" si="4"/>
        <v>0.1450231481</v>
      </c>
      <c r="M1278" s="4">
        <f t="shared" si="5"/>
        <v>1.145023148</v>
      </c>
    </row>
    <row r="1279">
      <c r="A1279" s="4" t="s">
        <v>62</v>
      </c>
      <c r="B1279" s="4" t="s">
        <v>1208</v>
      </c>
      <c r="C1279" s="4" t="s">
        <v>1209</v>
      </c>
      <c r="D1279" s="4" t="s">
        <v>1210</v>
      </c>
      <c r="E1279" s="10">
        <f>IFERROR(__xludf.DUMMYFUNCTION("SPLIT(B1279,""T"")"),42210.0)</f>
        <v>42210</v>
      </c>
      <c r="F1279" s="4" t="str">
        <f>IFERROR(__xludf.DUMMYFUNCTION("""COMPUTED_VALUE"""),"16:05:00Z")</f>
        <v>16:05:00Z</v>
      </c>
      <c r="G1279" s="11" t="str">
        <f t="shared" si="1"/>
        <v>16:05:00</v>
      </c>
      <c r="H1279" s="10">
        <f>IFERROR(__xludf.DUMMYFUNCTION("SPLIT(D1279,""T"")"),42209.0)</f>
        <v>42209</v>
      </c>
      <c r="I1279" s="4" t="str">
        <f>IFERROR(__xludf.DUMMYFUNCTION("""COMPUTED_VALUE"""),"12:43:00Z")</f>
        <v>12:43:00Z</v>
      </c>
      <c r="J1279" s="4" t="str">
        <f t="shared" si="2"/>
        <v>12:43:00</v>
      </c>
      <c r="K1279" s="4">
        <f t="shared" si="3"/>
        <v>1</v>
      </c>
      <c r="L1279" s="4">
        <f t="shared" si="4"/>
        <v>0.1402777778</v>
      </c>
      <c r="M1279" s="4">
        <f t="shared" si="5"/>
        <v>1.140277778</v>
      </c>
    </row>
    <row r="1280">
      <c r="A1280" s="4" t="s">
        <v>320</v>
      </c>
      <c r="B1280" s="4" t="s">
        <v>1120</v>
      </c>
      <c r="C1280" s="4" t="s">
        <v>1121</v>
      </c>
      <c r="D1280" s="4" t="s">
        <v>1122</v>
      </c>
      <c r="E1280" s="10">
        <f>IFERROR(__xludf.DUMMYFUNCTION("SPLIT(B1280,""T"")"),42175.0)</f>
        <v>42175</v>
      </c>
      <c r="F1280" s="4" t="str">
        <f>IFERROR(__xludf.DUMMYFUNCTION("""COMPUTED_VALUE"""),"19:35:00Z")</f>
        <v>19:35:00Z</v>
      </c>
      <c r="G1280" s="11" t="str">
        <f t="shared" si="1"/>
        <v>19:35:00</v>
      </c>
      <c r="H1280" s="10">
        <f>IFERROR(__xludf.DUMMYFUNCTION("SPLIT(D1280,""T"")"),42174.0)</f>
        <v>42174</v>
      </c>
      <c r="I1280" s="4" t="str">
        <f>IFERROR(__xludf.DUMMYFUNCTION("""COMPUTED_VALUE"""),"16:15:00Z")</f>
        <v>16:15:00Z</v>
      </c>
      <c r="J1280" s="4" t="str">
        <f t="shared" si="2"/>
        <v>16:15:00</v>
      </c>
      <c r="K1280" s="4">
        <f t="shared" si="3"/>
        <v>1</v>
      </c>
      <c r="L1280" s="4">
        <f t="shared" si="4"/>
        <v>0.1388888889</v>
      </c>
      <c r="M1280" s="4">
        <f t="shared" si="5"/>
        <v>1.138888889</v>
      </c>
    </row>
    <row r="1281">
      <c r="A1281" s="4" t="s">
        <v>31</v>
      </c>
      <c r="B1281" s="4" t="s">
        <v>828</v>
      </c>
      <c r="C1281" s="4" t="s">
        <v>829</v>
      </c>
      <c r="D1281" s="4" t="s">
        <v>830</v>
      </c>
      <c r="E1281" s="10">
        <f>IFERROR(__xludf.DUMMYFUNCTION("SPLIT(B1281,""T"")"),41842.0)</f>
        <v>41842</v>
      </c>
      <c r="F1281" s="4" t="str">
        <f>IFERROR(__xludf.DUMMYFUNCTION("""COMPUTED_VALUE"""),"18:00:00Z")</f>
        <v>18:00:00Z</v>
      </c>
      <c r="G1281" s="11" t="str">
        <f t="shared" si="1"/>
        <v>18:00:00</v>
      </c>
      <c r="H1281" s="10">
        <f>IFERROR(__xludf.DUMMYFUNCTION("SPLIT(D1281,""T"")"),41841.0)</f>
        <v>41841</v>
      </c>
      <c r="I1281" s="4" t="str">
        <f>IFERROR(__xludf.DUMMYFUNCTION("""COMPUTED_VALUE"""),"14:49:00Z")</f>
        <v>14:49:00Z</v>
      </c>
      <c r="J1281" s="4" t="str">
        <f t="shared" si="2"/>
        <v>14:49:00</v>
      </c>
      <c r="K1281" s="4">
        <f t="shared" si="3"/>
        <v>1</v>
      </c>
      <c r="L1281" s="4">
        <f t="shared" si="4"/>
        <v>0.1326388889</v>
      </c>
      <c r="M1281" s="4">
        <f t="shared" si="5"/>
        <v>1.132638889</v>
      </c>
    </row>
    <row r="1282">
      <c r="A1282" s="4" t="s">
        <v>27</v>
      </c>
      <c r="B1282" s="4" t="s">
        <v>448</v>
      </c>
      <c r="C1282" s="4" t="s">
        <v>449</v>
      </c>
      <c r="D1282" s="4" t="s">
        <v>450</v>
      </c>
      <c r="E1282" s="10">
        <f>IFERROR(__xludf.DUMMYFUNCTION("SPLIT(B1282,""T"")"),41475.0)</f>
        <v>41475</v>
      </c>
      <c r="F1282" s="4" t="str">
        <f>IFERROR(__xludf.DUMMYFUNCTION("""COMPUTED_VALUE"""),"19:30:00Z")</f>
        <v>19:30:00Z</v>
      </c>
      <c r="G1282" s="11" t="str">
        <f t="shared" si="1"/>
        <v>19:30:00</v>
      </c>
      <c r="H1282" s="10">
        <f>IFERROR(__xludf.DUMMYFUNCTION("SPLIT(D1282,""T"")"),41474.0)</f>
        <v>41474</v>
      </c>
      <c r="I1282" s="4" t="str">
        <f>IFERROR(__xludf.DUMMYFUNCTION("""COMPUTED_VALUE"""),"16:21:00Z")</f>
        <v>16:21:00Z</v>
      </c>
      <c r="J1282" s="4" t="str">
        <f t="shared" si="2"/>
        <v>16:21:00</v>
      </c>
      <c r="K1282" s="4">
        <f t="shared" si="3"/>
        <v>1</v>
      </c>
      <c r="L1282" s="4">
        <f t="shared" si="4"/>
        <v>0.13125</v>
      </c>
      <c r="M1282" s="4">
        <f t="shared" si="5"/>
        <v>1.13125</v>
      </c>
    </row>
    <row r="1283">
      <c r="A1283" s="4" t="s">
        <v>19</v>
      </c>
      <c r="B1283" s="4" t="s">
        <v>1053</v>
      </c>
      <c r="C1283" s="4" t="s">
        <v>1054</v>
      </c>
      <c r="D1283" s="4" t="s">
        <v>1055</v>
      </c>
      <c r="E1283" s="10">
        <f>IFERROR(__xludf.DUMMYFUNCTION("SPLIT(B1283,""T"")"),42232.0)</f>
        <v>42232</v>
      </c>
      <c r="F1283" s="4" t="str">
        <f>IFERROR(__xludf.DUMMYFUNCTION("""COMPUTED_VALUE"""),"19:20:00Z")</f>
        <v>19:20:00Z</v>
      </c>
      <c r="G1283" s="11" t="str">
        <f t="shared" si="1"/>
        <v>19:20:00</v>
      </c>
      <c r="H1283" s="10">
        <f>IFERROR(__xludf.DUMMYFUNCTION("SPLIT(D1283,""T"")"),42231.0)</f>
        <v>42231</v>
      </c>
      <c r="I1283" s="4" t="str">
        <f>IFERROR(__xludf.DUMMYFUNCTION("""COMPUTED_VALUE"""),"16:11:00Z")</f>
        <v>16:11:00Z</v>
      </c>
      <c r="J1283" s="4" t="str">
        <f t="shared" si="2"/>
        <v>16:11:00</v>
      </c>
      <c r="K1283" s="4">
        <f t="shared" si="3"/>
        <v>1</v>
      </c>
      <c r="L1283" s="4">
        <f t="shared" si="4"/>
        <v>0.13125</v>
      </c>
      <c r="M1283" s="4">
        <f t="shared" si="5"/>
        <v>1.13125</v>
      </c>
    </row>
    <row r="1284">
      <c r="A1284" s="4" t="s">
        <v>134</v>
      </c>
      <c r="B1284" s="4" t="s">
        <v>353</v>
      </c>
      <c r="C1284" s="4" t="s">
        <v>354</v>
      </c>
      <c r="D1284" s="4" t="s">
        <v>355</v>
      </c>
      <c r="E1284" s="10">
        <f>IFERROR(__xludf.DUMMYFUNCTION("SPLIT(B1284,""T"")"),41481.0)</f>
        <v>41481</v>
      </c>
      <c r="F1284" s="4" t="str">
        <f>IFERROR(__xludf.DUMMYFUNCTION("""COMPUTED_VALUE"""),"18:15:00Z")</f>
        <v>18:15:00Z</v>
      </c>
      <c r="G1284" s="11" t="str">
        <f t="shared" si="1"/>
        <v>18:15:00</v>
      </c>
      <c r="H1284" s="10">
        <f>IFERROR(__xludf.DUMMYFUNCTION("SPLIT(D1284,""T"")"),41480.0)</f>
        <v>41480</v>
      </c>
      <c r="I1284" s="4" t="str">
        <f>IFERROR(__xludf.DUMMYFUNCTION("""COMPUTED_VALUE"""),"15:09:00Z")</f>
        <v>15:09:00Z</v>
      </c>
      <c r="J1284" s="4" t="str">
        <f t="shared" si="2"/>
        <v>15:09:00</v>
      </c>
      <c r="K1284" s="4">
        <f t="shared" si="3"/>
        <v>1</v>
      </c>
      <c r="L1284" s="4">
        <f t="shared" si="4"/>
        <v>0.1291666667</v>
      </c>
      <c r="M1284" s="4">
        <f t="shared" si="5"/>
        <v>1.129166667</v>
      </c>
    </row>
    <row r="1285">
      <c r="A1285" s="4" t="s">
        <v>27</v>
      </c>
      <c r="B1285" s="4" t="s">
        <v>3391</v>
      </c>
      <c r="C1285" s="4" t="s">
        <v>393</v>
      </c>
      <c r="D1285" s="4" t="s">
        <v>3593</v>
      </c>
      <c r="E1285" s="10">
        <f>IFERROR(__xludf.DUMMYFUNCTION("SPLIT(B1285,""T"")"),43683.0)</f>
        <v>43683</v>
      </c>
      <c r="F1285" s="4" t="str">
        <f>IFERROR(__xludf.DUMMYFUNCTION("""COMPUTED_VALUE"""),"18:42:00Z")</f>
        <v>18:42:00Z</v>
      </c>
      <c r="G1285" s="11" t="str">
        <f t="shared" si="1"/>
        <v>18:42:00</v>
      </c>
      <c r="H1285" s="10">
        <f>IFERROR(__xludf.DUMMYFUNCTION("SPLIT(D1285,""T"")"),43682.0)</f>
        <v>43682</v>
      </c>
      <c r="I1285" s="4" t="str">
        <f>IFERROR(__xludf.DUMMYFUNCTION("""COMPUTED_VALUE"""),"15:36:23Z")</f>
        <v>15:36:23Z</v>
      </c>
      <c r="J1285" s="4" t="str">
        <f t="shared" si="2"/>
        <v>15:36:23</v>
      </c>
      <c r="K1285" s="4">
        <f t="shared" si="3"/>
        <v>1</v>
      </c>
      <c r="L1285" s="4">
        <f t="shared" si="4"/>
        <v>0.128900463</v>
      </c>
      <c r="M1285" s="4">
        <f t="shared" si="5"/>
        <v>1.128900463</v>
      </c>
    </row>
    <row r="1286">
      <c r="A1286" s="4" t="s">
        <v>39</v>
      </c>
      <c r="B1286" s="4" t="s">
        <v>1162</v>
      </c>
      <c r="C1286" s="4" t="s">
        <v>1163</v>
      </c>
      <c r="D1286" s="4" t="s">
        <v>1164</v>
      </c>
      <c r="E1286" s="10">
        <f>IFERROR(__xludf.DUMMYFUNCTION("SPLIT(B1286,""T"")"),42161.0)</f>
        <v>42161</v>
      </c>
      <c r="F1286" s="4" t="str">
        <f>IFERROR(__xludf.DUMMYFUNCTION("""COMPUTED_VALUE"""),"20:00:00Z")</f>
        <v>20:00:00Z</v>
      </c>
      <c r="G1286" s="11" t="str">
        <f t="shared" si="1"/>
        <v>20:00:00</v>
      </c>
      <c r="H1286" s="10">
        <f>IFERROR(__xludf.DUMMYFUNCTION("SPLIT(D1286,""T"")"),42160.0)</f>
        <v>42160</v>
      </c>
      <c r="I1286" s="4" t="str">
        <f>IFERROR(__xludf.DUMMYFUNCTION("""COMPUTED_VALUE"""),"17:00:00Z")</f>
        <v>17:00:00Z</v>
      </c>
      <c r="J1286" s="4" t="str">
        <f t="shared" si="2"/>
        <v>17:00:00</v>
      </c>
      <c r="K1286" s="4">
        <f t="shared" si="3"/>
        <v>1</v>
      </c>
      <c r="L1286" s="4">
        <f t="shared" si="4"/>
        <v>0.125</v>
      </c>
      <c r="M1286" s="4">
        <f t="shared" si="5"/>
        <v>1.125</v>
      </c>
    </row>
    <row r="1287">
      <c r="A1287" s="4" t="s">
        <v>27</v>
      </c>
      <c r="B1287" s="4" t="s">
        <v>3474</v>
      </c>
      <c r="C1287" s="4" t="s">
        <v>3275</v>
      </c>
      <c r="D1287" s="4" t="s">
        <v>3475</v>
      </c>
      <c r="E1287" s="10">
        <f>IFERROR(__xludf.DUMMYFUNCTION("SPLIT(B1287,""T"")"),43646.0)</f>
        <v>43646</v>
      </c>
      <c r="F1287" s="4" t="str">
        <f>IFERROR(__xludf.DUMMYFUNCTION("""COMPUTED_VALUE"""),"15:51:00Z")</f>
        <v>15:51:00Z</v>
      </c>
      <c r="G1287" s="11" t="str">
        <f t="shared" si="1"/>
        <v>15:51:00</v>
      </c>
      <c r="H1287" s="10">
        <f>IFERROR(__xludf.DUMMYFUNCTION("SPLIT(D1287,""T"")"),43645.0)</f>
        <v>43645</v>
      </c>
      <c r="I1287" s="4" t="str">
        <f>IFERROR(__xludf.DUMMYFUNCTION("""COMPUTED_VALUE"""),"12:54:13Z")</f>
        <v>12:54:13Z</v>
      </c>
      <c r="J1287" s="4" t="str">
        <f t="shared" si="2"/>
        <v>12:54:13</v>
      </c>
      <c r="K1287" s="4">
        <f t="shared" si="3"/>
        <v>1</v>
      </c>
      <c r="L1287" s="4">
        <f t="shared" si="4"/>
        <v>0.1227662037</v>
      </c>
      <c r="M1287" s="4">
        <f t="shared" si="5"/>
        <v>1.122766204</v>
      </c>
    </row>
    <row r="1288">
      <c r="A1288" s="4" t="s">
        <v>401</v>
      </c>
      <c r="B1288" s="4" t="s">
        <v>978</v>
      </c>
      <c r="C1288" s="4" t="s">
        <v>979</v>
      </c>
      <c r="D1288" s="4" t="s">
        <v>980</v>
      </c>
      <c r="E1288" s="10">
        <f>IFERROR(__xludf.DUMMYFUNCTION("SPLIT(B1288,""T"")"),42257.0)</f>
        <v>42257</v>
      </c>
      <c r="F1288" s="4" t="str">
        <f>IFERROR(__xludf.DUMMYFUNCTION("""COMPUTED_VALUE"""),"18:50:00Z")</f>
        <v>18:50:00Z</v>
      </c>
      <c r="G1288" s="11" t="str">
        <f t="shared" si="1"/>
        <v>18:50:00</v>
      </c>
      <c r="H1288" s="10">
        <f>IFERROR(__xludf.DUMMYFUNCTION("SPLIT(D1288,""T"")"),42256.0)</f>
        <v>42256</v>
      </c>
      <c r="I1288" s="4" t="str">
        <f>IFERROR(__xludf.DUMMYFUNCTION("""COMPUTED_VALUE"""),"15:58:00Z")</f>
        <v>15:58:00Z</v>
      </c>
      <c r="J1288" s="4" t="str">
        <f t="shared" si="2"/>
        <v>15:58:00</v>
      </c>
      <c r="K1288" s="4">
        <f t="shared" si="3"/>
        <v>1</v>
      </c>
      <c r="L1288" s="4">
        <f t="shared" si="4"/>
        <v>0.1194444444</v>
      </c>
      <c r="M1288" s="4">
        <f t="shared" si="5"/>
        <v>1.119444444</v>
      </c>
    </row>
    <row r="1289">
      <c r="A1289" s="4" t="s">
        <v>130</v>
      </c>
      <c r="B1289" s="4" t="s">
        <v>1699</v>
      </c>
      <c r="C1289" s="4" t="s">
        <v>1700</v>
      </c>
      <c r="D1289" s="4" t="s">
        <v>1701</v>
      </c>
      <c r="E1289" s="10">
        <f>IFERROR(__xludf.DUMMYFUNCTION("SPLIT(B1289,""T"")"),42525.0)</f>
        <v>42525</v>
      </c>
      <c r="F1289" s="4" t="str">
        <f>IFERROR(__xludf.DUMMYFUNCTION("""COMPUTED_VALUE"""),"15:30:00Z")</f>
        <v>15:30:00Z</v>
      </c>
      <c r="G1289" s="11" t="str">
        <f t="shared" si="1"/>
        <v>15:30:00</v>
      </c>
      <c r="H1289" s="10">
        <f>IFERROR(__xludf.DUMMYFUNCTION("SPLIT(D1289,""T"")"),42524.0)</f>
        <v>42524</v>
      </c>
      <c r="I1289" s="4" t="str">
        <f>IFERROR(__xludf.DUMMYFUNCTION("""COMPUTED_VALUE"""),"12:41:00Z")</f>
        <v>12:41:00Z</v>
      </c>
      <c r="J1289" s="4" t="str">
        <f t="shared" si="2"/>
        <v>12:41:00</v>
      </c>
      <c r="K1289" s="4">
        <f t="shared" si="3"/>
        <v>1</v>
      </c>
      <c r="L1289" s="4">
        <f t="shared" si="4"/>
        <v>0.1173611111</v>
      </c>
      <c r="M1289" s="4">
        <f t="shared" si="5"/>
        <v>1.117361111</v>
      </c>
    </row>
    <row r="1290">
      <c r="A1290" s="4" t="s">
        <v>69</v>
      </c>
      <c r="B1290" s="4" t="s">
        <v>1014</v>
      </c>
      <c r="C1290" s="4" t="s">
        <v>1015</v>
      </c>
      <c r="D1290" s="4" t="s">
        <v>1016</v>
      </c>
      <c r="E1290" s="10">
        <f>IFERROR(__xludf.DUMMYFUNCTION("SPLIT(B1290,""T"")"),42237.0)</f>
        <v>42237</v>
      </c>
      <c r="F1290" s="4" t="str">
        <f>IFERROR(__xludf.DUMMYFUNCTION("""COMPUTED_VALUE"""),"18:45:00Z")</f>
        <v>18:45:00Z</v>
      </c>
      <c r="G1290" s="11" t="str">
        <f t="shared" si="1"/>
        <v>18:45:00</v>
      </c>
      <c r="H1290" s="10">
        <f>IFERROR(__xludf.DUMMYFUNCTION("SPLIT(D1290,""T"")"),42236.0)</f>
        <v>42236</v>
      </c>
      <c r="I1290" s="4" t="str">
        <f>IFERROR(__xludf.DUMMYFUNCTION("""COMPUTED_VALUE"""),"15:57:00Z")</f>
        <v>15:57:00Z</v>
      </c>
      <c r="J1290" s="4" t="str">
        <f t="shared" si="2"/>
        <v>15:57:00</v>
      </c>
      <c r="K1290" s="4">
        <f t="shared" si="3"/>
        <v>1</v>
      </c>
      <c r="L1290" s="4">
        <f t="shared" si="4"/>
        <v>0.1166666667</v>
      </c>
      <c r="M1290" s="4">
        <f t="shared" si="5"/>
        <v>1.116666667</v>
      </c>
    </row>
    <row r="1291">
      <c r="A1291" s="4" t="s">
        <v>27</v>
      </c>
      <c r="B1291" s="4" t="s">
        <v>772</v>
      </c>
      <c r="C1291" s="4" t="s">
        <v>773</v>
      </c>
      <c r="D1291" s="4" t="s">
        <v>774</v>
      </c>
      <c r="E1291" s="10">
        <f>IFERROR(__xludf.DUMMYFUNCTION("SPLIT(B1291,""T"")"),41727.0)</f>
        <v>41727</v>
      </c>
      <c r="F1291" s="4" t="str">
        <f>IFERROR(__xludf.DUMMYFUNCTION("""COMPUTED_VALUE"""),"17:15:00Z")</f>
        <v>17:15:00Z</v>
      </c>
      <c r="G1291" s="11" t="str">
        <f t="shared" si="1"/>
        <v>17:15:00</v>
      </c>
      <c r="H1291" s="10">
        <f>IFERROR(__xludf.DUMMYFUNCTION("SPLIT(D1291,""T"")"),41726.0)</f>
        <v>41726</v>
      </c>
      <c r="I1291" s="4" t="str">
        <f>IFERROR(__xludf.DUMMYFUNCTION("""COMPUTED_VALUE"""),"14:31:00Z")</f>
        <v>14:31:00Z</v>
      </c>
      <c r="J1291" s="4" t="str">
        <f t="shared" si="2"/>
        <v>14:31:00</v>
      </c>
      <c r="K1291" s="4">
        <f t="shared" si="3"/>
        <v>1</v>
      </c>
      <c r="L1291" s="4">
        <f t="shared" si="4"/>
        <v>0.1138888889</v>
      </c>
      <c r="M1291" s="4">
        <f t="shared" si="5"/>
        <v>1.113888889</v>
      </c>
    </row>
    <row r="1292">
      <c r="A1292" s="4" t="s">
        <v>39</v>
      </c>
      <c r="B1292" s="4" t="s">
        <v>3270</v>
      </c>
      <c r="C1292" s="4" t="s">
        <v>1846</v>
      </c>
      <c r="D1292" s="4" t="s">
        <v>3271</v>
      </c>
      <c r="E1292" s="10">
        <f>IFERROR(__xludf.DUMMYFUNCTION("SPLIT(B1292,""T"")"),43757.0)</f>
        <v>43757</v>
      </c>
      <c r="F1292" s="4" t="str">
        <f>IFERROR(__xludf.DUMMYFUNCTION("""COMPUTED_VALUE"""),"15:00:00Z")</f>
        <v>15:00:00Z</v>
      </c>
      <c r="G1292" s="11" t="str">
        <f t="shared" si="1"/>
        <v>15:00:00</v>
      </c>
      <c r="H1292" s="10">
        <f>IFERROR(__xludf.DUMMYFUNCTION("SPLIT(D1292,""T"")"),43756.0)</f>
        <v>43756</v>
      </c>
      <c r="I1292" s="4" t="str">
        <f>IFERROR(__xludf.DUMMYFUNCTION("""COMPUTED_VALUE"""),"12:17:32Z")</f>
        <v>12:17:32Z</v>
      </c>
      <c r="J1292" s="4" t="str">
        <f t="shared" si="2"/>
        <v>12:17:32</v>
      </c>
      <c r="K1292" s="4">
        <f t="shared" si="3"/>
        <v>1</v>
      </c>
      <c r="L1292" s="4">
        <f t="shared" si="4"/>
        <v>0.1128240741</v>
      </c>
      <c r="M1292" s="4">
        <f t="shared" si="5"/>
        <v>1.112824074</v>
      </c>
    </row>
    <row r="1293">
      <c r="A1293" s="4" t="s">
        <v>411</v>
      </c>
      <c r="B1293" s="4" t="s">
        <v>475</v>
      </c>
      <c r="C1293" s="4" t="s">
        <v>476</v>
      </c>
      <c r="D1293" s="4" t="s">
        <v>477</v>
      </c>
      <c r="E1293" s="10">
        <f>IFERROR(__xludf.DUMMYFUNCTION("SPLIT(B1293,""T"")"),41478.0)</f>
        <v>41478</v>
      </c>
      <c r="F1293" s="4" t="str">
        <f>IFERROR(__xludf.DUMMYFUNCTION("""COMPUTED_VALUE"""),"15:10:00Z")</f>
        <v>15:10:00Z</v>
      </c>
      <c r="G1293" s="11" t="str">
        <f t="shared" si="1"/>
        <v>15:10:00</v>
      </c>
      <c r="H1293" s="10">
        <f>IFERROR(__xludf.DUMMYFUNCTION("SPLIT(D1293,""T"")"),41477.0)</f>
        <v>41477</v>
      </c>
      <c r="I1293" s="4" t="str">
        <f>IFERROR(__xludf.DUMMYFUNCTION("""COMPUTED_VALUE"""),"12:34:00Z")</f>
        <v>12:34:00Z</v>
      </c>
      <c r="J1293" s="4" t="str">
        <f t="shared" si="2"/>
        <v>12:34:00</v>
      </c>
      <c r="K1293" s="4">
        <f t="shared" si="3"/>
        <v>1</v>
      </c>
      <c r="L1293" s="4">
        <f t="shared" si="4"/>
        <v>0.1083333333</v>
      </c>
      <c r="M1293" s="4">
        <f t="shared" si="5"/>
        <v>1.108333333</v>
      </c>
    </row>
    <row r="1294">
      <c r="A1294" s="4" t="s">
        <v>54</v>
      </c>
      <c r="B1294" s="4" t="s">
        <v>1727</v>
      </c>
      <c r="C1294" s="4" t="s">
        <v>1045</v>
      </c>
      <c r="D1294" s="4" t="s">
        <v>1728</v>
      </c>
      <c r="E1294" s="10">
        <f>IFERROR(__xludf.DUMMYFUNCTION("SPLIT(B1294,""T"")"),42577.0)</f>
        <v>42577</v>
      </c>
      <c r="F1294" s="4" t="str">
        <f>IFERROR(__xludf.DUMMYFUNCTION("""COMPUTED_VALUE"""),"19:25:00Z")</f>
        <v>19:25:00Z</v>
      </c>
      <c r="G1294" s="11" t="str">
        <f t="shared" si="1"/>
        <v>19:25:00</v>
      </c>
      <c r="H1294" s="10">
        <f>IFERROR(__xludf.DUMMYFUNCTION("SPLIT(D1294,""T"")"),42576.0)</f>
        <v>42576</v>
      </c>
      <c r="I1294" s="4" t="str">
        <f>IFERROR(__xludf.DUMMYFUNCTION("""COMPUTED_VALUE"""),"16:55:00Z")</f>
        <v>16:55:00Z</v>
      </c>
      <c r="J1294" s="4" t="str">
        <f t="shared" si="2"/>
        <v>16:55:00</v>
      </c>
      <c r="K1294" s="4">
        <f t="shared" si="3"/>
        <v>1</v>
      </c>
      <c r="L1294" s="4">
        <f t="shared" si="4"/>
        <v>0.1041666667</v>
      </c>
      <c r="M1294" s="4">
        <f t="shared" si="5"/>
        <v>1.104166667</v>
      </c>
    </row>
    <row r="1295">
      <c r="A1295" s="4" t="s">
        <v>35</v>
      </c>
      <c r="B1295" s="4" t="s">
        <v>3550</v>
      </c>
      <c r="C1295" s="4" t="s">
        <v>2831</v>
      </c>
      <c r="D1295" s="4" t="s">
        <v>3551</v>
      </c>
      <c r="E1295" s="10">
        <f>IFERROR(__xludf.DUMMYFUNCTION("SPLIT(B1295,""T"")"),43661.0)</f>
        <v>43661</v>
      </c>
      <c r="F1295" s="4" t="str">
        <f>IFERROR(__xludf.DUMMYFUNCTION("""COMPUTED_VALUE"""),"14:10:00Z")</f>
        <v>14:10:00Z</v>
      </c>
      <c r="G1295" s="11" t="str">
        <f t="shared" si="1"/>
        <v>14:10:00</v>
      </c>
      <c r="H1295" s="10">
        <f>IFERROR(__xludf.DUMMYFUNCTION("SPLIT(D1295,""T"")"),43660.0)</f>
        <v>43660</v>
      </c>
      <c r="I1295" s="4" t="str">
        <f>IFERROR(__xludf.DUMMYFUNCTION("""COMPUTED_VALUE"""),"11:45:00Z")</f>
        <v>11:45:00Z</v>
      </c>
      <c r="J1295" s="4" t="str">
        <f t="shared" si="2"/>
        <v>11:45:00</v>
      </c>
      <c r="K1295" s="4">
        <f t="shared" si="3"/>
        <v>1</v>
      </c>
      <c r="L1295" s="4">
        <f t="shared" si="4"/>
        <v>0.1006944444</v>
      </c>
      <c r="M1295" s="4">
        <f t="shared" si="5"/>
        <v>1.100694444</v>
      </c>
    </row>
    <row r="1296">
      <c r="A1296" s="4" t="s">
        <v>62</v>
      </c>
      <c r="B1296" s="4" t="s">
        <v>3621</v>
      </c>
      <c r="C1296" s="4" t="s">
        <v>2472</v>
      </c>
      <c r="D1296" s="4" t="s">
        <v>3622</v>
      </c>
      <c r="E1296" s="10">
        <f>IFERROR(__xludf.DUMMYFUNCTION("SPLIT(B1296,""T"")"),43693.0)</f>
        <v>43693</v>
      </c>
      <c r="F1296" s="4" t="str">
        <f>IFERROR(__xludf.DUMMYFUNCTION("""COMPUTED_VALUE"""),"18:44:00Z")</f>
        <v>18:44:00Z</v>
      </c>
      <c r="G1296" s="11" t="str">
        <f t="shared" si="1"/>
        <v>18:44:00</v>
      </c>
      <c r="H1296" s="10">
        <f>IFERROR(__xludf.DUMMYFUNCTION("SPLIT(D1296,""T"")"),43692.0)</f>
        <v>43692</v>
      </c>
      <c r="I1296" s="4" t="str">
        <f>IFERROR(__xludf.DUMMYFUNCTION("""COMPUTED_VALUE"""),"16:24:24Z")</f>
        <v>16:24:24Z</v>
      </c>
      <c r="J1296" s="4" t="str">
        <f t="shared" si="2"/>
        <v>16:24:24</v>
      </c>
      <c r="K1296" s="4">
        <f t="shared" si="3"/>
        <v>1</v>
      </c>
      <c r="L1296" s="4">
        <f t="shared" si="4"/>
        <v>0.09694444444</v>
      </c>
      <c r="M1296" s="4">
        <f t="shared" si="5"/>
        <v>1.096944444</v>
      </c>
    </row>
    <row r="1297">
      <c r="A1297" s="4" t="s">
        <v>149</v>
      </c>
      <c r="B1297" s="4" t="s">
        <v>745</v>
      </c>
      <c r="C1297" s="4" t="s">
        <v>783</v>
      </c>
      <c r="D1297" s="4" t="s">
        <v>784</v>
      </c>
      <c r="E1297" s="10">
        <f>IFERROR(__xludf.DUMMYFUNCTION("SPLIT(B1297,""T"")"),41828.0)</f>
        <v>41828</v>
      </c>
      <c r="F1297" s="4" t="str">
        <f>IFERROR(__xludf.DUMMYFUNCTION("""COMPUTED_VALUE"""),"18:30:00Z")</f>
        <v>18:30:00Z</v>
      </c>
      <c r="G1297" s="11" t="str">
        <f t="shared" si="1"/>
        <v>18:30:00</v>
      </c>
      <c r="H1297" s="10">
        <f>IFERROR(__xludf.DUMMYFUNCTION("SPLIT(D1297,""T"")"),41827.0)</f>
        <v>41827</v>
      </c>
      <c r="I1297" s="4" t="str">
        <f>IFERROR(__xludf.DUMMYFUNCTION("""COMPUTED_VALUE"""),"16:12:00Z")</f>
        <v>16:12:00Z</v>
      </c>
      <c r="J1297" s="4" t="str">
        <f t="shared" si="2"/>
        <v>16:12:00</v>
      </c>
      <c r="K1297" s="4">
        <f t="shared" si="3"/>
        <v>1</v>
      </c>
      <c r="L1297" s="4">
        <f t="shared" si="4"/>
        <v>0.09583333333</v>
      </c>
      <c r="M1297" s="4">
        <f t="shared" si="5"/>
        <v>1.095833333</v>
      </c>
    </row>
    <row r="1298">
      <c r="A1298" s="4" t="s">
        <v>145</v>
      </c>
      <c r="B1298" s="4" t="s">
        <v>884</v>
      </c>
      <c r="C1298" s="4" t="s">
        <v>885</v>
      </c>
      <c r="D1298" s="4" t="s">
        <v>886</v>
      </c>
      <c r="E1298" s="10">
        <f>IFERROR(__xludf.DUMMYFUNCTION("SPLIT(B1298,""T"")"),42216.0)</f>
        <v>42216</v>
      </c>
      <c r="F1298" s="4" t="str">
        <f>IFERROR(__xludf.DUMMYFUNCTION("""COMPUTED_VALUE"""),"20:00:00Z")</f>
        <v>20:00:00Z</v>
      </c>
      <c r="G1298" s="11" t="str">
        <f t="shared" si="1"/>
        <v>20:00:00</v>
      </c>
      <c r="H1298" s="10">
        <f>IFERROR(__xludf.DUMMYFUNCTION("SPLIT(D1298,""T"")"),42215.0)</f>
        <v>42215</v>
      </c>
      <c r="I1298" s="4" t="str">
        <f>IFERROR(__xludf.DUMMYFUNCTION("""COMPUTED_VALUE"""),"17:45:00Z")</f>
        <v>17:45:00Z</v>
      </c>
      <c r="J1298" s="4" t="str">
        <f t="shared" si="2"/>
        <v>17:45:00</v>
      </c>
      <c r="K1298" s="4">
        <f t="shared" si="3"/>
        <v>1</v>
      </c>
      <c r="L1298" s="4">
        <f t="shared" si="4"/>
        <v>0.09375</v>
      </c>
      <c r="M1298" s="4">
        <f t="shared" si="5"/>
        <v>1.09375</v>
      </c>
    </row>
    <row r="1299">
      <c r="A1299" s="4" t="s">
        <v>35</v>
      </c>
      <c r="B1299" s="4" t="s">
        <v>3498</v>
      </c>
      <c r="C1299" s="4" t="s">
        <v>3499</v>
      </c>
      <c r="D1299" s="4" t="s">
        <v>3500</v>
      </c>
      <c r="E1299" s="10">
        <f>IFERROR(__xludf.DUMMYFUNCTION("SPLIT(B1299,""T"")"),43750.0)</f>
        <v>43750</v>
      </c>
      <c r="F1299" s="4" t="str">
        <f>IFERROR(__xludf.DUMMYFUNCTION("""COMPUTED_VALUE"""),"18:00:00Z")</f>
        <v>18:00:00Z</v>
      </c>
      <c r="G1299" s="11" t="str">
        <f t="shared" si="1"/>
        <v>18:00:00</v>
      </c>
      <c r="H1299" s="10">
        <f>IFERROR(__xludf.DUMMYFUNCTION("SPLIT(D1299,""T"")"),43749.0)</f>
        <v>43749</v>
      </c>
      <c r="I1299" s="4" t="str">
        <f>IFERROR(__xludf.DUMMYFUNCTION("""COMPUTED_VALUE"""),"15:57:10Z")</f>
        <v>15:57:10Z</v>
      </c>
      <c r="J1299" s="4" t="str">
        <f t="shared" si="2"/>
        <v>15:57:10</v>
      </c>
      <c r="K1299" s="4">
        <f t="shared" si="3"/>
        <v>1</v>
      </c>
      <c r="L1299" s="4">
        <f t="shared" si="4"/>
        <v>0.08530092593</v>
      </c>
      <c r="M1299" s="4">
        <f t="shared" si="5"/>
        <v>1.085300926</v>
      </c>
    </row>
    <row r="1300">
      <c r="A1300" s="4" t="s">
        <v>46</v>
      </c>
      <c r="B1300" s="4" t="s">
        <v>1659</v>
      </c>
      <c r="C1300" s="4" t="s">
        <v>1660</v>
      </c>
      <c r="D1300" s="4" t="s">
        <v>1661</v>
      </c>
      <c r="E1300" s="10">
        <f>IFERROR(__xludf.DUMMYFUNCTION("SPLIT(B1300,""T"")"),42626.0)</f>
        <v>42626</v>
      </c>
      <c r="F1300" s="4" t="str">
        <f>IFERROR(__xludf.DUMMYFUNCTION("""COMPUTED_VALUE"""),"18:30:00Z")</f>
        <v>18:30:00Z</v>
      </c>
      <c r="G1300" s="11" t="str">
        <f t="shared" si="1"/>
        <v>18:30:00</v>
      </c>
      <c r="H1300" s="10">
        <f>IFERROR(__xludf.DUMMYFUNCTION("SPLIT(D1300,""T"")"),42625.0)</f>
        <v>42625</v>
      </c>
      <c r="I1300" s="4" t="str">
        <f>IFERROR(__xludf.DUMMYFUNCTION("""COMPUTED_VALUE"""),"16:28:00Z")</f>
        <v>16:28:00Z</v>
      </c>
      <c r="J1300" s="4" t="str">
        <f t="shared" si="2"/>
        <v>16:28:00</v>
      </c>
      <c r="K1300" s="4">
        <f t="shared" si="3"/>
        <v>1</v>
      </c>
      <c r="L1300" s="4">
        <f t="shared" si="4"/>
        <v>0.08472222222</v>
      </c>
      <c r="M1300" s="4">
        <f t="shared" si="5"/>
        <v>1.084722222</v>
      </c>
    </row>
    <row r="1301">
      <c r="A1301" s="4" t="s">
        <v>58</v>
      </c>
      <c r="B1301" s="4" t="s">
        <v>3686</v>
      </c>
      <c r="C1301" s="4" t="s">
        <v>3687</v>
      </c>
      <c r="D1301" s="4" t="s">
        <v>3688</v>
      </c>
      <c r="E1301" s="10">
        <f>IFERROR(__xludf.DUMMYFUNCTION("SPLIT(B1301,""T"")"),43690.0)</f>
        <v>43690</v>
      </c>
      <c r="F1301" s="4" t="str">
        <f>IFERROR(__xludf.DUMMYFUNCTION("""COMPUTED_VALUE"""),"16:15:00Z")</f>
        <v>16:15:00Z</v>
      </c>
      <c r="G1301" s="11" t="str">
        <f t="shared" si="1"/>
        <v>16:15:00</v>
      </c>
      <c r="H1301" s="10">
        <f>IFERROR(__xludf.DUMMYFUNCTION("SPLIT(D1301,""T"")"),43689.0)</f>
        <v>43689</v>
      </c>
      <c r="I1301" s="4" t="str">
        <f>IFERROR(__xludf.DUMMYFUNCTION("""COMPUTED_VALUE"""),"14:16:53Z")</f>
        <v>14:16:53Z</v>
      </c>
      <c r="J1301" s="4" t="str">
        <f t="shared" si="2"/>
        <v>14:16:53</v>
      </c>
      <c r="K1301" s="4">
        <f t="shared" si="3"/>
        <v>1</v>
      </c>
      <c r="L1301" s="4">
        <f t="shared" si="4"/>
        <v>0.08202546296</v>
      </c>
      <c r="M1301" s="4">
        <f t="shared" si="5"/>
        <v>1.082025463</v>
      </c>
    </row>
    <row r="1302">
      <c r="A1302" s="4" t="s">
        <v>166</v>
      </c>
      <c r="B1302" s="4" t="s">
        <v>3407</v>
      </c>
      <c r="C1302" s="4" t="s">
        <v>33</v>
      </c>
      <c r="D1302" s="4" t="s">
        <v>3408</v>
      </c>
      <c r="E1302" s="10">
        <f>IFERROR(__xludf.DUMMYFUNCTION("SPLIT(B1302,""T"")"),43745.0)</f>
        <v>43745</v>
      </c>
      <c r="F1302" s="4" t="str">
        <f>IFERROR(__xludf.DUMMYFUNCTION("""COMPUTED_VALUE"""),"18:34:00Z")</f>
        <v>18:34:00Z</v>
      </c>
      <c r="G1302" s="11" t="str">
        <f t="shared" si="1"/>
        <v>18:34:00</v>
      </c>
      <c r="H1302" s="10">
        <f>IFERROR(__xludf.DUMMYFUNCTION("SPLIT(D1302,""T"")"),43744.0)</f>
        <v>43744</v>
      </c>
      <c r="I1302" s="4" t="str">
        <f>IFERROR(__xludf.DUMMYFUNCTION("""COMPUTED_VALUE"""),"16:36:50Z")</f>
        <v>16:36:50Z</v>
      </c>
      <c r="J1302" s="4" t="str">
        <f t="shared" si="2"/>
        <v>16:36:50</v>
      </c>
      <c r="K1302" s="4">
        <f t="shared" si="3"/>
        <v>1</v>
      </c>
      <c r="L1302" s="4">
        <f t="shared" si="4"/>
        <v>0.08136574074</v>
      </c>
      <c r="M1302" s="4">
        <f t="shared" si="5"/>
        <v>1.081365741</v>
      </c>
    </row>
    <row r="1303">
      <c r="A1303" s="4" t="s">
        <v>149</v>
      </c>
      <c r="B1303" s="4" t="s">
        <v>3385</v>
      </c>
      <c r="C1303" s="4" t="s">
        <v>3386</v>
      </c>
      <c r="D1303" s="4" t="s">
        <v>3387</v>
      </c>
      <c r="E1303" s="10">
        <f>IFERROR(__xludf.DUMMYFUNCTION("SPLIT(B1303,""T"")"),43655.0)</f>
        <v>43655</v>
      </c>
      <c r="F1303" s="4" t="str">
        <f>IFERROR(__xludf.DUMMYFUNCTION("""COMPUTED_VALUE"""),"18:22:00Z")</f>
        <v>18:22:00Z</v>
      </c>
      <c r="G1303" s="11" t="str">
        <f t="shared" si="1"/>
        <v>18:22:00</v>
      </c>
      <c r="H1303" s="10">
        <f>IFERROR(__xludf.DUMMYFUNCTION("SPLIT(D1303,""T"")"),43654.0)</f>
        <v>43654</v>
      </c>
      <c r="I1303" s="4" t="str">
        <f>IFERROR(__xludf.DUMMYFUNCTION("""COMPUTED_VALUE"""),"16:44:08Z")</f>
        <v>16:44:08Z</v>
      </c>
      <c r="J1303" s="4" t="str">
        <f t="shared" si="2"/>
        <v>16:44:08</v>
      </c>
      <c r="K1303" s="4">
        <f t="shared" si="3"/>
        <v>1</v>
      </c>
      <c r="L1303" s="4">
        <f t="shared" si="4"/>
        <v>0.06796296296</v>
      </c>
      <c r="M1303" s="4">
        <f t="shared" si="5"/>
        <v>1.067962963</v>
      </c>
    </row>
    <row r="1304">
      <c r="A1304" s="4" t="s">
        <v>27</v>
      </c>
      <c r="B1304" s="4" t="s">
        <v>795</v>
      </c>
      <c r="C1304" s="4" t="s">
        <v>796</v>
      </c>
      <c r="D1304" s="4" t="s">
        <v>797</v>
      </c>
      <c r="E1304" s="10">
        <f>IFERROR(__xludf.DUMMYFUNCTION("SPLIT(B1304,""T"")"),41797.0)</f>
        <v>41797</v>
      </c>
      <c r="F1304" s="4" t="str">
        <f>IFERROR(__xludf.DUMMYFUNCTION("""COMPUTED_VALUE"""),"19:00:00Z")</f>
        <v>19:00:00Z</v>
      </c>
      <c r="G1304" s="11" t="str">
        <f t="shared" si="1"/>
        <v>19:00:00</v>
      </c>
      <c r="H1304" s="10">
        <f>IFERROR(__xludf.DUMMYFUNCTION("SPLIT(D1304,""T"")"),41796.0)</f>
        <v>41796</v>
      </c>
      <c r="I1304" s="4" t="str">
        <f>IFERROR(__xludf.DUMMYFUNCTION("""COMPUTED_VALUE"""),"17:32:00Z")</f>
        <v>17:32:00Z</v>
      </c>
      <c r="J1304" s="4" t="str">
        <f t="shared" si="2"/>
        <v>17:32:00</v>
      </c>
      <c r="K1304" s="4">
        <f t="shared" si="3"/>
        <v>1</v>
      </c>
      <c r="L1304" s="4">
        <f t="shared" si="4"/>
        <v>0.06111111111</v>
      </c>
      <c r="M1304" s="4">
        <f t="shared" si="5"/>
        <v>1.061111111</v>
      </c>
    </row>
    <row r="1305">
      <c r="A1305" s="4" t="s">
        <v>39</v>
      </c>
      <c r="B1305" s="4" t="s">
        <v>1488</v>
      </c>
      <c r="C1305" s="4" t="s">
        <v>1489</v>
      </c>
      <c r="D1305" s="4" t="s">
        <v>1490</v>
      </c>
      <c r="E1305" s="10">
        <f>IFERROR(__xludf.DUMMYFUNCTION("SPLIT(B1305,""T"")"),42567.0)</f>
        <v>42567</v>
      </c>
      <c r="F1305" s="4" t="str">
        <f>IFERROR(__xludf.DUMMYFUNCTION("""COMPUTED_VALUE"""),"18:00:00Z")</f>
        <v>18:00:00Z</v>
      </c>
      <c r="G1305" s="11" t="str">
        <f t="shared" si="1"/>
        <v>18:00:00</v>
      </c>
      <c r="H1305" s="10">
        <f>IFERROR(__xludf.DUMMYFUNCTION("SPLIT(D1305,""T"")"),42566.0)</f>
        <v>42566</v>
      </c>
      <c r="I1305" s="4" t="str">
        <f>IFERROR(__xludf.DUMMYFUNCTION("""COMPUTED_VALUE"""),"16:45:00Z")</f>
        <v>16:45:00Z</v>
      </c>
      <c r="J1305" s="4" t="str">
        <f t="shared" si="2"/>
        <v>16:45:00</v>
      </c>
      <c r="K1305" s="4">
        <f t="shared" si="3"/>
        <v>1</v>
      </c>
      <c r="L1305" s="4">
        <f t="shared" si="4"/>
        <v>0.05208333333</v>
      </c>
      <c r="M1305" s="4">
        <f t="shared" si="5"/>
        <v>1.052083333</v>
      </c>
    </row>
    <row r="1306">
      <c r="A1306" s="4" t="s">
        <v>401</v>
      </c>
      <c r="B1306" s="4" t="s">
        <v>1497</v>
      </c>
      <c r="C1306" s="4" t="s">
        <v>223</v>
      </c>
      <c r="D1306" s="4" t="s">
        <v>1498</v>
      </c>
      <c r="E1306" s="10">
        <f>IFERROR(__xludf.DUMMYFUNCTION("SPLIT(B1306,""T"")"),42582.0)</f>
        <v>42582</v>
      </c>
      <c r="F1306" s="4" t="str">
        <f>IFERROR(__xludf.DUMMYFUNCTION("""COMPUTED_VALUE"""),"18:30:00Z")</f>
        <v>18:30:00Z</v>
      </c>
      <c r="G1306" s="11" t="str">
        <f t="shared" si="1"/>
        <v>18:30:00</v>
      </c>
      <c r="H1306" s="10">
        <f>IFERROR(__xludf.DUMMYFUNCTION("SPLIT(D1306,""T"")"),42581.0)</f>
        <v>42581</v>
      </c>
      <c r="I1306" s="4" t="str">
        <f>IFERROR(__xludf.DUMMYFUNCTION("""COMPUTED_VALUE"""),"17:25:00Z")</f>
        <v>17:25:00Z</v>
      </c>
      <c r="J1306" s="4" t="str">
        <f t="shared" si="2"/>
        <v>17:25:00</v>
      </c>
      <c r="K1306" s="4">
        <f t="shared" si="3"/>
        <v>1</v>
      </c>
      <c r="L1306" s="4">
        <f t="shared" si="4"/>
        <v>0.04513888889</v>
      </c>
      <c r="M1306" s="4">
        <f t="shared" si="5"/>
        <v>1.045138889</v>
      </c>
    </row>
    <row r="1307">
      <c r="A1307" s="4" t="s">
        <v>87</v>
      </c>
      <c r="B1307" s="4" t="s">
        <v>1651</v>
      </c>
      <c r="C1307" s="4" t="s">
        <v>268</v>
      </c>
      <c r="D1307" s="4" t="s">
        <v>1652</v>
      </c>
      <c r="E1307" s="10">
        <f>IFERROR(__xludf.DUMMYFUNCTION("SPLIT(B1307,""T"")"),42580.0)</f>
        <v>42580</v>
      </c>
      <c r="F1307" s="4" t="str">
        <f>IFERROR(__xludf.DUMMYFUNCTION("""COMPUTED_VALUE"""),"15:10:00Z")</f>
        <v>15:10:00Z</v>
      </c>
      <c r="G1307" s="11" t="str">
        <f t="shared" si="1"/>
        <v>15:10:00</v>
      </c>
      <c r="H1307" s="10">
        <f>IFERROR(__xludf.DUMMYFUNCTION("SPLIT(D1307,""T"")"),42579.0)</f>
        <v>42579</v>
      </c>
      <c r="I1307" s="4" t="str">
        <f>IFERROR(__xludf.DUMMYFUNCTION("""COMPUTED_VALUE"""),"14:27:00Z")</f>
        <v>14:27:00Z</v>
      </c>
      <c r="J1307" s="4" t="str">
        <f t="shared" si="2"/>
        <v>14:27:00</v>
      </c>
      <c r="K1307" s="4">
        <f t="shared" si="3"/>
        <v>1</v>
      </c>
      <c r="L1307" s="4">
        <f t="shared" si="4"/>
        <v>0.02986111111</v>
      </c>
      <c r="M1307" s="4">
        <f t="shared" si="5"/>
        <v>1.029861111</v>
      </c>
    </row>
    <row r="1308">
      <c r="A1308" s="4" t="s">
        <v>87</v>
      </c>
      <c r="B1308" s="4" t="s">
        <v>344</v>
      </c>
      <c r="C1308" s="4" t="s">
        <v>345</v>
      </c>
      <c r="D1308" s="4" t="s">
        <v>346</v>
      </c>
      <c r="E1308" s="10">
        <f>IFERROR(__xludf.DUMMYFUNCTION("SPLIT(B1308,""T"")"),41518.0)</f>
        <v>41518</v>
      </c>
      <c r="F1308" s="4" t="str">
        <f>IFERROR(__xludf.DUMMYFUNCTION("""COMPUTED_VALUE"""),"18:00:00Z")</f>
        <v>18:00:00Z</v>
      </c>
      <c r="G1308" s="11" t="str">
        <f t="shared" si="1"/>
        <v>18:00:00</v>
      </c>
      <c r="H1308" s="10">
        <f>IFERROR(__xludf.DUMMYFUNCTION("SPLIT(D1308,""T"")"),41517.0)</f>
        <v>41517</v>
      </c>
      <c r="I1308" s="4" t="str">
        <f>IFERROR(__xludf.DUMMYFUNCTION("""COMPUTED_VALUE"""),"17:23:00Z")</f>
        <v>17:23:00Z</v>
      </c>
      <c r="J1308" s="4" t="str">
        <f t="shared" si="2"/>
        <v>17:23:00</v>
      </c>
      <c r="K1308" s="4">
        <f t="shared" si="3"/>
        <v>1</v>
      </c>
      <c r="L1308" s="4">
        <f t="shared" si="4"/>
        <v>0.02569444444</v>
      </c>
      <c r="M1308" s="4">
        <f t="shared" si="5"/>
        <v>1.025694444</v>
      </c>
    </row>
    <row r="1309">
      <c r="A1309" s="4" t="s">
        <v>114</v>
      </c>
      <c r="B1309" s="4" t="s">
        <v>1591</v>
      </c>
      <c r="C1309" s="4" t="s">
        <v>1592</v>
      </c>
      <c r="D1309" s="4" t="s">
        <v>1593</v>
      </c>
      <c r="E1309" s="10">
        <f>IFERROR(__xludf.DUMMYFUNCTION("SPLIT(B1309,""T"")"),42545.0)</f>
        <v>42545</v>
      </c>
      <c r="F1309" s="4" t="str">
        <f>IFERROR(__xludf.DUMMYFUNCTION("""COMPUTED_VALUE"""),"18:20:00Z")</f>
        <v>18:20:00Z</v>
      </c>
      <c r="G1309" s="11" t="str">
        <f t="shared" si="1"/>
        <v>18:20:00</v>
      </c>
      <c r="H1309" s="10">
        <f>IFERROR(__xludf.DUMMYFUNCTION("SPLIT(D1309,""T"")"),42544.0)</f>
        <v>42544</v>
      </c>
      <c r="I1309" s="4" t="str">
        <f>IFERROR(__xludf.DUMMYFUNCTION("""COMPUTED_VALUE"""),"17:57:00Z")</f>
        <v>17:57:00Z</v>
      </c>
      <c r="J1309" s="4" t="str">
        <f t="shared" si="2"/>
        <v>17:57:00</v>
      </c>
      <c r="K1309" s="4">
        <f t="shared" si="3"/>
        <v>1</v>
      </c>
      <c r="L1309" s="4">
        <f t="shared" si="4"/>
        <v>0.01597222222</v>
      </c>
      <c r="M1309" s="4">
        <f t="shared" si="5"/>
        <v>1.015972222</v>
      </c>
    </row>
    <row r="1310">
      <c r="A1310" s="4" t="s">
        <v>35</v>
      </c>
      <c r="B1310" s="4" t="s">
        <v>1202</v>
      </c>
      <c r="C1310" s="4" t="s">
        <v>1203</v>
      </c>
      <c r="D1310" s="4" t="s">
        <v>1204</v>
      </c>
      <c r="E1310" s="10">
        <f>IFERROR(__xludf.DUMMYFUNCTION("SPLIT(B1310,""T"")"),42320.0)</f>
        <v>42320</v>
      </c>
      <c r="F1310" s="4" t="str">
        <f>IFERROR(__xludf.DUMMYFUNCTION("""COMPUTED_VALUE"""),"18:00:00Z")</f>
        <v>18:00:00Z</v>
      </c>
      <c r="G1310" s="11" t="str">
        <f t="shared" si="1"/>
        <v>18:00:00</v>
      </c>
      <c r="H1310" s="10">
        <f>IFERROR(__xludf.DUMMYFUNCTION("SPLIT(D1310,""T"")"),42319.0)</f>
        <v>42319</v>
      </c>
      <c r="I1310" s="4" t="str">
        <f>IFERROR(__xludf.DUMMYFUNCTION("""COMPUTED_VALUE"""),"17:40:00Z")</f>
        <v>17:40:00Z</v>
      </c>
      <c r="J1310" s="4" t="str">
        <f t="shared" si="2"/>
        <v>17:40:00</v>
      </c>
      <c r="K1310" s="4">
        <f t="shared" si="3"/>
        <v>1</v>
      </c>
      <c r="L1310" s="4">
        <f t="shared" si="4"/>
        <v>0.01388888889</v>
      </c>
      <c r="M1310" s="4">
        <f t="shared" si="5"/>
        <v>1.013888889</v>
      </c>
    </row>
    <row r="1311">
      <c r="A1311" s="4" t="s">
        <v>313</v>
      </c>
      <c r="B1311" s="4" t="s">
        <v>766</v>
      </c>
      <c r="C1311" s="4" t="s">
        <v>767</v>
      </c>
      <c r="D1311" s="4" t="s">
        <v>768</v>
      </c>
      <c r="E1311" s="10">
        <f>IFERROR(__xludf.DUMMYFUNCTION("SPLIT(B1311,""T"")"),41904.0)</f>
        <v>41904</v>
      </c>
      <c r="F1311" s="4" t="str">
        <f>IFERROR(__xludf.DUMMYFUNCTION("""COMPUTED_VALUE"""),"16:30:00Z")</f>
        <v>16:30:00Z</v>
      </c>
      <c r="G1311" s="11" t="str">
        <f t="shared" si="1"/>
        <v>16:30:00</v>
      </c>
      <c r="H1311" s="10">
        <f>IFERROR(__xludf.DUMMYFUNCTION("SPLIT(D1311,""T"")"),41903.0)</f>
        <v>41903</v>
      </c>
      <c r="I1311" s="4" t="str">
        <f>IFERROR(__xludf.DUMMYFUNCTION("""COMPUTED_VALUE"""),"16:13:00Z")</f>
        <v>16:13:00Z</v>
      </c>
      <c r="J1311" s="4" t="str">
        <f t="shared" si="2"/>
        <v>16:13:00</v>
      </c>
      <c r="K1311" s="4">
        <f t="shared" si="3"/>
        <v>1</v>
      </c>
      <c r="L1311" s="4">
        <f t="shared" si="4"/>
        <v>0.01180555556</v>
      </c>
      <c r="M1311" s="4">
        <f t="shared" si="5"/>
        <v>1.011805556</v>
      </c>
    </row>
    <row r="1312">
      <c r="A1312" s="4" t="s">
        <v>46</v>
      </c>
      <c r="B1312" s="4" t="s">
        <v>1269</v>
      </c>
      <c r="C1312" s="4" t="s">
        <v>1270</v>
      </c>
      <c r="D1312" s="4" t="s">
        <v>1271</v>
      </c>
      <c r="E1312" s="10">
        <f>IFERROR(__xludf.DUMMYFUNCTION("SPLIT(B1312,""T"")"),42610.0)</f>
        <v>42610</v>
      </c>
      <c r="F1312" s="4" t="str">
        <f>IFERROR(__xludf.DUMMYFUNCTION("""COMPUTED_VALUE"""),"18:15:00Z")</f>
        <v>18:15:00Z</v>
      </c>
      <c r="G1312" s="11" t="str">
        <f t="shared" si="1"/>
        <v>18:15:00</v>
      </c>
      <c r="H1312" s="10">
        <f>IFERROR(__xludf.DUMMYFUNCTION("SPLIT(D1312,""T"")"),42609.0)</f>
        <v>42609</v>
      </c>
      <c r="I1312" s="4" t="str">
        <f>IFERROR(__xludf.DUMMYFUNCTION("""COMPUTED_VALUE"""),"18:00:00Z")</f>
        <v>18:00:00Z</v>
      </c>
      <c r="J1312" s="4" t="str">
        <f t="shared" si="2"/>
        <v>18:00:00</v>
      </c>
      <c r="K1312" s="4">
        <f t="shared" si="3"/>
        <v>1</v>
      </c>
      <c r="L1312" s="4">
        <f t="shared" si="4"/>
        <v>0.01041666667</v>
      </c>
      <c r="M1312" s="4">
        <f t="shared" si="5"/>
        <v>1.010416667</v>
      </c>
    </row>
    <row r="1313">
      <c r="A1313" s="4" t="s">
        <v>46</v>
      </c>
      <c r="B1313" s="4" t="s">
        <v>1227</v>
      </c>
      <c r="C1313" s="4" t="s">
        <v>1228</v>
      </c>
      <c r="D1313" s="4" t="s">
        <v>1229</v>
      </c>
      <c r="E1313" s="10">
        <f>IFERROR(__xludf.DUMMYFUNCTION("SPLIT(B1313,""T"")"),42207.0)</f>
        <v>42207</v>
      </c>
      <c r="F1313" s="4" t="str">
        <f>IFERROR(__xludf.DUMMYFUNCTION("""COMPUTED_VALUE"""),"17:00:00Z")</f>
        <v>17:00:00Z</v>
      </c>
      <c r="G1313" s="11" t="str">
        <f t="shared" si="1"/>
        <v>17:00:00</v>
      </c>
      <c r="H1313" s="10">
        <f>IFERROR(__xludf.DUMMYFUNCTION("SPLIT(D1313,""T"")"),42206.0)</f>
        <v>42206</v>
      </c>
      <c r="I1313" s="4" t="str">
        <f>IFERROR(__xludf.DUMMYFUNCTION("""COMPUTED_VALUE"""),"17:00:00Z")</f>
        <v>17:00:00Z</v>
      </c>
      <c r="J1313" s="4" t="str">
        <f t="shared" si="2"/>
        <v>17:00:00</v>
      </c>
      <c r="K1313" s="4">
        <f t="shared" si="3"/>
        <v>1</v>
      </c>
      <c r="L1313" s="4">
        <f t="shared" si="4"/>
        <v>0</v>
      </c>
      <c r="M1313" s="4">
        <f t="shared" si="5"/>
        <v>1</v>
      </c>
    </row>
    <row r="1314">
      <c r="A1314" s="4" t="s">
        <v>27</v>
      </c>
      <c r="B1314" s="4" t="s">
        <v>3582</v>
      </c>
      <c r="C1314" s="4" t="s">
        <v>3583</v>
      </c>
      <c r="D1314" s="4" t="s">
        <v>3584</v>
      </c>
      <c r="E1314" s="10">
        <f>IFERROR(__xludf.DUMMYFUNCTION("SPLIT(B1314,""T"")"),43730.0)</f>
        <v>43730</v>
      </c>
      <c r="F1314" s="4" t="str">
        <f>IFERROR(__xludf.DUMMYFUNCTION("""COMPUTED_VALUE"""),"17:00:00Z")</f>
        <v>17:00:00Z</v>
      </c>
      <c r="G1314" s="11" t="str">
        <f t="shared" si="1"/>
        <v>17:00:00</v>
      </c>
      <c r="H1314" s="10">
        <f>IFERROR(__xludf.DUMMYFUNCTION("SPLIT(D1314,""T"")"),43729.0)</f>
        <v>43729</v>
      </c>
      <c r="I1314" s="4" t="str">
        <f>IFERROR(__xludf.DUMMYFUNCTION("""COMPUTED_VALUE"""),"17:22:00Z")</f>
        <v>17:22:00Z</v>
      </c>
      <c r="J1314" s="4" t="str">
        <f t="shared" si="2"/>
        <v>17:22:00</v>
      </c>
      <c r="K1314" s="4">
        <f t="shared" si="3"/>
        <v>1</v>
      </c>
      <c r="L1314" s="4">
        <f t="shared" si="4"/>
        <v>-0.01527777778</v>
      </c>
      <c r="M1314" s="4">
        <f t="shared" si="5"/>
        <v>0.9847222222</v>
      </c>
    </row>
    <row r="1315">
      <c r="A1315" s="4" t="s">
        <v>27</v>
      </c>
      <c r="B1315" s="4" t="s">
        <v>1632</v>
      </c>
      <c r="C1315" s="4" t="s">
        <v>1633</v>
      </c>
      <c r="D1315" s="4" t="s">
        <v>1634</v>
      </c>
      <c r="E1315" s="10">
        <f>IFERROR(__xludf.DUMMYFUNCTION("SPLIT(B1315,""T"")"),42611.0)</f>
        <v>42611</v>
      </c>
      <c r="F1315" s="4" t="str">
        <f>IFERROR(__xludf.DUMMYFUNCTION("""COMPUTED_VALUE"""),"15:00:00Z")</f>
        <v>15:00:00Z</v>
      </c>
      <c r="G1315" s="11" t="str">
        <f t="shared" si="1"/>
        <v>15:00:00</v>
      </c>
      <c r="H1315" s="10">
        <f>IFERROR(__xludf.DUMMYFUNCTION("SPLIT(D1315,""T"")"),42610.0)</f>
        <v>42610</v>
      </c>
      <c r="I1315" s="4" t="str">
        <f>IFERROR(__xludf.DUMMYFUNCTION("""COMPUTED_VALUE"""),"15:23:00Z")</f>
        <v>15:23:00Z</v>
      </c>
      <c r="J1315" s="4" t="str">
        <f t="shared" si="2"/>
        <v>15:23:00</v>
      </c>
      <c r="K1315" s="4">
        <f t="shared" si="3"/>
        <v>1</v>
      </c>
      <c r="L1315" s="4">
        <f t="shared" si="4"/>
        <v>-0.01597222222</v>
      </c>
      <c r="M1315" s="4">
        <f t="shared" si="5"/>
        <v>0.9840277778</v>
      </c>
    </row>
    <row r="1316">
      <c r="A1316" s="4" t="s">
        <v>186</v>
      </c>
      <c r="B1316" s="4" t="s">
        <v>1617</v>
      </c>
      <c r="C1316" s="4" t="s">
        <v>1618</v>
      </c>
      <c r="D1316" s="4" t="s">
        <v>1619</v>
      </c>
      <c r="E1316" s="10">
        <f>IFERROR(__xludf.DUMMYFUNCTION("SPLIT(B1316,""T"")"),42592.0)</f>
        <v>42592</v>
      </c>
      <c r="F1316" s="4" t="str">
        <f>IFERROR(__xludf.DUMMYFUNCTION("""COMPUTED_VALUE"""),"17:00:00Z")</f>
        <v>17:00:00Z</v>
      </c>
      <c r="G1316" s="11" t="str">
        <f t="shared" si="1"/>
        <v>17:00:00</v>
      </c>
      <c r="H1316" s="10">
        <f>IFERROR(__xludf.DUMMYFUNCTION("SPLIT(D1316,""T"")"),42591.0)</f>
        <v>42591</v>
      </c>
      <c r="I1316" s="4" t="str">
        <f>IFERROR(__xludf.DUMMYFUNCTION("""COMPUTED_VALUE"""),"17:30:00Z")</f>
        <v>17:30:00Z</v>
      </c>
      <c r="J1316" s="4" t="str">
        <f t="shared" si="2"/>
        <v>17:30:00</v>
      </c>
      <c r="K1316" s="4">
        <f t="shared" si="3"/>
        <v>1</v>
      </c>
      <c r="L1316" s="4">
        <f t="shared" si="4"/>
        <v>-0.02083333333</v>
      </c>
      <c r="M1316" s="4">
        <f t="shared" si="5"/>
        <v>0.9791666667</v>
      </c>
    </row>
    <row r="1317">
      <c r="A1317" s="4" t="s">
        <v>39</v>
      </c>
      <c r="B1317" s="4" t="s">
        <v>1455</v>
      </c>
      <c r="C1317" s="4" t="s">
        <v>1456</v>
      </c>
      <c r="D1317" s="4" t="s">
        <v>1457</v>
      </c>
      <c r="E1317" s="10">
        <f>IFERROR(__xludf.DUMMYFUNCTION("SPLIT(B1317,""T"")"),42489.0)</f>
        <v>42489</v>
      </c>
      <c r="F1317" s="4" t="str">
        <f>IFERROR(__xludf.DUMMYFUNCTION("""COMPUTED_VALUE"""),"17:15:00Z")</f>
        <v>17:15:00Z</v>
      </c>
      <c r="G1317" s="11" t="str">
        <f t="shared" si="1"/>
        <v>17:15:00</v>
      </c>
      <c r="H1317" s="10">
        <f>IFERROR(__xludf.DUMMYFUNCTION("SPLIT(D1317,""T"")"),42488.0)</f>
        <v>42488</v>
      </c>
      <c r="I1317" s="4" t="str">
        <f>IFERROR(__xludf.DUMMYFUNCTION("""COMPUTED_VALUE"""),"17:45:00Z")</f>
        <v>17:45:00Z</v>
      </c>
      <c r="J1317" s="4" t="str">
        <f t="shared" si="2"/>
        <v>17:45:00</v>
      </c>
      <c r="K1317" s="4">
        <f t="shared" si="3"/>
        <v>1</v>
      </c>
      <c r="L1317" s="4">
        <f t="shared" si="4"/>
        <v>-0.02083333333</v>
      </c>
      <c r="M1317" s="4">
        <f t="shared" si="5"/>
        <v>0.9791666667</v>
      </c>
    </row>
    <row r="1318">
      <c r="A1318" s="4" t="s">
        <v>94</v>
      </c>
      <c r="B1318" s="4" t="s">
        <v>3568</v>
      </c>
      <c r="C1318" s="4" t="s">
        <v>37</v>
      </c>
      <c r="D1318" s="4" t="s">
        <v>3685</v>
      </c>
      <c r="E1318" s="10">
        <f>IFERROR(__xludf.DUMMYFUNCTION("SPLIT(B1318,""T"")"),43627.0)</f>
        <v>43627</v>
      </c>
      <c r="F1318" s="4" t="str">
        <f>IFERROR(__xludf.DUMMYFUNCTION("""COMPUTED_VALUE"""),"17:18:00Z")</f>
        <v>17:18:00Z</v>
      </c>
      <c r="G1318" s="11" t="str">
        <f t="shared" si="1"/>
        <v>17:18:00</v>
      </c>
      <c r="H1318" s="10">
        <f>IFERROR(__xludf.DUMMYFUNCTION("SPLIT(D1318,""T"")"),43626.0)</f>
        <v>43626</v>
      </c>
      <c r="I1318" s="4" t="str">
        <f>IFERROR(__xludf.DUMMYFUNCTION("""COMPUTED_VALUE"""),"17:51:00Z")</f>
        <v>17:51:00Z</v>
      </c>
      <c r="J1318" s="4" t="str">
        <f t="shared" si="2"/>
        <v>17:51:00</v>
      </c>
      <c r="K1318" s="4">
        <f t="shared" si="3"/>
        <v>1</v>
      </c>
      <c r="L1318" s="4">
        <f t="shared" si="4"/>
        <v>-0.02291666667</v>
      </c>
      <c r="M1318" s="4">
        <f t="shared" si="5"/>
        <v>0.9770833333</v>
      </c>
    </row>
    <row r="1319">
      <c r="A1319" s="4" t="s">
        <v>62</v>
      </c>
      <c r="B1319" s="4" t="s">
        <v>3565</v>
      </c>
      <c r="C1319" s="4" t="s">
        <v>3566</v>
      </c>
      <c r="D1319" s="4" t="s">
        <v>3567</v>
      </c>
      <c r="E1319" s="10">
        <f>IFERROR(__xludf.DUMMYFUNCTION("SPLIT(B1319,""T"")"),43637.0)</f>
        <v>43637</v>
      </c>
      <c r="F1319" s="4" t="str">
        <f>IFERROR(__xludf.DUMMYFUNCTION("""COMPUTED_VALUE"""),"14:22:00Z")</f>
        <v>14:22:00Z</v>
      </c>
      <c r="G1319" s="11" t="str">
        <f t="shared" si="1"/>
        <v>14:22:00</v>
      </c>
      <c r="H1319" s="10">
        <f>IFERROR(__xludf.DUMMYFUNCTION("SPLIT(D1319,""T"")"),43636.0)</f>
        <v>43636</v>
      </c>
      <c r="I1319" s="4" t="str">
        <f>IFERROR(__xludf.DUMMYFUNCTION("""COMPUTED_VALUE"""),"14:56:00Z")</f>
        <v>14:56:00Z</v>
      </c>
      <c r="J1319" s="4" t="str">
        <f t="shared" si="2"/>
        <v>14:56:00</v>
      </c>
      <c r="K1319" s="4">
        <f t="shared" si="3"/>
        <v>1</v>
      </c>
      <c r="L1319" s="4">
        <f t="shared" si="4"/>
        <v>-0.02361111111</v>
      </c>
      <c r="M1319" s="4">
        <f t="shared" si="5"/>
        <v>0.9763888889</v>
      </c>
    </row>
    <row r="1320">
      <c r="A1320" s="4" t="s">
        <v>186</v>
      </c>
      <c r="B1320" s="4" t="s">
        <v>187</v>
      </c>
      <c r="C1320" s="4" t="s">
        <v>188</v>
      </c>
      <c r="D1320" s="4" t="s">
        <v>189</v>
      </c>
      <c r="E1320" s="10">
        <f>IFERROR(__xludf.DUMMYFUNCTION("SPLIT(B1320,""T"")"),41297.0)</f>
        <v>41297</v>
      </c>
      <c r="F1320" s="4" t="str">
        <f>IFERROR(__xludf.DUMMYFUNCTION("""COMPUTED_VALUE"""),"10:15:00Z")</f>
        <v>10:15:00Z</v>
      </c>
      <c r="G1320" s="11" t="str">
        <f t="shared" si="1"/>
        <v>10:15:00</v>
      </c>
      <c r="H1320" s="10">
        <f>IFERROR(__xludf.DUMMYFUNCTION("SPLIT(D1320,""T"")"),41296.0)</f>
        <v>41296</v>
      </c>
      <c r="I1320" s="4" t="str">
        <f>IFERROR(__xludf.DUMMYFUNCTION("""COMPUTED_VALUE"""),"11:08:00Z")</f>
        <v>11:08:00Z</v>
      </c>
      <c r="J1320" s="4" t="str">
        <f t="shared" si="2"/>
        <v>11:08:00</v>
      </c>
      <c r="K1320" s="4">
        <f t="shared" si="3"/>
        <v>1</v>
      </c>
      <c r="L1320" s="4">
        <f t="shared" si="4"/>
        <v>-0.03680555556</v>
      </c>
      <c r="M1320" s="4">
        <f t="shared" si="5"/>
        <v>0.9631944444</v>
      </c>
    </row>
    <row r="1321">
      <c r="A1321" s="4" t="s">
        <v>58</v>
      </c>
      <c r="B1321" s="4" t="s">
        <v>1705</v>
      </c>
      <c r="C1321" s="4" t="s">
        <v>1247</v>
      </c>
      <c r="D1321" s="4" t="s">
        <v>1706</v>
      </c>
      <c r="E1321" s="10">
        <f>IFERROR(__xludf.DUMMYFUNCTION("SPLIT(B1321,""T"")"),42533.0)</f>
        <v>42533</v>
      </c>
      <c r="F1321" s="4" t="str">
        <f>IFERROR(__xludf.DUMMYFUNCTION("""COMPUTED_VALUE"""),"15:00:00Z")</f>
        <v>15:00:00Z</v>
      </c>
      <c r="G1321" s="11" t="str">
        <f t="shared" si="1"/>
        <v>15:00:00</v>
      </c>
      <c r="H1321" s="10">
        <f>IFERROR(__xludf.DUMMYFUNCTION("SPLIT(D1321,""T"")"),42532.0)</f>
        <v>42532</v>
      </c>
      <c r="I1321" s="4" t="str">
        <f>IFERROR(__xludf.DUMMYFUNCTION("""COMPUTED_VALUE"""),"16:02:00Z")</f>
        <v>16:02:00Z</v>
      </c>
      <c r="J1321" s="4" t="str">
        <f t="shared" si="2"/>
        <v>16:02:00</v>
      </c>
      <c r="K1321" s="4">
        <f t="shared" si="3"/>
        <v>1</v>
      </c>
      <c r="L1321" s="4">
        <f t="shared" si="4"/>
        <v>-0.04305555556</v>
      </c>
      <c r="M1321" s="4">
        <f t="shared" si="5"/>
        <v>0.9569444444</v>
      </c>
    </row>
    <row r="1322">
      <c r="A1322" s="4" t="s">
        <v>80</v>
      </c>
      <c r="B1322" s="4" t="s">
        <v>3495</v>
      </c>
      <c r="C1322" s="4" t="s">
        <v>3675</v>
      </c>
      <c r="D1322" s="4" t="s">
        <v>3676</v>
      </c>
      <c r="E1322" s="10">
        <f>IFERROR(__xludf.DUMMYFUNCTION("SPLIT(B1322,""T"")"),43766.0)</f>
        <v>43766</v>
      </c>
      <c r="F1322" s="4" t="str">
        <f>IFERROR(__xludf.DUMMYFUNCTION("""COMPUTED_VALUE"""),"16:26:00Z")</f>
        <v>16:26:00Z</v>
      </c>
      <c r="G1322" s="11" t="str">
        <f t="shared" si="1"/>
        <v>16:26:00</v>
      </c>
      <c r="H1322" s="10">
        <f>IFERROR(__xludf.DUMMYFUNCTION("SPLIT(D1322,""T"")"),43765.0)</f>
        <v>43765</v>
      </c>
      <c r="I1322" s="4" t="str">
        <f>IFERROR(__xludf.DUMMYFUNCTION("""COMPUTED_VALUE"""),"17:36:15Z")</f>
        <v>17:36:15Z</v>
      </c>
      <c r="J1322" s="4" t="str">
        <f t="shared" si="2"/>
        <v>17:36:15</v>
      </c>
      <c r="K1322" s="4">
        <f t="shared" si="3"/>
        <v>1</v>
      </c>
      <c r="L1322" s="4">
        <f t="shared" si="4"/>
        <v>-0.04878472222</v>
      </c>
      <c r="M1322" s="4">
        <f t="shared" si="5"/>
        <v>0.9512152778</v>
      </c>
    </row>
    <row r="1323">
      <c r="A1323" s="4" t="s">
        <v>87</v>
      </c>
      <c r="B1323" s="4" t="s">
        <v>1485</v>
      </c>
      <c r="C1323" s="4" t="s">
        <v>1486</v>
      </c>
      <c r="D1323" s="4" t="s">
        <v>1487</v>
      </c>
      <c r="E1323" s="10">
        <f>IFERROR(__xludf.DUMMYFUNCTION("SPLIT(B1323,""T"")"),42636.0)</f>
        <v>42636</v>
      </c>
      <c r="F1323" s="4" t="str">
        <f>IFERROR(__xludf.DUMMYFUNCTION("""COMPUTED_VALUE"""),"10:30:00Z")</f>
        <v>10:30:00Z</v>
      </c>
      <c r="G1323" s="11" t="str">
        <f t="shared" si="1"/>
        <v>10:30:00</v>
      </c>
      <c r="H1323" s="10">
        <f>IFERROR(__xludf.DUMMYFUNCTION("SPLIT(D1323,""T"")"),42635.0)</f>
        <v>42635</v>
      </c>
      <c r="I1323" s="4" t="str">
        <f>IFERROR(__xludf.DUMMYFUNCTION("""COMPUTED_VALUE"""),"11:45:00Z")</f>
        <v>11:45:00Z</v>
      </c>
      <c r="J1323" s="4" t="str">
        <f t="shared" si="2"/>
        <v>11:45:00</v>
      </c>
      <c r="K1323" s="4">
        <f t="shared" si="3"/>
        <v>1</v>
      </c>
      <c r="L1323" s="4">
        <f t="shared" si="4"/>
        <v>-0.05208333333</v>
      </c>
      <c r="M1323" s="4">
        <f t="shared" si="5"/>
        <v>0.9479166667</v>
      </c>
    </row>
    <row r="1324">
      <c r="A1324" s="4" t="s">
        <v>166</v>
      </c>
      <c r="B1324" s="4" t="s">
        <v>1179</v>
      </c>
      <c r="C1324" s="4" t="s">
        <v>1180</v>
      </c>
      <c r="D1324" s="4" t="s">
        <v>1181</v>
      </c>
      <c r="E1324" s="10">
        <f>IFERROR(__xludf.DUMMYFUNCTION("SPLIT(B1324,""T"")"),42172.0)</f>
        <v>42172</v>
      </c>
      <c r="F1324" s="4" t="str">
        <f>IFERROR(__xludf.DUMMYFUNCTION("""COMPUTED_VALUE"""),"13:10:00Z")</f>
        <v>13:10:00Z</v>
      </c>
      <c r="G1324" s="11" t="str">
        <f t="shared" si="1"/>
        <v>13:10:00</v>
      </c>
      <c r="H1324" s="10">
        <f>IFERROR(__xludf.DUMMYFUNCTION("SPLIT(D1324,""T"")"),42171.0)</f>
        <v>42171</v>
      </c>
      <c r="I1324" s="4" t="str">
        <f>IFERROR(__xludf.DUMMYFUNCTION("""COMPUTED_VALUE"""),"14:27:00Z")</f>
        <v>14:27:00Z</v>
      </c>
      <c r="J1324" s="4" t="str">
        <f t="shared" si="2"/>
        <v>14:27:00</v>
      </c>
      <c r="K1324" s="4">
        <f t="shared" si="3"/>
        <v>1</v>
      </c>
      <c r="L1324" s="4">
        <f t="shared" si="4"/>
        <v>-0.05347222222</v>
      </c>
      <c r="M1324" s="4">
        <f t="shared" si="5"/>
        <v>0.9465277778</v>
      </c>
    </row>
    <row r="1325">
      <c r="A1325" s="4" t="s">
        <v>62</v>
      </c>
      <c r="B1325" s="4" t="s">
        <v>3294</v>
      </c>
      <c r="C1325" s="4" t="s">
        <v>2221</v>
      </c>
      <c r="D1325" s="4" t="s">
        <v>3295</v>
      </c>
      <c r="E1325" s="10">
        <f>IFERROR(__xludf.DUMMYFUNCTION("SPLIT(B1325,""T"")"),43664.0)</f>
        <v>43664</v>
      </c>
      <c r="F1325" s="4" t="str">
        <f>IFERROR(__xludf.DUMMYFUNCTION("""COMPUTED_VALUE"""),"15:58:00Z")</f>
        <v>15:58:00Z</v>
      </c>
      <c r="G1325" s="11" t="str">
        <f t="shared" si="1"/>
        <v>15:58:00</v>
      </c>
      <c r="H1325" s="10">
        <f>IFERROR(__xludf.DUMMYFUNCTION("SPLIT(D1325,""T"")"),43663.0)</f>
        <v>43663</v>
      </c>
      <c r="I1325" s="4" t="str">
        <f>IFERROR(__xludf.DUMMYFUNCTION("""COMPUTED_VALUE"""),"17:42:04Z")</f>
        <v>17:42:04Z</v>
      </c>
      <c r="J1325" s="4" t="str">
        <f t="shared" si="2"/>
        <v>17:42:04</v>
      </c>
      <c r="K1325" s="4">
        <f t="shared" si="3"/>
        <v>1</v>
      </c>
      <c r="L1325" s="4">
        <f t="shared" si="4"/>
        <v>-0.07226851852</v>
      </c>
      <c r="M1325" s="4">
        <f t="shared" si="5"/>
        <v>0.9277314815</v>
      </c>
    </row>
    <row r="1326">
      <c r="A1326" s="4" t="s">
        <v>27</v>
      </c>
      <c r="B1326" s="4" t="s">
        <v>742</v>
      </c>
      <c r="C1326" s="4" t="s">
        <v>743</v>
      </c>
      <c r="D1326" s="4" t="s">
        <v>744</v>
      </c>
      <c r="E1326" s="10">
        <f>IFERROR(__xludf.DUMMYFUNCTION("SPLIT(B1326,""T"")"),41844.0)</f>
        <v>41844</v>
      </c>
      <c r="F1326" s="4" t="str">
        <f>IFERROR(__xludf.DUMMYFUNCTION("""COMPUTED_VALUE"""),"09:00:00Z")</f>
        <v>09:00:00Z</v>
      </c>
      <c r="G1326" s="11" t="str">
        <f t="shared" si="1"/>
        <v>09:00:00</v>
      </c>
      <c r="H1326" s="10">
        <f>IFERROR(__xludf.DUMMYFUNCTION("SPLIT(D1326,""T"")"),41843.0)</f>
        <v>41843</v>
      </c>
      <c r="I1326" s="4" t="str">
        <f>IFERROR(__xludf.DUMMYFUNCTION("""COMPUTED_VALUE"""),"10:47:00Z")</f>
        <v>10:47:00Z</v>
      </c>
      <c r="J1326" s="4" t="str">
        <f t="shared" si="2"/>
        <v>10:47:00</v>
      </c>
      <c r="K1326" s="4">
        <f t="shared" si="3"/>
        <v>1</v>
      </c>
      <c r="L1326" s="4">
        <f t="shared" si="4"/>
        <v>-0.07430555556</v>
      </c>
      <c r="M1326" s="4">
        <f t="shared" si="5"/>
        <v>0.9256944444</v>
      </c>
    </row>
    <row r="1327">
      <c r="A1327" s="4" t="s">
        <v>186</v>
      </c>
      <c r="B1327" s="4" t="s">
        <v>1617</v>
      </c>
      <c r="C1327" s="4" t="s">
        <v>1645</v>
      </c>
      <c r="D1327" s="4" t="s">
        <v>1646</v>
      </c>
      <c r="E1327" s="10">
        <f>IFERROR(__xludf.DUMMYFUNCTION("SPLIT(B1327,""T"")"),42592.0)</f>
        <v>42592</v>
      </c>
      <c r="F1327" s="4" t="str">
        <f>IFERROR(__xludf.DUMMYFUNCTION("""COMPUTED_VALUE"""),"17:00:00Z")</f>
        <v>17:00:00Z</v>
      </c>
      <c r="G1327" s="11" t="str">
        <f t="shared" si="1"/>
        <v>17:00:00</v>
      </c>
      <c r="H1327" s="10">
        <f>IFERROR(__xludf.DUMMYFUNCTION("SPLIT(D1327,""T"")"),42591.0)</f>
        <v>42591</v>
      </c>
      <c r="I1327" s="4" t="str">
        <f>IFERROR(__xludf.DUMMYFUNCTION("""COMPUTED_VALUE"""),"18:50:00Z")</f>
        <v>18:50:00Z</v>
      </c>
      <c r="J1327" s="4" t="str">
        <f t="shared" si="2"/>
        <v>18:50:00</v>
      </c>
      <c r="K1327" s="4">
        <f t="shared" si="3"/>
        <v>1</v>
      </c>
      <c r="L1327" s="4">
        <f t="shared" si="4"/>
        <v>-0.07638888889</v>
      </c>
      <c r="M1327" s="4">
        <f t="shared" si="5"/>
        <v>0.9236111111</v>
      </c>
    </row>
    <row r="1328">
      <c r="A1328" s="4" t="s">
        <v>630</v>
      </c>
      <c r="B1328" s="4" t="s">
        <v>845</v>
      </c>
      <c r="C1328" s="4" t="s">
        <v>846</v>
      </c>
      <c r="D1328" s="4" t="s">
        <v>847</v>
      </c>
      <c r="E1328" s="10">
        <f>IFERROR(__xludf.DUMMYFUNCTION("SPLIT(B1328,""T"")"),42216.0)</f>
        <v>42216</v>
      </c>
      <c r="F1328" s="4" t="str">
        <f>IFERROR(__xludf.DUMMYFUNCTION("""COMPUTED_VALUE"""),"20:25:00Z")</f>
        <v>20:25:00Z</v>
      </c>
      <c r="G1328" s="11" t="str">
        <f t="shared" si="1"/>
        <v>20:25:00</v>
      </c>
      <c r="H1328" s="10">
        <f>IFERROR(__xludf.DUMMYFUNCTION("SPLIT(D1328,""T"")"),42215.0)</f>
        <v>42215</v>
      </c>
      <c r="I1328" s="4" t="str">
        <f>IFERROR(__xludf.DUMMYFUNCTION("""COMPUTED_VALUE"""),"22:30:00Z")</f>
        <v>22:30:00Z</v>
      </c>
      <c r="J1328" s="4" t="str">
        <f t="shared" si="2"/>
        <v>22:30:00</v>
      </c>
      <c r="K1328" s="4">
        <f t="shared" si="3"/>
        <v>1</v>
      </c>
      <c r="L1328" s="4">
        <f t="shared" si="4"/>
        <v>-0.08680555556</v>
      </c>
      <c r="M1328" s="4">
        <f t="shared" si="5"/>
        <v>0.9131944444</v>
      </c>
    </row>
    <row r="1329">
      <c r="A1329" s="4" t="s">
        <v>35</v>
      </c>
      <c r="B1329" s="4" t="s">
        <v>1724</v>
      </c>
      <c r="C1329" s="4" t="s">
        <v>1725</v>
      </c>
      <c r="D1329" s="4" t="s">
        <v>1726</v>
      </c>
      <c r="E1329" s="10">
        <f>IFERROR(__xludf.DUMMYFUNCTION("SPLIT(B1329,""T"")"),42563.0)</f>
        <v>42563</v>
      </c>
      <c r="F1329" s="4" t="str">
        <f>IFERROR(__xludf.DUMMYFUNCTION("""COMPUTED_VALUE"""),"10:30:00Z")</f>
        <v>10:30:00Z</v>
      </c>
      <c r="G1329" s="11" t="str">
        <f t="shared" si="1"/>
        <v>10:30:00</v>
      </c>
      <c r="H1329" s="10">
        <f>IFERROR(__xludf.DUMMYFUNCTION("SPLIT(D1329,""T"")"),42562.0)</f>
        <v>42562</v>
      </c>
      <c r="I1329" s="4" t="str">
        <f>IFERROR(__xludf.DUMMYFUNCTION("""COMPUTED_VALUE"""),"12:58:00Z")</f>
        <v>12:58:00Z</v>
      </c>
      <c r="J1329" s="4" t="str">
        <f t="shared" si="2"/>
        <v>12:58:00</v>
      </c>
      <c r="K1329" s="4">
        <f t="shared" si="3"/>
        <v>1</v>
      </c>
      <c r="L1329" s="4">
        <f t="shared" si="4"/>
        <v>-0.1027777778</v>
      </c>
      <c r="M1329" s="4">
        <f t="shared" si="5"/>
        <v>0.8972222222</v>
      </c>
    </row>
    <row r="1330">
      <c r="A1330" s="4" t="s">
        <v>58</v>
      </c>
      <c r="B1330" s="4" t="s">
        <v>778</v>
      </c>
      <c r="C1330" s="4" t="s">
        <v>424</v>
      </c>
      <c r="D1330" s="4" t="s">
        <v>779</v>
      </c>
      <c r="E1330" s="10">
        <f>IFERROR(__xludf.DUMMYFUNCTION("SPLIT(B1330,""T"")"),41774.0)</f>
        <v>41774</v>
      </c>
      <c r="F1330" s="4" t="str">
        <f>IFERROR(__xludf.DUMMYFUNCTION("""COMPUTED_VALUE"""),"11:30:00Z")</f>
        <v>11:30:00Z</v>
      </c>
      <c r="G1330" s="11" t="str">
        <f t="shared" si="1"/>
        <v>11:30:00</v>
      </c>
      <c r="H1330" s="10">
        <f>IFERROR(__xludf.DUMMYFUNCTION("SPLIT(D1330,""T"")"),41773.0)</f>
        <v>41773</v>
      </c>
      <c r="I1330" s="4" t="str">
        <f>IFERROR(__xludf.DUMMYFUNCTION("""COMPUTED_VALUE"""),"14:00:00Z")</f>
        <v>14:00:00Z</v>
      </c>
      <c r="J1330" s="4" t="str">
        <f t="shared" si="2"/>
        <v>14:00:00</v>
      </c>
      <c r="K1330" s="4">
        <f t="shared" si="3"/>
        <v>1</v>
      </c>
      <c r="L1330" s="4">
        <f t="shared" si="4"/>
        <v>-0.1041666667</v>
      </c>
      <c r="M1330" s="4">
        <f t="shared" si="5"/>
        <v>0.8958333333</v>
      </c>
    </row>
    <row r="1331">
      <c r="A1331" s="4" t="s">
        <v>27</v>
      </c>
      <c r="B1331" s="4" t="s">
        <v>3456</v>
      </c>
      <c r="C1331" s="4" t="s">
        <v>3457</v>
      </c>
      <c r="D1331" s="4" t="s">
        <v>3458</v>
      </c>
      <c r="E1331" s="10">
        <f>IFERROR(__xludf.DUMMYFUNCTION("SPLIT(B1331,""T"")"),43716.0)</f>
        <v>43716</v>
      </c>
      <c r="F1331" s="4" t="str">
        <f>IFERROR(__xludf.DUMMYFUNCTION("""COMPUTED_VALUE"""),"18:00:00Z")</f>
        <v>18:00:00Z</v>
      </c>
      <c r="G1331" s="11" t="str">
        <f t="shared" si="1"/>
        <v>18:00:00</v>
      </c>
      <c r="H1331" s="10">
        <f>IFERROR(__xludf.DUMMYFUNCTION("SPLIT(D1331,""T"")"),43715.0)</f>
        <v>43715</v>
      </c>
      <c r="I1331" s="4" t="str">
        <f>IFERROR(__xludf.DUMMYFUNCTION("""COMPUTED_VALUE"""),"20:31:46Z")</f>
        <v>20:31:46Z</v>
      </c>
      <c r="J1331" s="4" t="str">
        <f t="shared" si="2"/>
        <v>20:31:46</v>
      </c>
      <c r="K1331" s="4">
        <f t="shared" si="3"/>
        <v>1</v>
      </c>
      <c r="L1331" s="4">
        <f t="shared" si="4"/>
        <v>-0.1053935185</v>
      </c>
      <c r="M1331" s="4">
        <f t="shared" si="5"/>
        <v>0.8946064815</v>
      </c>
    </row>
    <row r="1332">
      <c r="A1332" s="4" t="s">
        <v>69</v>
      </c>
      <c r="B1332" s="4" t="s">
        <v>1581</v>
      </c>
      <c r="C1332" s="4" t="s">
        <v>1582</v>
      </c>
      <c r="D1332" s="4" t="s">
        <v>1583</v>
      </c>
      <c r="E1332" s="10">
        <f>IFERROR(__xludf.DUMMYFUNCTION("SPLIT(B1332,""T"")"),42533.0)</f>
        <v>42533</v>
      </c>
      <c r="F1332" s="4" t="str">
        <f>IFERROR(__xludf.DUMMYFUNCTION("""COMPUTED_VALUE"""),"12:30:00Z")</f>
        <v>12:30:00Z</v>
      </c>
      <c r="G1332" s="11" t="str">
        <f t="shared" si="1"/>
        <v>12:30:00</v>
      </c>
      <c r="H1332" s="10">
        <f>IFERROR(__xludf.DUMMYFUNCTION("SPLIT(D1332,""T"")"),42532.0)</f>
        <v>42532</v>
      </c>
      <c r="I1332" s="4" t="str">
        <f>IFERROR(__xludf.DUMMYFUNCTION("""COMPUTED_VALUE"""),"15:04:00Z")</f>
        <v>15:04:00Z</v>
      </c>
      <c r="J1332" s="4" t="str">
        <f t="shared" si="2"/>
        <v>15:04:00</v>
      </c>
      <c r="K1332" s="4">
        <f t="shared" si="3"/>
        <v>1</v>
      </c>
      <c r="L1332" s="4">
        <f t="shared" si="4"/>
        <v>-0.1069444444</v>
      </c>
      <c r="M1332" s="4">
        <f t="shared" si="5"/>
        <v>0.8930555556</v>
      </c>
    </row>
    <row r="1333">
      <c r="A1333" s="4" t="s">
        <v>87</v>
      </c>
      <c r="B1333" s="4" t="s">
        <v>925</v>
      </c>
      <c r="C1333" s="4" t="s">
        <v>926</v>
      </c>
      <c r="D1333" s="4" t="s">
        <v>927</v>
      </c>
      <c r="E1333" s="10">
        <f>IFERROR(__xludf.DUMMYFUNCTION("SPLIT(B1333,""T"")"),42281.0)</f>
        <v>42281</v>
      </c>
      <c r="F1333" s="4" t="str">
        <f>IFERROR(__xludf.DUMMYFUNCTION("""COMPUTED_VALUE"""),"18:40:00Z")</f>
        <v>18:40:00Z</v>
      </c>
      <c r="G1333" s="11" t="str">
        <f t="shared" si="1"/>
        <v>18:40:00</v>
      </c>
      <c r="H1333" s="10">
        <f>IFERROR(__xludf.DUMMYFUNCTION("SPLIT(D1333,""T"")"),42280.0)</f>
        <v>42280</v>
      </c>
      <c r="I1333" s="4" t="str">
        <f>IFERROR(__xludf.DUMMYFUNCTION("""COMPUTED_VALUE"""),"21:15:00Z")</f>
        <v>21:15:00Z</v>
      </c>
      <c r="J1333" s="4" t="str">
        <f t="shared" si="2"/>
        <v>21:15:00</v>
      </c>
      <c r="K1333" s="4">
        <f t="shared" si="3"/>
        <v>1</v>
      </c>
      <c r="L1333" s="4">
        <f t="shared" si="4"/>
        <v>-0.1076388889</v>
      </c>
      <c r="M1333" s="4">
        <f t="shared" si="5"/>
        <v>0.8923611111</v>
      </c>
    </row>
    <row r="1334">
      <c r="A1334" s="4" t="s">
        <v>19</v>
      </c>
      <c r="B1334" s="4" t="s">
        <v>754</v>
      </c>
      <c r="C1334" s="4" t="s">
        <v>755</v>
      </c>
      <c r="D1334" s="4" t="s">
        <v>756</v>
      </c>
      <c r="E1334" s="10">
        <f>IFERROR(__xludf.DUMMYFUNCTION("SPLIT(B1334,""T"")"),41887.0)</f>
        <v>41887</v>
      </c>
      <c r="F1334" s="4" t="str">
        <f>IFERROR(__xludf.DUMMYFUNCTION("""COMPUTED_VALUE"""),"09:15:00Z")</f>
        <v>09:15:00Z</v>
      </c>
      <c r="G1334" s="11" t="str">
        <f t="shared" si="1"/>
        <v>09:15:00</v>
      </c>
      <c r="H1334" s="10">
        <f>IFERROR(__xludf.DUMMYFUNCTION("SPLIT(D1334,""T"")"),41886.0)</f>
        <v>41886</v>
      </c>
      <c r="I1334" s="4" t="str">
        <f>IFERROR(__xludf.DUMMYFUNCTION("""COMPUTED_VALUE"""),"11:51:00Z")</f>
        <v>11:51:00Z</v>
      </c>
      <c r="J1334" s="4" t="str">
        <f t="shared" si="2"/>
        <v>11:51:00</v>
      </c>
      <c r="K1334" s="4">
        <f t="shared" si="3"/>
        <v>1</v>
      </c>
      <c r="L1334" s="4">
        <f t="shared" si="4"/>
        <v>-0.1083333333</v>
      </c>
      <c r="M1334" s="4">
        <f t="shared" si="5"/>
        <v>0.8916666667</v>
      </c>
    </row>
    <row r="1335">
      <c r="A1335" s="4" t="s">
        <v>282</v>
      </c>
      <c r="B1335" s="4" t="s">
        <v>911</v>
      </c>
      <c r="C1335" s="4" t="s">
        <v>329</v>
      </c>
      <c r="D1335" s="4" t="s">
        <v>912</v>
      </c>
      <c r="E1335" s="10">
        <f>IFERROR(__xludf.DUMMYFUNCTION("SPLIT(B1335,""T"")"),42217.0)</f>
        <v>42217</v>
      </c>
      <c r="F1335" s="4" t="str">
        <f>IFERROR(__xludf.DUMMYFUNCTION("""COMPUTED_VALUE"""),"19:00:00Z")</f>
        <v>19:00:00Z</v>
      </c>
      <c r="G1335" s="11" t="str">
        <f t="shared" si="1"/>
        <v>19:00:00</v>
      </c>
      <c r="H1335" s="10">
        <f>IFERROR(__xludf.DUMMYFUNCTION("SPLIT(D1335,""T"")"),42216.0)</f>
        <v>42216</v>
      </c>
      <c r="I1335" s="4" t="str">
        <f>IFERROR(__xludf.DUMMYFUNCTION("""COMPUTED_VALUE"""),"21:37:00Z")</f>
        <v>21:37:00Z</v>
      </c>
      <c r="J1335" s="4" t="str">
        <f t="shared" si="2"/>
        <v>21:37:00</v>
      </c>
      <c r="K1335" s="4">
        <f t="shared" si="3"/>
        <v>1</v>
      </c>
      <c r="L1335" s="4">
        <f t="shared" si="4"/>
        <v>-0.1090277778</v>
      </c>
      <c r="M1335" s="4">
        <f t="shared" si="5"/>
        <v>0.8909722222</v>
      </c>
    </row>
    <row r="1336">
      <c r="A1336" s="4" t="s">
        <v>411</v>
      </c>
      <c r="B1336" s="4" t="s">
        <v>1551</v>
      </c>
      <c r="C1336" s="4" t="s">
        <v>1552</v>
      </c>
      <c r="D1336" s="4" t="s">
        <v>1553</v>
      </c>
      <c r="E1336" s="10">
        <f>IFERROR(__xludf.DUMMYFUNCTION("SPLIT(B1336,""T"")"),42537.0)</f>
        <v>42537</v>
      </c>
      <c r="F1336" s="4" t="str">
        <f>IFERROR(__xludf.DUMMYFUNCTION("""COMPUTED_VALUE"""),"10:00:00Z")</f>
        <v>10:00:00Z</v>
      </c>
      <c r="G1336" s="11" t="str">
        <f t="shared" si="1"/>
        <v>10:00:00</v>
      </c>
      <c r="H1336" s="10">
        <f>IFERROR(__xludf.DUMMYFUNCTION("SPLIT(D1336,""T"")"),42536.0)</f>
        <v>42536</v>
      </c>
      <c r="I1336" s="4" t="str">
        <f>IFERROR(__xludf.DUMMYFUNCTION("""COMPUTED_VALUE"""),"12:46:00Z")</f>
        <v>12:46:00Z</v>
      </c>
      <c r="J1336" s="4" t="str">
        <f t="shared" si="2"/>
        <v>12:46:00</v>
      </c>
      <c r="K1336" s="4">
        <f t="shared" si="3"/>
        <v>1</v>
      </c>
      <c r="L1336" s="4">
        <f t="shared" si="4"/>
        <v>-0.1152777778</v>
      </c>
      <c r="M1336" s="4">
        <f t="shared" si="5"/>
        <v>0.8847222222</v>
      </c>
    </row>
    <row r="1337">
      <c r="A1337" s="4" t="s">
        <v>282</v>
      </c>
      <c r="B1337" s="4" t="s">
        <v>669</v>
      </c>
      <c r="C1337" s="4" t="s">
        <v>670</v>
      </c>
      <c r="D1337" s="4" t="s">
        <v>671</v>
      </c>
      <c r="E1337" s="10">
        <f>IFERROR(__xludf.DUMMYFUNCTION("SPLIT(B1337,""T"")"),41845.0)</f>
        <v>41845</v>
      </c>
      <c r="F1337" s="4" t="str">
        <f>IFERROR(__xludf.DUMMYFUNCTION("""COMPUTED_VALUE"""),"09:15:00Z")</f>
        <v>09:15:00Z</v>
      </c>
      <c r="G1337" s="11" t="str">
        <f t="shared" si="1"/>
        <v>09:15:00</v>
      </c>
      <c r="H1337" s="10">
        <f>IFERROR(__xludf.DUMMYFUNCTION("SPLIT(D1337,""T"")"),41844.0)</f>
        <v>41844</v>
      </c>
      <c r="I1337" s="4" t="str">
        <f>IFERROR(__xludf.DUMMYFUNCTION("""COMPUTED_VALUE"""),"12:06:00Z")</f>
        <v>12:06:00Z</v>
      </c>
      <c r="J1337" s="4" t="str">
        <f t="shared" si="2"/>
        <v>12:06:00</v>
      </c>
      <c r="K1337" s="4">
        <f t="shared" si="3"/>
        <v>1</v>
      </c>
      <c r="L1337" s="4">
        <f t="shared" si="4"/>
        <v>-0.11875</v>
      </c>
      <c r="M1337" s="4">
        <f t="shared" si="5"/>
        <v>0.88125</v>
      </c>
    </row>
    <row r="1338">
      <c r="A1338" s="4" t="s">
        <v>134</v>
      </c>
      <c r="B1338" s="4" t="s">
        <v>1715</v>
      </c>
      <c r="C1338" s="4" t="s">
        <v>1716</v>
      </c>
      <c r="D1338" s="4" t="s">
        <v>1717</v>
      </c>
      <c r="E1338" s="10">
        <f>IFERROR(__xludf.DUMMYFUNCTION("SPLIT(B1338,""T"")"),42617.0)</f>
        <v>42617</v>
      </c>
      <c r="F1338" s="4" t="str">
        <f>IFERROR(__xludf.DUMMYFUNCTION("""COMPUTED_VALUE"""),"18:55:00Z")</f>
        <v>18:55:00Z</v>
      </c>
      <c r="G1338" s="11" t="str">
        <f t="shared" si="1"/>
        <v>18:55:00</v>
      </c>
      <c r="H1338" s="10">
        <f>IFERROR(__xludf.DUMMYFUNCTION("SPLIT(D1338,""T"")"),42616.0)</f>
        <v>42616</v>
      </c>
      <c r="I1338" s="4" t="str">
        <f>IFERROR(__xludf.DUMMYFUNCTION("""COMPUTED_VALUE"""),"21:51:00Z")</f>
        <v>21:51:00Z</v>
      </c>
      <c r="J1338" s="4" t="str">
        <f t="shared" si="2"/>
        <v>21:51:00</v>
      </c>
      <c r="K1338" s="4">
        <f t="shared" si="3"/>
        <v>1</v>
      </c>
      <c r="L1338" s="4">
        <f t="shared" si="4"/>
        <v>-0.1222222222</v>
      </c>
      <c r="M1338" s="4">
        <f t="shared" si="5"/>
        <v>0.8777777778</v>
      </c>
    </row>
    <row r="1339">
      <c r="A1339" s="4" t="s">
        <v>260</v>
      </c>
      <c r="B1339" s="4" t="s">
        <v>3793</v>
      </c>
      <c r="C1339" s="4" t="s">
        <v>3794</v>
      </c>
      <c r="D1339" s="4" t="s">
        <v>3795</v>
      </c>
      <c r="E1339" s="10">
        <f>IFERROR(__xludf.DUMMYFUNCTION("SPLIT(B1339,""T"")"),43742.0)</f>
        <v>43742</v>
      </c>
      <c r="F1339" s="4" t="str">
        <f>IFERROR(__xludf.DUMMYFUNCTION("""COMPUTED_VALUE"""),"10:39:00Z")</f>
        <v>10:39:00Z</v>
      </c>
      <c r="G1339" s="11" t="str">
        <f t="shared" si="1"/>
        <v>10:39:00</v>
      </c>
      <c r="H1339" s="10">
        <f>IFERROR(__xludf.DUMMYFUNCTION("SPLIT(D1339,""T"")"),43741.0)</f>
        <v>43741</v>
      </c>
      <c r="I1339" s="4" t="str">
        <f>IFERROR(__xludf.DUMMYFUNCTION("""COMPUTED_VALUE"""),"13:36:04Z")</f>
        <v>13:36:04Z</v>
      </c>
      <c r="J1339" s="4" t="str">
        <f t="shared" si="2"/>
        <v>13:36:04</v>
      </c>
      <c r="K1339" s="4">
        <f t="shared" si="3"/>
        <v>1</v>
      </c>
      <c r="L1339" s="4">
        <f t="shared" si="4"/>
        <v>-0.122962963</v>
      </c>
      <c r="M1339" s="4">
        <f t="shared" si="5"/>
        <v>0.877037037</v>
      </c>
    </row>
    <row r="1340">
      <c r="A1340" s="4" t="s">
        <v>87</v>
      </c>
      <c r="B1340" s="4" t="s">
        <v>769</v>
      </c>
      <c r="C1340" s="4" t="s">
        <v>770</v>
      </c>
      <c r="D1340" s="4" t="s">
        <v>771</v>
      </c>
      <c r="E1340" s="10">
        <f>IFERROR(__xludf.DUMMYFUNCTION("SPLIT(B1340,""T"")"),41641.0)</f>
        <v>41641</v>
      </c>
      <c r="F1340" s="4" t="str">
        <f>IFERROR(__xludf.DUMMYFUNCTION("""COMPUTED_VALUE"""),"07:30:00Z")</f>
        <v>07:30:00Z</v>
      </c>
      <c r="G1340" s="11" t="str">
        <f t="shared" si="1"/>
        <v>07:30:00</v>
      </c>
      <c r="H1340" s="10">
        <f>IFERROR(__xludf.DUMMYFUNCTION("SPLIT(D1340,""T"")"),41640.0)</f>
        <v>41640</v>
      </c>
      <c r="I1340" s="4" t="str">
        <f>IFERROR(__xludf.DUMMYFUNCTION("""COMPUTED_VALUE"""),"10:46:00Z")</f>
        <v>10:46:00Z</v>
      </c>
      <c r="J1340" s="4" t="str">
        <f t="shared" si="2"/>
        <v>10:46:00</v>
      </c>
      <c r="K1340" s="4">
        <f t="shared" si="3"/>
        <v>1</v>
      </c>
      <c r="L1340" s="4">
        <f t="shared" si="4"/>
        <v>-0.1361111111</v>
      </c>
      <c r="M1340" s="4">
        <f t="shared" si="5"/>
        <v>0.8638888889</v>
      </c>
    </row>
    <row r="1341">
      <c r="A1341" s="4" t="s">
        <v>186</v>
      </c>
      <c r="B1341" s="4" t="s">
        <v>395</v>
      </c>
      <c r="C1341" s="4" t="s">
        <v>396</v>
      </c>
      <c r="D1341" s="4" t="s">
        <v>397</v>
      </c>
      <c r="E1341" s="10">
        <f>IFERROR(__xludf.DUMMYFUNCTION("SPLIT(B1341,""T"")"),41602.0)</f>
        <v>41602</v>
      </c>
      <c r="F1341" s="4" t="str">
        <f>IFERROR(__xludf.DUMMYFUNCTION("""COMPUTED_VALUE"""),"08:45:00Z")</f>
        <v>08:45:00Z</v>
      </c>
      <c r="G1341" s="11" t="str">
        <f t="shared" si="1"/>
        <v>08:45:00</v>
      </c>
      <c r="H1341" s="10">
        <f>IFERROR(__xludf.DUMMYFUNCTION("SPLIT(D1341,""T"")"),41601.0)</f>
        <v>41601</v>
      </c>
      <c r="I1341" s="4" t="str">
        <f>IFERROR(__xludf.DUMMYFUNCTION("""COMPUTED_VALUE"""),"12:04:00Z")</f>
        <v>12:04:00Z</v>
      </c>
      <c r="J1341" s="4" t="str">
        <f t="shared" si="2"/>
        <v>12:04:00</v>
      </c>
      <c r="K1341" s="4">
        <f t="shared" si="3"/>
        <v>1</v>
      </c>
      <c r="L1341" s="4">
        <f t="shared" si="4"/>
        <v>-0.1381944444</v>
      </c>
      <c r="M1341" s="4">
        <f t="shared" si="5"/>
        <v>0.8618055556</v>
      </c>
    </row>
    <row r="1342">
      <c r="A1342" s="4" t="s">
        <v>19</v>
      </c>
      <c r="B1342" s="4" t="s">
        <v>675</v>
      </c>
      <c r="C1342" s="4" t="s">
        <v>676</v>
      </c>
      <c r="D1342" s="4" t="s">
        <v>677</v>
      </c>
      <c r="E1342" s="10">
        <f>IFERROR(__xludf.DUMMYFUNCTION("SPLIT(B1342,""T"")"),41796.0)</f>
        <v>41796</v>
      </c>
      <c r="F1342" s="4" t="str">
        <f>IFERROR(__xludf.DUMMYFUNCTION("""COMPUTED_VALUE"""),"09:30:00Z")</f>
        <v>09:30:00Z</v>
      </c>
      <c r="G1342" s="11" t="str">
        <f t="shared" si="1"/>
        <v>09:30:00</v>
      </c>
      <c r="H1342" s="10">
        <f>IFERROR(__xludf.DUMMYFUNCTION("SPLIT(D1342,""T"")"),41795.0)</f>
        <v>41795</v>
      </c>
      <c r="I1342" s="4" t="str">
        <f>IFERROR(__xludf.DUMMYFUNCTION("""COMPUTED_VALUE"""),"13:04:00Z")</f>
        <v>13:04:00Z</v>
      </c>
      <c r="J1342" s="4" t="str">
        <f t="shared" si="2"/>
        <v>13:04:00</v>
      </c>
      <c r="K1342" s="4">
        <f t="shared" si="3"/>
        <v>1</v>
      </c>
      <c r="L1342" s="4">
        <f t="shared" si="4"/>
        <v>-0.1486111111</v>
      </c>
      <c r="M1342" s="4">
        <f t="shared" si="5"/>
        <v>0.8513888889</v>
      </c>
    </row>
    <row r="1343">
      <c r="A1343" s="4" t="s">
        <v>186</v>
      </c>
      <c r="B1343" s="4" t="s">
        <v>692</v>
      </c>
      <c r="C1343" s="4" t="s">
        <v>461</v>
      </c>
      <c r="D1343" s="4" t="s">
        <v>693</v>
      </c>
      <c r="E1343" s="10">
        <f>IFERROR(__xludf.DUMMYFUNCTION("SPLIT(B1343,""T"")"),41785.0)</f>
        <v>41785</v>
      </c>
      <c r="F1343" s="4" t="str">
        <f>IFERROR(__xludf.DUMMYFUNCTION("""COMPUTED_VALUE"""),"08:45:00Z")</f>
        <v>08:45:00Z</v>
      </c>
      <c r="G1343" s="11" t="str">
        <f t="shared" si="1"/>
        <v>08:45:00</v>
      </c>
      <c r="H1343" s="10">
        <f>IFERROR(__xludf.DUMMYFUNCTION("SPLIT(D1343,""T"")"),41784.0)</f>
        <v>41784</v>
      </c>
      <c r="I1343" s="4" t="str">
        <f>IFERROR(__xludf.DUMMYFUNCTION("""COMPUTED_VALUE"""),"12:20:00Z")</f>
        <v>12:20:00Z</v>
      </c>
      <c r="J1343" s="4" t="str">
        <f t="shared" si="2"/>
        <v>12:20:00</v>
      </c>
      <c r="K1343" s="4">
        <f t="shared" si="3"/>
        <v>1</v>
      </c>
      <c r="L1343" s="4">
        <f t="shared" si="4"/>
        <v>-0.1493055556</v>
      </c>
      <c r="M1343" s="4">
        <f t="shared" si="5"/>
        <v>0.8506944444</v>
      </c>
    </row>
    <row r="1344">
      <c r="A1344" s="4" t="s">
        <v>166</v>
      </c>
      <c r="B1344" s="4" t="s">
        <v>167</v>
      </c>
      <c r="C1344" s="4" t="s">
        <v>168</v>
      </c>
      <c r="D1344" s="4" t="s">
        <v>169</v>
      </c>
      <c r="E1344" s="10">
        <f>IFERROR(__xludf.DUMMYFUNCTION("SPLIT(B1344,""T"")"),41551.0)</f>
        <v>41551</v>
      </c>
      <c r="F1344" s="4" t="str">
        <f>IFERROR(__xludf.DUMMYFUNCTION("""COMPUTED_VALUE"""),"16:55:00Z")</f>
        <v>16:55:00Z</v>
      </c>
      <c r="G1344" s="11" t="str">
        <f t="shared" si="1"/>
        <v>16:55:00</v>
      </c>
      <c r="H1344" s="10">
        <f>IFERROR(__xludf.DUMMYFUNCTION("SPLIT(D1344,""T"")"),41550.0)</f>
        <v>41550</v>
      </c>
      <c r="I1344" s="4" t="str">
        <f>IFERROR(__xludf.DUMMYFUNCTION("""COMPUTED_VALUE"""),"20:33:00Z")</f>
        <v>20:33:00Z</v>
      </c>
      <c r="J1344" s="4" t="str">
        <f t="shared" si="2"/>
        <v>20:33:00</v>
      </c>
      <c r="K1344" s="4">
        <f t="shared" si="3"/>
        <v>1</v>
      </c>
      <c r="L1344" s="4">
        <f t="shared" si="4"/>
        <v>-0.1513888889</v>
      </c>
      <c r="M1344" s="4">
        <f t="shared" si="5"/>
        <v>0.8486111111</v>
      </c>
    </row>
    <row r="1345">
      <c r="A1345" s="4" t="s">
        <v>320</v>
      </c>
      <c r="B1345" s="4" t="s">
        <v>866</v>
      </c>
      <c r="C1345" s="4" t="s">
        <v>867</v>
      </c>
      <c r="D1345" s="4" t="s">
        <v>868</v>
      </c>
      <c r="E1345" s="10">
        <f>IFERROR(__xludf.DUMMYFUNCTION("SPLIT(B1345,""T"")"),42220.0)</f>
        <v>42220</v>
      </c>
      <c r="F1345" s="4" t="str">
        <f>IFERROR(__xludf.DUMMYFUNCTION("""COMPUTED_VALUE"""),"10:37:00Z")</f>
        <v>10:37:00Z</v>
      </c>
      <c r="G1345" s="11" t="str">
        <f t="shared" si="1"/>
        <v>10:37:00</v>
      </c>
      <c r="H1345" s="10">
        <f>IFERROR(__xludf.DUMMYFUNCTION("SPLIT(D1345,""T"")"),42219.0)</f>
        <v>42219</v>
      </c>
      <c r="I1345" s="4" t="str">
        <f>IFERROR(__xludf.DUMMYFUNCTION("""COMPUTED_VALUE"""),"14:15:00Z")</f>
        <v>14:15:00Z</v>
      </c>
      <c r="J1345" s="4" t="str">
        <f t="shared" si="2"/>
        <v>14:15:00</v>
      </c>
      <c r="K1345" s="4">
        <f t="shared" si="3"/>
        <v>1</v>
      </c>
      <c r="L1345" s="4">
        <f t="shared" si="4"/>
        <v>-0.1513888889</v>
      </c>
      <c r="M1345" s="4">
        <f t="shared" si="5"/>
        <v>0.8486111111</v>
      </c>
    </row>
    <row r="1346">
      <c r="A1346" s="4" t="s">
        <v>324</v>
      </c>
      <c r="B1346" s="4" t="s">
        <v>1685</v>
      </c>
      <c r="C1346" s="4" t="s">
        <v>56</v>
      </c>
      <c r="D1346" s="4" t="s">
        <v>1686</v>
      </c>
      <c r="E1346" s="10">
        <f>IFERROR(__xludf.DUMMYFUNCTION("SPLIT(B1346,""T"")"),42588.0)</f>
        <v>42588</v>
      </c>
      <c r="F1346" s="4" t="str">
        <f>IFERROR(__xludf.DUMMYFUNCTION("""COMPUTED_VALUE"""),"10:06:00Z")</f>
        <v>10:06:00Z</v>
      </c>
      <c r="G1346" s="11" t="str">
        <f t="shared" si="1"/>
        <v>10:06:00</v>
      </c>
      <c r="H1346" s="10">
        <f>IFERROR(__xludf.DUMMYFUNCTION("SPLIT(D1346,""T"")"),42587.0)</f>
        <v>42587</v>
      </c>
      <c r="I1346" s="4" t="str">
        <f>IFERROR(__xludf.DUMMYFUNCTION("""COMPUTED_VALUE"""),"13:49:00Z")</f>
        <v>13:49:00Z</v>
      </c>
      <c r="J1346" s="4" t="str">
        <f t="shared" si="2"/>
        <v>13:49:00</v>
      </c>
      <c r="K1346" s="4">
        <f t="shared" si="3"/>
        <v>1</v>
      </c>
      <c r="L1346" s="4">
        <f t="shared" si="4"/>
        <v>-0.1548611111</v>
      </c>
      <c r="M1346" s="4">
        <f t="shared" si="5"/>
        <v>0.8451388889</v>
      </c>
    </row>
    <row r="1347">
      <c r="A1347" s="4" t="s">
        <v>62</v>
      </c>
      <c r="B1347" s="4" t="s">
        <v>3836</v>
      </c>
      <c r="C1347" s="4" t="s">
        <v>3837</v>
      </c>
      <c r="D1347" s="4" t="s">
        <v>3838</v>
      </c>
      <c r="E1347" s="10">
        <f>IFERROR(__xludf.DUMMYFUNCTION("SPLIT(B1347,""T"")"),43754.0)</f>
        <v>43754</v>
      </c>
      <c r="F1347" s="4" t="str">
        <f>IFERROR(__xludf.DUMMYFUNCTION("""COMPUTED_VALUE"""),"13:50:00Z")</f>
        <v>13:50:00Z</v>
      </c>
      <c r="G1347" s="11" t="str">
        <f t="shared" si="1"/>
        <v>13:50:00</v>
      </c>
      <c r="H1347" s="10">
        <f>IFERROR(__xludf.DUMMYFUNCTION("SPLIT(D1347,""T"")"),43753.0)</f>
        <v>43753</v>
      </c>
      <c r="I1347" s="4" t="str">
        <f>IFERROR(__xludf.DUMMYFUNCTION("""COMPUTED_VALUE"""),"17:41:57Z")</f>
        <v>17:41:57Z</v>
      </c>
      <c r="J1347" s="4" t="str">
        <f t="shared" si="2"/>
        <v>17:41:57</v>
      </c>
      <c r="K1347" s="4">
        <f t="shared" si="3"/>
        <v>1</v>
      </c>
      <c r="L1347" s="4">
        <f t="shared" si="4"/>
        <v>-0.1610763889</v>
      </c>
      <c r="M1347" s="4">
        <f t="shared" si="5"/>
        <v>0.8389236111</v>
      </c>
    </row>
    <row r="1348">
      <c r="A1348" s="4" t="s">
        <v>80</v>
      </c>
      <c r="B1348" s="4" t="s">
        <v>553</v>
      </c>
      <c r="C1348" s="4" t="s">
        <v>737</v>
      </c>
      <c r="D1348" s="4" t="s">
        <v>738</v>
      </c>
      <c r="E1348" s="10">
        <f>IFERROR(__xludf.DUMMYFUNCTION("SPLIT(B1348,""T"")"),41832.0)</f>
        <v>41832</v>
      </c>
      <c r="F1348" s="4" t="str">
        <f>IFERROR(__xludf.DUMMYFUNCTION("""COMPUTED_VALUE"""),"18:00:00Z")</f>
        <v>18:00:00Z</v>
      </c>
      <c r="G1348" s="11" t="str">
        <f t="shared" si="1"/>
        <v>18:00:00</v>
      </c>
      <c r="H1348" s="10">
        <f>IFERROR(__xludf.DUMMYFUNCTION("SPLIT(D1348,""T"")"),41831.0)</f>
        <v>41831</v>
      </c>
      <c r="I1348" s="4" t="str">
        <f>IFERROR(__xludf.DUMMYFUNCTION("""COMPUTED_VALUE"""),"21:57:00Z")</f>
        <v>21:57:00Z</v>
      </c>
      <c r="J1348" s="4" t="str">
        <f t="shared" si="2"/>
        <v>21:57:00</v>
      </c>
      <c r="K1348" s="4">
        <f t="shared" si="3"/>
        <v>1</v>
      </c>
      <c r="L1348" s="4">
        <f t="shared" si="4"/>
        <v>-0.1645833333</v>
      </c>
      <c r="M1348" s="4">
        <f t="shared" si="5"/>
        <v>0.8354166667</v>
      </c>
    </row>
    <row r="1349">
      <c r="A1349" s="4" t="s">
        <v>260</v>
      </c>
      <c r="B1349" s="4" t="s">
        <v>3490</v>
      </c>
      <c r="C1349" s="4" t="s">
        <v>2569</v>
      </c>
      <c r="D1349" s="4" t="s">
        <v>3491</v>
      </c>
      <c r="E1349" s="10">
        <f>IFERROR(__xludf.DUMMYFUNCTION("SPLIT(B1349,""T"")"),43662.0)</f>
        <v>43662</v>
      </c>
      <c r="F1349" s="4" t="str">
        <f>IFERROR(__xludf.DUMMYFUNCTION("""COMPUTED_VALUE"""),"06:48:00Z")</f>
        <v>06:48:00Z</v>
      </c>
      <c r="G1349" s="11" t="str">
        <f t="shared" si="1"/>
        <v>06:48:00</v>
      </c>
      <c r="H1349" s="10">
        <f>IFERROR(__xludf.DUMMYFUNCTION("SPLIT(D1349,""T"")"),43661.0)</f>
        <v>43661</v>
      </c>
      <c r="I1349" s="4" t="str">
        <f>IFERROR(__xludf.DUMMYFUNCTION("""COMPUTED_VALUE"""),"10:49:00Z")</f>
        <v>10:49:00Z</v>
      </c>
      <c r="J1349" s="4" t="str">
        <f t="shared" si="2"/>
        <v>10:49:00</v>
      </c>
      <c r="K1349" s="4">
        <f t="shared" si="3"/>
        <v>1</v>
      </c>
      <c r="L1349" s="4">
        <f t="shared" si="4"/>
        <v>-0.1673611111</v>
      </c>
      <c r="M1349" s="4">
        <f t="shared" si="5"/>
        <v>0.8326388889</v>
      </c>
    </row>
    <row r="1350">
      <c r="A1350" s="4" t="s">
        <v>156</v>
      </c>
      <c r="B1350" s="4" t="s">
        <v>511</v>
      </c>
      <c r="C1350" s="4" t="s">
        <v>512</v>
      </c>
      <c r="D1350" s="4" t="s">
        <v>513</v>
      </c>
      <c r="E1350" s="10">
        <f>IFERROR(__xludf.DUMMYFUNCTION("SPLIT(B1350,""T"")"),41407.0)</f>
        <v>41407</v>
      </c>
      <c r="F1350" s="4" t="str">
        <f>IFERROR(__xludf.DUMMYFUNCTION("""COMPUTED_VALUE"""),"09:00:00Z")</f>
        <v>09:00:00Z</v>
      </c>
      <c r="G1350" s="11" t="str">
        <f t="shared" si="1"/>
        <v>09:00:00</v>
      </c>
      <c r="H1350" s="10">
        <f>IFERROR(__xludf.DUMMYFUNCTION("SPLIT(D1350,""T"")"),41406.0)</f>
        <v>41406</v>
      </c>
      <c r="I1350" s="4" t="str">
        <f>IFERROR(__xludf.DUMMYFUNCTION("""COMPUTED_VALUE"""),"13:02:00Z")</f>
        <v>13:02:00Z</v>
      </c>
      <c r="J1350" s="4" t="str">
        <f t="shared" si="2"/>
        <v>13:02:00</v>
      </c>
      <c r="K1350" s="4">
        <f t="shared" si="3"/>
        <v>1</v>
      </c>
      <c r="L1350" s="4">
        <f t="shared" si="4"/>
        <v>-0.1680555556</v>
      </c>
      <c r="M1350" s="4">
        <f t="shared" si="5"/>
        <v>0.8319444444</v>
      </c>
    </row>
    <row r="1351">
      <c r="A1351" s="4" t="s">
        <v>35</v>
      </c>
      <c r="B1351" s="4" t="s">
        <v>810</v>
      </c>
      <c r="C1351" s="4" t="s">
        <v>811</v>
      </c>
      <c r="D1351" s="4" t="s">
        <v>812</v>
      </c>
      <c r="E1351" s="10">
        <f>IFERROR(__xludf.DUMMYFUNCTION("SPLIT(B1351,""T"")"),41912.0)</f>
        <v>41912</v>
      </c>
      <c r="F1351" s="4" t="str">
        <f>IFERROR(__xludf.DUMMYFUNCTION("""COMPUTED_VALUE"""),"15:00:00Z")</f>
        <v>15:00:00Z</v>
      </c>
      <c r="G1351" s="11" t="str">
        <f t="shared" si="1"/>
        <v>15:00:00</v>
      </c>
      <c r="H1351" s="10">
        <f>IFERROR(__xludf.DUMMYFUNCTION("SPLIT(D1351,""T"")"),41911.0)</f>
        <v>41911</v>
      </c>
      <c r="I1351" s="4" t="str">
        <f>IFERROR(__xludf.DUMMYFUNCTION("""COMPUTED_VALUE"""),"19:35:00Z")</f>
        <v>19:35:00Z</v>
      </c>
      <c r="J1351" s="4" t="str">
        <f t="shared" si="2"/>
        <v>19:35:00</v>
      </c>
      <c r="K1351" s="4">
        <f t="shared" si="3"/>
        <v>1</v>
      </c>
      <c r="L1351" s="4">
        <f t="shared" si="4"/>
        <v>-0.1909722222</v>
      </c>
      <c r="M1351" s="4">
        <f t="shared" si="5"/>
        <v>0.8090277778</v>
      </c>
    </row>
    <row r="1352">
      <c r="A1352" s="4" t="s">
        <v>73</v>
      </c>
      <c r="B1352" s="4" t="s">
        <v>248</v>
      </c>
      <c r="C1352" s="4" t="s">
        <v>249</v>
      </c>
      <c r="D1352" s="4" t="s">
        <v>250</v>
      </c>
      <c r="E1352" s="10">
        <f>IFERROR(__xludf.DUMMYFUNCTION("SPLIT(B1352,""T"")"),41552.0)</f>
        <v>41552</v>
      </c>
      <c r="F1352" s="4" t="str">
        <f>IFERROR(__xludf.DUMMYFUNCTION("""COMPUTED_VALUE"""),"07:45:00Z")</f>
        <v>07:45:00Z</v>
      </c>
      <c r="G1352" s="11" t="str">
        <f t="shared" si="1"/>
        <v>07:45:00</v>
      </c>
      <c r="H1352" s="10">
        <f>IFERROR(__xludf.DUMMYFUNCTION("SPLIT(D1352,""T"")"),41551.0)</f>
        <v>41551</v>
      </c>
      <c r="I1352" s="4" t="str">
        <f>IFERROR(__xludf.DUMMYFUNCTION("""COMPUTED_VALUE"""),"12:25:00Z")</f>
        <v>12:25:00Z</v>
      </c>
      <c r="J1352" s="4" t="str">
        <f t="shared" si="2"/>
        <v>12:25:00</v>
      </c>
      <c r="K1352" s="4">
        <f t="shared" si="3"/>
        <v>1</v>
      </c>
      <c r="L1352" s="4">
        <f t="shared" si="4"/>
        <v>-0.1944444444</v>
      </c>
      <c r="M1352" s="4">
        <f t="shared" si="5"/>
        <v>0.8055555556</v>
      </c>
    </row>
    <row r="1353">
      <c r="A1353" s="4" t="s">
        <v>97</v>
      </c>
      <c r="B1353" s="4" t="s">
        <v>237</v>
      </c>
      <c r="C1353" s="4" t="s">
        <v>238</v>
      </c>
      <c r="D1353" s="4" t="s">
        <v>239</v>
      </c>
      <c r="E1353" s="10">
        <f>IFERROR(__xludf.DUMMYFUNCTION("SPLIT(B1353,""T"")"),41423.0)</f>
        <v>41423</v>
      </c>
      <c r="F1353" s="4" t="str">
        <f>IFERROR(__xludf.DUMMYFUNCTION("""COMPUTED_VALUE"""),"10:30:00Z")</f>
        <v>10:30:00Z</v>
      </c>
      <c r="G1353" s="11" t="str">
        <f t="shared" si="1"/>
        <v>10:30:00</v>
      </c>
      <c r="H1353" s="10">
        <f>IFERROR(__xludf.DUMMYFUNCTION("SPLIT(D1353,""T"")"),41422.0)</f>
        <v>41422</v>
      </c>
      <c r="I1353" s="4" t="str">
        <f>IFERROR(__xludf.DUMMYFUNCTION("""COMPUTED_VALUE"""),"15:24:00Z")</f>
        <v>15:24:00Z</v>
      </c>
      <c r="J1353" s="4" t="str">
        <f t="shared" si="2"/>
        <v>15:24:00</v>
      </c>
      <c r="K1353" s="4">
        <f t="shared" si="3"/>
        <v>1</v>
      </c>
      <c r="L1353" s="4">
        <f t="shared" si="4"/>
        <v>-0.2041666667</v>
      </c>
      <c r="M1353" s="4">
        <f t="shared" si="5"/>
        <v>0.7958333333</v>
      </c>
    </row>
    <row r="1354">
      <c r="A1354" s="4" t="s">
        <v>282</v>
      </c>
      <c r="B1354" s="4" t="s">
        <v>1352</v>
      </c>
      <c r="C1354" s="4" t="s">
        <v>1353</v>
      </c>
      <c r="D1354" s="4" t="s">
        <v>1354</v>
      </c>
      <c r="E1354" s="10">
        <f>IFERROR(__xludf.DUMMYFUNCTION("SPLIT(B1354,""T"")"),42547.0)</f>
        <v>42547</v>
      </c>
      <c r="F1354" s="4" t="str">
        <f>IFERROR(__xludf.DUMMYFUNCTION("""COMPUTED_VALUE"""),"18:50:00Z")</f>
        <v>18:50:00Z</v>
      </c>
      <c r="G1354" s="11" t="str">
        <f t="shared" si="1"/>
        <v>18:50:00</v>
      </c>
      <c r="H1354" s="10">
        <f>IFERROR(__xludf.DUMMYFUNCTION("SPLIT(D1354,""T"")"),42546.0)</f>
        <v>42546</v>
      </c>
      <c r="I1354" s="4" t="str">
        <f>IFERROR(__xludf.DUMMYFUNCTION("""COMPUTED_VALUE"""),"23:45:00Z")</f>
        <v>23:45:00Z</v>
      </c>
      <c r="J1354" s="4" t="str">
        <f t="shared" si="2"/>
        <v>23:45:00</v>
      </c>
      <c r="K1354" s="4">
        <f t="shared" si="3"/>
        <v>1</v>
      </c>
      <c r="L1354" s="4">
        <f t="shared" si="4"/>
        <v>-0.2048611111</v>
      </c>
      <c r="M1354" s="4">
        <f t="shared" si="5"/>
        <v>0.7951388889</v>
      </c>
    </row>
    <row r="1355">
      <c r="A1355" s="4" t="s">
        <v>69</v>
      </c>
      <c r="B1355" s="4" t="s">
        <v>1425</v>
      </c>
      <c r="C1355" s="4" t="s">
        <v>1426</v>
      </c>
      <c r="D1355" s="4" t="s">
        <v>1427</v>
      </c>
      <c r="E1355" s="10">
        <f>IFERROR(__xludf.DUMMYFUNCTION("SPLIT(B1355,""T"")"),42565.0)</f>
        <v>42565</v>
      </c>
      <c r="F1355" s="4" t="str">
        <f>IFERROR(__xludf.DUMMYFUNCTION("""COMPUTED_VALUE"""),"12:00:00Z")</f>
        <v>12:00:00Z</v>
      </c>
      <c r="G1355" s="11" t="str">
        <f t="shared" si="1"/>
        <v>12:00:00</v>
      </c>
      <c r="H1355" s="10">
        <f>IFERROR(__xludf.DUMMYFUNCTION("SPLIT(D1355,""T"")"),42564.0)</f>
        <v>42564</v>
      </c>
      <c r="I1355" s="4" t="str">
        <f>IFERROR(__xludf.DUMMYFUNCTION("""COMPUTED_VALUE"""),"17:08:00Z")</f>
        <v>17:08:00Z</v>
      </c>
      <c r="J1355" s="4" t="str">
        <f t="shared" si="2"/>
        <v>17:08:00</v>
      </c>
      <c r="K1355" s="4">
        <f t="shared" si="3"/>
        <v>1</v>
      </c>
      <c r="L1355" s="4">
        <f t="shared" si="4"/>
        <v>-0.2138888889</v>
      </c>
      <c r="M1355" s="4">
        <f t="shared" si="5"/>
        <v>0.7861111111</v>
      </c>
    </row>
    <row r="1356">
      <c r="A1356" s="4" t="s">
        <v>46</v>
      </c>
      <c r="B1356" s="4" t="s">
        <v>1687</v>
      </c>
      <c r="C1356" s="4" t="s">
        <v>1509</v>
      </c>
      <c r="D1356" s="4" t="s">
        <v>1688</v>
      </c>
      <c r="E1356" s="10">
        <f>IFERROR(__xludf.DUMMYFUNCTION("SPLIT(B1356,""T"")"),42571.0)</f>
        <v>42571</v>
      </c>
      <c r="F1356" s="4" t="str">
        <f>IFERROR(__xludf.DUMMYFUNCTION("""COMPUTED_VALUE"""),"09:00:00Z")</f>
        <v>09:00:00Z</v>
      </c>
      <c r="G1356" s="11" t="str">
        <f t="shared" si="1"/>
        <v>09:00:00</v>
      </c>
      <c r="H1356" s="10">
        <f>IFERROR(__xludf.DUMMYFUNCTION("SPLIT(D1356,""T"")"),42570.0)</f>
        <v>42570</v>
      </c>
      <c r="I1356" s="4" t="str">
        <f>IFERROR(__xludf.DUMMYFUNCTION("""COMPUTED_VALUE"""),"14:09:00Z")</f>
        <v>14:09:00Z</v>
      </c>
      <c r="J1356" s="4" t="str">
        <f t="shared" si="2"/>
        <v>14:09:00</v>
      </c>
      <c r="K1356" s="4">
        <f t="shared" si="3"/>
        <v>1</v>
      </c>
      <c r="L1356" s="4">
        <f t="shared" si="4"/>
        <v>-0.2145833333</v>
      </c>
      <c r="M1356" s="4">
        <f t="shared" si="5"/>
        <v>0.7854166667</v>
      </c>
    </row>
    <row r="1357">
      <c r="A1357" s="4" t="s">
        <v>27</v>
      </c>
      <c r="B1357" s="4" t="s">
        <v>454</v>
      </c>
      <c r="C1357" s="4" t="s">
        <v>455</v>
      </c>
      <c r="D1357" s="4" t="s">
        <v>456</v>
      </c>
      <c r="E1357" s="10">
        <f>IFERROR(__xludf.DUMMYFUNCTION("SPLIT(B1357,""T"")"),41411.0)</f>
        <v>41411</v>
      </c>
      <c r="F1357" s="4" t="str">
        <f>IFERROR(__xludf.DUMMYFUNCTION("""COMPUTED_VALUE"""),"08:30:00Z")</f>
        <v>08:30:00Z</v>
      </c>
      <c r="G1357" s="11" t="str">
        <f t="shared" si="1"/>
        <v>08:30:00</v>
      </c>
      <c r="H1357" s="10">
        <f>IFERROR(__xludf.DUMMYFUNCTION("SPLIT(D1357,""T"")"),41410.0)</f>
        <v>41410</v>
      </c>
      <c r="I1357" s="4" t="str">
        <f>IFERROR(__xludf.DUMMYFUNCTION("""COMPUTED_VALUE"""),"13:48:00Z")</f>
        <v>13:48:00Z</v>
      </c>
      <c r="J1357" s="4" t="str">
        <f t="shared" si="2"/>
        <v>13:48:00</v>
      </c>
      <c r="K1357" s="4">
        <f t="shared" si="3"/>
        <v>1</v>
      </c>
      <c r="L1357" s="4">
        <f t="shared" si="4"/>
        <v>-0.2208333333</v>
      </c>
      <c r="M1357" s="4">
        <f t="shared" si="5"/>
        <v>0.7791666667</v>
      </c>
    </row>
    <row r="1358">
      <c r="A1358" s="4" t="s">
        <v>19</v>
      </c>
      <c r="B1358" s="4" t="s">
        <v>3606</v>
      </c>
      <c r="C1358" s="4" t="s">
        <v>1054</v>
      </c>
      <c r="D1358" s="4" t="s">
        <v>3607</v>
      </c>
      <c r="E1358" s="10">
        <f>IFERROR(__xludf.DUMMYFUNCTION("SPLIT(B1358,""T"")"),43732.0)</f>
        <v>43732</v>
      </c>
      <c r="F1358" s="4" t="str">
        <f>IFERROR(__xludf.DUMMYFUNCTION("""COMPUTED_VALUE"""),"10:21:00Z")</f>
        <v>10:21:00Z</v>
      </c>
      <c r="G1358" s="11" t="str">
        <f t="shared" si="1"/>
        <v>10:21:00</v>
      </c>
      <c r="H1358" s="10">
        <f>IFERROR(__xludf.DUMMYFUNCTION("SPLIT(D1358,""T"")"),43731.0)</f>
        <v>43731</v>
      </c>
      <c r="I1358" s="4" t="str">
        <f>IFERROR(__xludf.DUMMYFUNCTION("""COMPUTED_VALUE"""),"15:55:57Z")</f>
        <v>15:55:57Z</v>
      </c>
      <c r="J1358" s="4" t="str">
        <f t="shared" si="2"/>
        <v>15:55:57</v>
      </c>
      <c r="K1358" s="4">
        <f t="shared" si="3"/>
        <v>1</v>
      </c>
      <c r="L1358" s="4">
        <f t="shared" si="4"/>
        <v>-0.2326041667</v>
      </c>
      <c r="M1358" s="4">
        <f t="shared" si="5"/>
        <v>0.7673958333</v>
      </c>
    </row>
    <row r="1359">
      <c r="A1359" s="4" t="s">
        <v>166</v>
      </c>
      <c r="B1359" s="4" t="s">
        <v>1182</v>
      </c>
      <c r="C1359" s="4" t="s">
        <v>1183</v>
      </c>
      <c r="D1359" s="4" t="s">
        <v>1184</v>
      </c>
      <c r="E1359" s="10">
        <f>IFERROR(__xludf.DUMMYFUNCTION("SPLIT(B1359,""T"")"),42165.0)</f>
        <v>42165</v>
      </c>
      <c r="F1359" s="4" t="str">
        <f>IFERROR(__xludf.DUMMYFUNCTION("""COMPUTED_VALUE"""),"09:45:00Z")</f>
        <v>09:45:00Z</v>
      </c>
      <c r="G1359" s="11" t="str">
        <f t="shared" si="1"/>
        <v>09:45:00</v>
      </c>
      <c r="H1359" s="10">
        <f>IFERROR(__xludf.DUMMYFUNCTION("SPLIT(D1359,""T"")"),42164.0)</f>
        <v>42164</v>
      </c>
      <c r="I1359" s="4" t="str">
        <f>IFERROR(__xludf.DUMMYFUNCTION("""COMPUTED_VALUE"""),"15:23:00Z")</f>
        <v>15:23:00Z</v>
      </c>
      <c r="J1359" s="4" t="str">
        <f t="shared" si="2"/>
        <v>15:23:00</v>
      </c>
      <c r="K1359" s="4">
        <f t="shared" si="3"/>
        <v>1</v>
      </c>
      <c r="L1359" s="4">
        <f t="shared" si="4"/>
        <v>-0.2347222222</v>
      </c>
      <c r="M1359" s="4">
        <f t="shared" si="5"/>
        <v>0.7652777778</v>
      </c>
    </row>
    <row r="1360">
      <c r="A1360" s="4" t="s">
        <v>162</v>
      </c>
      <c r="B1360" s="4" t="s">
        <v>1297</v>
      </c>
      <c r="C1360" s="4" t="s">
        <v>1298</v>
      </c>
      <c r="D1360" s="4" t="s">
        <v>1299</v>
      </c>
      <c r="E1360" s="10">
        <f>IFERROR(__xludf.DUMMYFUNCTION("SPLIT(B1360,""T"")"),42631.0)</f>
        <v>42631</v>
      </c>
      <c r="F1360" s="4" t="str">
        <f>IFERROR(__xludf.DUMMYFUNCTION("""COMPUTED_VALUE"""),"08:10:00Z")</f>
        <v>08:10:00Z</v>
      </c>
      <c r="G1360" s="11" t="str">
        <f t="shared" si="1"/>
        <v>08:10:00</v>
      </c>
      <c r="H1360" s="10">
        <f>IFERROR(__xludf.DUMMYFUNCTION("SPLIT(D1360,""T"")"),42630.0)</f>
        <v>42630</v>
      </c>
      <c r="I1360" s="4" t="str">
        <f>IFERROR(__xludf.DUMMYFUNCTION("""COMPUTED_VALUE"""),"13:49:00Z")</f>
        <v>13:49:00Z</v>
      </c>
      <c r="J1360" s="4" t="str">
        <f t="shared" si="2"/>
        <v>13:49:00</v>
      </c>
      <c r="K1360" s="4">
        <f t="shared" si="3"/>
        <v>1</v>
      </c>
      <c r="L1360" s="4">
        <f t="shared" si="4"/>
        <v>-0.2354166667</v>
      </c>
      <c r="M1360" s="4">
        <f t="shared" si="5"/>
        <v>0.7645833333</v>
      </c>
    </row>
    <row r="1361">
      <c r="A1361" s="4" t="s">
        <v>114</v>
      </c>
      <c r="B1361" s="4" t="s">
        <v>3509</v>
      </c>
      <c r="C1361" s="4" t="s">
        <v>3510</v>
      </c>
      <c r="D1361" s="4" t="s">
        <v>3511</v>
      </c>
      <c r="E1361" s="10">
        <f>IFERROR(__xludf.DUMMYFUNCTION("SPLIT(B1361,""T"")"),43656.0)</f>
        <v>43656</v>
      </c>
      <c r="F1361" s="4" t="str">
        <f>IFERROR(__xludf.DUMMYFUNCTION("""COMPUTED_VALUE"""),"16:04:00Z")</f>
        <v>16:04:00Z</v>
      </c>
      <c r="G1361" s="11" t="str">
        <f t="shared" si="1"/>
        <v>16:04:00</v>
      </c>
      <c r="H1361" s="10">
        <f>IFERROR(__xludf.DUMMYFUNCTION("SPLIT(D1361,""T"")"),43655.0)</f>
        <v>43655</v>
      </c>
      <c r="I1361" s="4" t="str">
        <f>IFERROR(__xludf.DUMMYFUNCTION("""COMPUTED_VALUE"""),"21:43:36Z")</f>
        <v>21:43:36Z</v>
      </c>
      <c r="J1361" s="4" t="str">
        <f t="shared" si="2"/>
        <v>21:43:36</v>
      </c>
      <c r="K1361" s="4">
        <f t="shared" si="3"/>
        <v>1</v>
      </c>
      <c r="L1361" s="4">
        <f t="shared" si="4"/>
        <v>-0.2358333333</v>
      </c>
      <c r="M1361" s="4">
        <f t="shared" si="5"/>
        <v>0.7641666667</v>
      </c>
    </row>
    <row r="1362">
      <c r="A1362" s="4" t="s">
        <v>401</v>
      </c>
      <c r="B1362" s="4" t="s">
        <v>700</v>
      </c>
      <c r="C1362" s="4" t="s">
        <v>701</v>
      </c>
      <c r="D1362" s="4" t="s">
        <v>702</v>
      </c>
      <c r="E1362" s="10">
        <f>IFERROR(__xludf.DUMMYFUNCTION("SPLIT(B1362,""T"")"),41821.0)</f>
        <v>41821</v>
      </c>
      <c r="F1362" s="4" t="str">
        <f>IFERROR(__xludf.DUMMYFUNCTION("""COMPUTED_VALUE"""),"08:30:00Z")</f>
        <v>08:30:00Z</v>
      </c>
      <c r="G1362" s="11" t="str">
        <f t="shared" si="1"/>
        <v>08:30:00</v>
      </c>
      <c r="H1362" s="10">
        <f>IFERROR(__xludf.DUMMYFUNCTION("SPLIT(D1362,""T"")"),41820.0)</f>
        <v>41820</v>
      </c>
      <c r="I1362" s="4" t="str">
        <f>IFERROR(__xludf.DUMMYFUNCTION("""COMPUTED_VALUE"""),"14:10:00Z")</f>
        <v>14:10:00Z</v>
      </c>
      <c r="J1362" s="4" t="str">
        <f t="shared" si="2"/>
        <v>14:10:00</v>
      </c>
      <c r="K1362" s="4">
        <f t="shared" si="3"/>
        <v>1</v>
      </c>
      <c r="L1362" s="4">
        <f t="shared" si="4"/>
        <v>-0.2361111111</v>
      </c>
      <c r="M1362" s="4">
        <f t="shared" si="5"/>
        <v>0.7638888889</v>
      </c>
    </row>
    <row r="1363">
      <c r="A1363" s="4" t="s">
        <v>27</v>
      </c>
      <c r="B1363" s="4" t="s">
        <v>451</v>
      </c>
      <c r="C1363" s="4" t="s">
        <v>452</v>
      </c>
      <c r="D1363" s="4" t="s">
        <v>453</v>
      </c>
      <c r="E1363" s="10">
        <f>IFERROR(__xludf.DUMMYFUNCTION("SPLIT(B1363,""T"")"),41440.0)</f>
        <v>41440</v>
      </c>
      <c r="F1363" s="4" t="str">
        <f>IFERROR(__xludf.DUMMYFUNCTION("""COMPUTED_VALUE"""),"08:00:00Z")</f>
        <v>08:00:00Z</v>
      </c>
      <c r="G1363" s="11" t="str">
        <f t="shared" si="1"/>
        <v>08:00:00</v>
      </c>
      <c r="H1363" s="10">
        <f>IFERROR(__xludf.DUMMYFUNCTION("SPLIT(D1363,""T"")"),41439.0)</f>
        <v>41439</v>
      </c>
      <c r="I1363" s="4" t="str">
        <f>IFERROR(__xludf.DUMMYFUNCTION("""COMPUTED_VALUE"""),"13:47:00Z")</f>
        <v>13:47:00Z</v>
      </c>
      <c r="J1363" s="4" t="str">
        <f t="shared" si="2"/>
        <v>13:47:00</v>
      </c>
      <c r="K1363" s="4">
        <f t="shared" si="3"/>
        <v>1</v>
      </c>
      <c r="L1363" s="4">
        <f t="shared" si="4"/>
        <v>-0.2409722222</v>
      </c>
      <c r="M1363" s="4">
        <f t="shared" si="5"/>
        <v>0.7590277778</v>
      </c>
    </row>
    <row r="1364">
      <c r="A1364" s="4" t="s">
        <v>156</v>
      </c>
      <c r="B1364" s="4" t="s">
        <v>193</v>
      </c>
      <c r="C1364" s="4" t="s">
        <v>194</v>
      </c>
      <c r="D1364" s="4" t="s">
        <v>195</v>
      </c>
      <c r="E1364" s="10">
        <f>IFERROR(__xludf.DUMMYFUNCTION("SPLIT(B1364,""T"")"),41395.0)</f>
        <v>41395</v>
      </c>
      <c r="F1364" s="4" t="str">
        <f>IFERROR(__xludf.DUMMYFUNCTION("""COMPUTED_VALUE"""),"07:00:00Z")</f>
        <v>07:00:00Z</v>
      </c>
      <c r="G1364" s="11" t="str">
        <f t="shared" si="1"/>
        <v>07:00:00</v>
      </c>
      <c r="H1364" s="10">
        <f>IFERROR(__xludf.DUMMYFUNCTION("SPLIT(D1364,""T"")"),41394.0)</f>
        <v>41394</v>
      </c>
      <c r="I1364" s="4" t="str">
        <f>IFERROR(__xludf.DUMMYFUNCTION("""COMPUTED_VALUE"""),"12:59:00Z")</f>
        <v>12:59:00Z</v>
      </c>
      <c r="J1364" s="4" t="str">
        <f t="shared" si="2"/>
        <v>12:59:00</v>
      </c>
      <c r="K1364" s="4">
        <f t="shared" si="3"/>
        <v>1</v>
      </c>
      <c r="L1364" s="4">
        <f t="shared" si="4"/>
        <v>-0.2493055556</v>
      </c>
      <c r="M1364" s="4">
        <f t="shared" si="5"/>
        <v>0.7506944444</v>
      </c>
    </row>
    <row r="1365">
      <c r="A1365" s="4" t="s">
        <v>58</v>
      </c>
      <c r="B1365" s="4" t="s">
        <v>995</v>
      </c>
      <c r="C1365" s="4" t="s">
        <v>1131</v>
      </c>
      <c r="D1365" s="4" t="s">
        <v>1132</v>
      </c>
      <c r="E1365" s="10">
        <f>IFERROR(__xludf.DUMMYFUNCTION("SPLIT(B1365,""T"")"),42220.0)</f>
        <v>42220</v>
      </c>
      <c r="F1365" s="4" t="str">
        <f>IFERROR(__xludf.DUMMYFUNCTION("""COMPUTED_VALUE"""),"08:15:00Z")</f>
        <v>08:15:00Z</v>
      </c>
      <c r="G1365" s="11" t="str">
        <f t="shared" si="1"/>
        <v>08:15:00</v>
      </c>
      <c r="H1365" s="10">
        <f>IFERROR(__xludf.DUMMYFUNCTION("SPLIT(D1365,""T"")"),42219.0)</f>
        <v>42219</v>
      </c>
      <c r="I1365" s="4" t="str">
        <f>IFERROR(__xludf.DUMMYFUNCTION("""COMPUTED_VALUE"""),"14:28:00Z")</f>
        <v>14:28:00Z</v>
      </c>
      <c r="J1365" s="4" t="str">
        <f t="shared" si="2"/>
        <v>14:28:00</v>
      </c>
      <c r="K1365" s="4">
        <f t="shared" si="3"/>
        <v>1</v>
      </c>
      <c r="L1365" s="4">
        <f t="shared" si="4"/>
        <v>-0.2590277778</v>
      </c>
      <c r="M1365" s="4">
        <f t="shared" si="5"/>
        <v>0.7409722222</v>
      </c>
    </row>
    <row r="1366">
      <c r="A1366" s="4" t="s">
        <v>58</v>
      </c>
      <c r="B1366" s="4" t="s">
        <v>694</v>
      </c>
      <c r="C1366" s="4" t="s">
        <v>695</v>
      </c>
      <c r="D1366" s="4" t="s">
        <v>696</v>
      </c>
      <c r="E1366" s="10">
        <f>IFERROR(__xludf.DUMMYFUNCTION("SPLIT(B1366,""T"")"),41830.0)</f>
        <v>41830</v>
      </c>
      <c r="F1366" s="4" t="str">
        <f>IFERROR(__xludf.DUMMYFUNCTION("""COMPUTED_VALUE"""),"07:30:00Z")</f>
        <v>07:30:00Z</v>
      </c>
      <c r="G1366" s="11" t="str">
        <f t="shared" si="1"/>
        <v>07:30:00</v>
      </c>
      <c r="H1366" s="10">
        <f>IFERROR(__xludf.DUMMYFUNCTION("SPLIT(D1366,""T"")"),41829.0)</f>
        <v>41829</v>
      </c>
      <c r="I1366" s="4" t="str">
        <f>IFERROR(__xludf.DUMMYFUNCTION("""COMPUTED_VALUE"""),"13:45:00Z")</f>
        <v>13:45:00Z</v>
      </c>
      <c r="J1366" s="4" t="str">
        <f t="shared" si="2"/>
        <v>13:45:00</v>
      </c>
      <c r="K1366" s="4">
        <f t="shared" si="3"/>
        <v>1</v>
      </c>
      <c r="L1366" s="4">
        <f t="shared" si="4"/>
        <v>-0.2604166667</v>
      </c>
      <c r="M1366" s="4">
        <f t="shared" si="5"/>
        <v>0.7395833333</v>
      </c>
    </row>
    <row r="1367">
      <c r="A1367" s="4" t="s">
        <v>313</v>
      </c>
      <c r="B1367" s="4" t="s">
        <v>1190</v>
      </c>
      <c r="C1367" s="4" t="s">
        <v>1191</v>
      </c>
      <c r="D1367" s="4" t="s">
        <v>1192</v>
      </c>
      <c r="E1367" s="10">
        <f>IFERROR(__xludf.DUMMYFUNCTION("SPLIT(B1367,""T"")"),42184.0)</f>
        <v>42184</v>
      </c>
      <c r="F1367" s="4" t="str">
        <f>IFERROR(__xludf.DUMMYFUNCTION("""COMPUTED_VALUE"""),"07:15:00Z")</f>
        <v>07:15:00Z</v>
      </c>
      <c r="G1367" s="11" t="str">
        <f t="shared" si="1"/>
        <v>07:15:00</v>
      </c>
      <c r="H1367" s="10">
        <f>IFERROR(__xludf.DUMMYFUNCTION("SPLIT(D1367,""T"")"),42183.0)</f>
        <v>42183</v>
      </c>
      <c r="I1367" s="4" t="str">
        <f>IFERROR(__xludf.DUMMYFUNCTION("""COMPUTED_VALUE"""),"13:30:00Z")</f>
        <v>13:30:00Z</v>
      </c>
      <c r="J1367" s="4" t="str">
        <f t="shared" si="2"/>
        <v>13:30:00</v>
      </c>
      <c r="K1367" s="4">
        <f t="shared" si="3"/>
        <v>1</v>
      </c>
      <c r="L1367" s="4">
        <f t="shared" si="4"/>
        <v>-0.2604166667</v>
      </c>
      <c r="M1367" s="4">
        <f t="shared" si="5"/>
        <v>0.7395833333</v>
      </c>
    </row>
    <row r="1368">
      <c r="A1368" s="4" t="s">
        <v>62</v>
      </c>
      <c r="B1368" s="4" t="s">
        <v>804</v>
      </c>
      <c r="C1368" s="4" t="s">
        <v>805</v>
      </c>
      <c r="D1368" s="4" t="s">
        <v>806</v>
      </c>
      <c r="E1368" s="10">
        <f>IFERROR(__xludf.DUMMYFUNCTION("SPLIT(B1368,""T"")"),41765.0)</f>
        <v>41765</v>
      </c>
      <c r="F1368" s="4" t="str">
        <f>IFERROR(__xludf.DUMMYFUNCTION("""COMPUTED_VALUE"""),"10:20:00Z")</f>
        <v>10:20:00Z</v>
      </c>
      <c r="G1368" s="11" t="str">
        <f t="shared" si="1"/>
        <v>10:20:00</v>
      </c>
      <c r="H1368" s="10">
        <f>IFERROR(__xludf.DUMMYFUNCTION("SPLIT(D1368,""T"")"),41764.0)</f>
        <v>41764</v>
      </c>
      <c r="I1368" s="4" t="str">
        <f>IFERROR(__xludf.DUMMYFUNCTION("""COMPUTED_VALUE"""),"16:36:00Z")</f>
        <v>16:36:00Z</v>
      </c>
      <c r="J1368" s="4" t="str">
        <f t="shared" si="2"/>
        <v>16:36:00</v>
      </c>
      <c r="K1368" s="4">
        <f t="shared" si="3"/>
        <v>1</v>
      </c>
      <c r="L1368" s="4">
        <f t="shared" si="4"/>
        <v>-0.2611111111</v>
      </c>
      <c r="M1368" s="4">
        <f t="shared" si="5"/>
        <v>0.7388888889</v>
      </c>
    </row>
    <row r="1369">
      <c r="A1369" s="4" t="s">
        <v>156</v>
      </c>
      <c r="B1369" s="4" t="s">
        <v>940</v>
      </c>
      <c r="C1369" s="4" t="s">
        <v>941</v>
      </c>
      <c r="D1369" s="4" t="s">
        <v>942</v>
      </c>
      <c r="E1369" s="10">
        <f>IFERROR(__xludf.DUMMYFUNCTION("SPLIT(B1369,""T"")"),42174.0)</f>
        <v>42174</v>
      </c>
      <c r="F1369" s="4" t="str">
        <f>IFERROR(__xludf.DUMMYFUNCTION("""COMPUTED_VALUE"""),"08:15:00Z")</f>
        <v>08:15:00Z</v>
      </c>
      <c r="G1369" s="11" t="str">
        <f t="shared" si="1"/>
        <v>08:15:00</v>
      </c>
      <c r="H1369" s="10">
        <f>IFERROR(__xludf.DUMMYFUNCTION("SPLIT(D1369,""T"")"),42173.0)</f>
        <v>42173</v>
      </c>
      <c r="I1369" s="4" t="str">
        <f>IFERROR(__xludf.DUMMYFUNCTION("""COMPUTED_VALUE"""),"14:31:00Z")</f>
        <v>14:31:00Z</v>
      </c>
      <c r="J1369" s="4" t="str">
        <f t="shared" si="2"/>
        <v>14:31:00</v>
      </c>
      <c r="K1369" s="4">
        <f t="shared" si="3"/>
        <v>1</v>
      </c>
      <c r="L1369" s="4">
        <f t="shared" si="4"/>
        <v>-0.2611111111</v>
      </c>
      <c r="M1369" s="4">
        <f t="shared" si="5"/>
        <v>0.7388888889</v>
      </c>
    </row>
    <row r="1370">
      <c r="A1370" s="4" t="s">
        <v>313</v>
      </c>
      <c r="B1370" s="4" t="s">
        <v>1642</v>
      </c>
      <c r="C1370" s="4" t="s">
        <v>1643</v>
      </c>
      <c r="D1370" s="4" t="s">
        <v>1644</v>
      </c>
      <c r="E1370" s="10">
        <f>IFERROR(__xludf.DUMMYFUNCTION("SPLIT(B1370,""T"")"),42613.0)</f>
        <v>42613</v>
      </c>
      <c r="F1370" s="4" t="str">
        <f>IFERROR(__xludf.DUMMYFUNCTION("""COMPUTED_VALUE"""),"07:15:00Z")</f>
        <v>07:15:00Z</v>
      </c>
      <c r="G1370" s="11" t="str">
        <f t="shared" si="1"/>
        <v>07:15:00</v>
      </c>
      <c r="H1370" s="10">
        <f>IFERROR(__xludf.DUMMYFUNCTION("SPLIT(D1370,""T"")"),42612.0)</f>
        <v>42612</v>
      </c>
      <c r="I1370" s="4" t="str">
        <f>IFERROR(__xludf.DUMMYFUNCTION("""COMPUTED_VALUE"""),"13:35:00Z")</f>
        <v>13:35:00Z</v>
      </c>
      <c r="J1370" s="4" t="str">
        <f t="shared" si="2"/>
        <v>13:35:00</v>
      </c>
      <c r="K1370" s="4">
        <f t="shared" si="3"/>
        <v>1</v>
      </c>
      <c r="L1370" s="4">
        <f t="shared" si="4"/>
        <v>-0.2638888889</v>
      </c>
      <c r="M1370" s="4">
        <f t="shared" si="5"/>
        <v>0.7361111111</v>
      </c>
    </row>
    <row r="1371">
      <c r="A1371" s="4" t="s">
        <v>320</v>
      </c>
      <c r="B1371" s="4" t="s">
        <v>1170</v>
      </c>
      <c r="C1371" s="4" t="s">
        <v>1171</v>
      </c>
      <c r="D1371" s="4" t="s">
        <v>1172</v>
      </c>
      <c r="E1371" s="10">
        <f>IFERROR(__xludf.DUMMYFUNCTION("SPLIT(B1371,""T"")"),42257.0)</f>
        <v>42257</v>
      </c>
      <c r="F1371" s="4" t="str">
        <f>IFERROR(__xludf.DUMMYFUNCTION("""COMPUTED_VALUE"""),"07:49:00Z")</f>
        <v>07:49:00Z</v>
      </c>
      <c r="G1371" s="11" t="str">
        <f t="shared" si="1"/>
        <v>07:49:00</v>
      </c>
      <c r="H1371" s="10">
        <f>IFERROR(__xludf.DUMMYFUNCTION("SPLIT(D1371,""T"")"),42256.0)</f>
        <v>42256</v>
      </c>
      <c r="I1371" s="4" t="str">
        <f>IFERROR(__xludf.DUMMYFUNCTION("""COMPUTED_VALUE"""),"14:12:00Z")</f>
        <v>14:12:00Z</v>
      </c>
      <c r="J1371" s="4" t="str">
        <f t="shared" si="2"/>
        <v>14:12:00</v>
      </c>
      <c r="K1371" s="4">
        <f t="shared" si="3"/>
        <v>1</v>
      </c>
      <c r="L1371" s="4">
        <f t="shared" si="4"/>
        <v>-0.2659722222</v>
      </c>
      <c r="M1371" s="4">
        <f t="shared" si="5"/>
        <v>0.7340277778</v>
      </c>
    </row>
    <row r="1372">
      <c r="A1372" s="4" t="s">
        <v>186</v>
      </c>
      <c r="B1372" s="4" t="s">
        <v>3743</v>
      </c>
      <c r="C1372" s="4" t="s">
        <v>3744</v>
      </c>
      <c r="D1372" s="4" t="s">
        <v>3745</v>
      </c>
      <c r="E1372" s="10">
        <f>IFERROR(__xludf.DUMMYFUNCTION("SPLIT(B1372,""T"")"),43713.0)</f>
        <v>43713</v>
      </c>
      <c r="F1372" s="4" t="str">
        <f>IFERROR(__xludf.DUMMYFUNCTION("""COMPUTED_VALUE"""),"10:03:00Z")</f>
        <v>10:03:00Z</v>
      </c>
      <c r="G1372" s="11" t="str">
        <f t="shared" si="1"/>
        <v>10:03:00</v>
      </c>
      <c r="H1372" s="10">
        <f>IFERROR(__xludf.DUMMYFUNCTION("SPLIT(D1372,""T"")"),43712.0)</f>
        <v>43712</v>
      </c>
      <c r="I1372" s="4" t="str">
        <f>IFERROR(__xludf.DUMMYFUNCTION("""COMPUTED_VALUE"""),"16:26:00Z")</f>
        <v>16:26:00Z</v>
      </c>
      <c r="J1372" s="4" t="str">
        <f t="shared" si="2"/>
        <v>16:26:00</v>
      </c>
      <c r="K1372" s="4">
        <f t="shared" si="3"/>
        <v>1</v>
      </c>
      <c r="L1372" s="4">
        <f t="shared" si="4"/>
        <v>-0.2659722222</v>
      </c>
      <c r="M1372" s="4">
        <f t="shared" si="5"/>
        <v>0.7340277778</v>
      </c>
    </row>
    <row r="1373">
      <c r="A1373" s="4" t="s">
        <v>114</v>
      </c>
      <c r="B1373" s="4" t="s">
        <v>3645</v>
      </c>
      <c r="C1373" s="4" t="s">
        <v>3646</v>
      </c>
      <c r="D1373" s="4" t="s">
        <v>3647</v>
      </c>
      <c r="E1373" s="10">
        <f>IFERROR(__xludf.DUMMYFUNCTION("SPLIT(B1373,""T"")"),43710.0)</f>
        <v>43710</v>
      </c>
      <c r="F1373" s="4" t="str">
        <f>IFERROR(__xludf.DUMMYFUNCTION("""COMPUTED_VALUE"""),"10:08:00Z")</f>
        <v>10:08:00Z</v>
      </c>
      <c r="G1373" s="11" t="str">
        <f t="shared" si="1"/>
        <v>10:08:00</v>
      </c>
      <c r="H1373" s="10">
        <f>IFERROR(__xludf.DUMMYFUNCTION("SPLIT(D1373,""T"")"),43709.0)</f>
        <v>43709</v>
      </c>
      <c r="I1373" s="4" t="str">
        <f>IFERROR(__xludf.DUMMYFUNCTION("""COMPUTED_VALUE"""),"16:35:55Z")</f>
        <v>16:35:55Z</v>
      </c>
      <c r="J1373" s="4" t="str">
        <f t="shared" si="2"/>
        <v>16:35:55</v>
      </c>
      <c r="K1373" s="4">
        <f t="shared" si="3"/>
        <v>1</v>
      </c>
      <c r="L1373" s="4">
        <f t="shared" si="4"/>
        <v>-0.2693865741</v>
      </c>
      <c r="M1373" s="4">
        <f t="shared" si="5"/>
        <v>0.7306134259</v>
      </c>
    </row>
    <row r="1374">
      <c r="A1374" s="4" t="s">
        <v>278</v>
      </c>
      <c r="B1374" s="4" t="s">
        <v>760</v>
      </c>
      <c r="C1374" s="4" t="s">
        <v>761</v>
      </c>
      <c r="D1374" s="4" t="s">
        <v>762</v>
      </c>
      <c r="E1374" s="10">
        <f>IFERROR(__xludf.DUMMYFUNCTION("SPLIT(B1374,""T"")"),41803.0)</f>
        <v>41803</v>
      </c>
      <c r="F1374" s="4" t="str">
        <f>IFERROR(__xludf.DUMMYFUNCTION("""COMPUTED_VALUE"""),"08:00:00Z")</f>
        <v>08:00:00Z</v>
      </c>
      <c r="G1374" s="11" t="str">
        <f t="shared" si="1"/>
        <v>08:00:00</v>
      </c>
      <c r="H1374" s="10">
        <f>IFERROR(__xludf.DUMMYFUNCTION("SPLIT(D1374,""T"")"),41802.0)</f>
        <v>41802</v>
      </c>
      <c r="I1374" s="4" t="str">
        <f>IFERROR(__xludf.DUMMYFUNCTION("""COMPUTED_VALUE"""),"14:29:00Z")</f>
        <v>14:29:00Z</v>
      </c>
      <c r="J1374" s="4" t="str">
        <f t="shared" si="2"/>
        <v>14:29:00</v>
      </c>
      <c r="K1374" s="4">
        <f t="shared" si="3"/>
        <v>1</v>
      </c>
      <c r="L1374" s="4">
        <f t="shared" si="4"/>
        <v>-0.2701388889</v>
      </c>
      <c r="M1374" s="4">
        <f t="shared" si="5"/>
        <v>0.7298611111</v>
      </c>
    </row>
    <row r="1375">
      <c r="A1375" s="4" t="s">
        <v>166</v>
      </c>
      <c r="B1375" s="4" t="s">
        <v>362</v>
      </c>
      <c r="C1375" s="4" t="s">
        <v>235</v>
      </c>
      <c r="D1375" s="4" t="s">
        <v>363</v>
      </c>
      <c r="E1375" s="10">
        <f>IFERROR(__xludf.DUMMYFUNCTION("SPLIT(B1375,""T"")"),41395.0)</f>
        <v>41395</v>
      </c>
      <c r="F1375" s="4" t="str">
        <f>IFERROR(__xludf.DUMMYFUNCTION("""COMPUTED_VALUE"""),"17:15:00Z")</f>
        <v>17:15:00Z</v>
      </c>
      <c r="G1375" s="11" t="str">
        <f t="shared" si="1"/>
        <v>17:15:00</v>
      </c>
      <c r="H1375" s="10">
        <f>IFERROR(__xludf.DUMMYFUNCTION("SPLIT(D1375,""T"")"),41394.0)</f>
        <v>41394</v>
      </c>
      <c r="I1375" s="4" t="str">
        <f>IFERROR(__xludf.DUMMYFUNCTION("""COMPUTED_VALUE"""),"23:44:00Z")</f>
        <v>23:44:00Z</v>
      </c>
      <c r="J1375" s="4" t="str">
        <f t="shared" si="2"/>
        <v>23:44:00</v>
      </c>
      <c r="K1375" s="4">
        <f t="shared" si="3"/>
        <v>1</v>
      </c>
      <c r="L1375" s="4">
        <f t="shared" si="4"/>
        <v>-0.2701388889</v>
      </c>
      <c r="M1375" s="4">
        <f t="shared" si="5"/>
        <v>0.7298611111</v>
      </c>
    </row>
    <row r="1376">
      <c r="A1376" s="4" t="s">
        <v>114</v>
      </c>
      <c r="B1376" s="4" t="s">
        <v>1516</v>
      </c>
      <c r="C1376" s="4" t="s">
        <v>1517</v>
      </c>
      <c r="D1376" s="4" t="s">
        <v>1518</v>
      </c>
      <c r="E1376" s="10">
        <f>IFERROR(__xludf.DUMMYFUNCTION("SPLIT(B1376,""T"")"),42574.0)</f>
        <v>42574</v>
      </c>
      <c r="F1376" s="4" t="str">
        <f>IFERROR(__xludf.DUMMYFUNCTION("""COMPUTED_VALUE"""),"08:45:00Z")</f>
        <v>08:45:00Z</v>
      </c>
      <c r="G1376" s="11" t="str">
        <f t="shared" si="1"/>
        <v>08:45:00</v>
      </c>
      <c r="H1376" s="10">
        <f>IFERROR(__xludf.DUMMYFUNCTION("SPLIT(D1376,""T"")"),42573.0)</f>
        <v>42573</v>
      </c>
      <c r="I1376" s="4" t="str">
        <f>IFERROR(__xludf.DUMMYFUNCTION("""COMPUTED_VALUE"""),"15:15:00Z")</f>
        <v>15:15:00Z</v>
      </c>
      <c r="J1376" s="4" t="str">
        <f t="shared" si="2"/>
        <v>15:15:00</v>
      </c>
      <c r="K1376" s="4">
        <f t="shared" si="3"/>
        <v>1</v>
      </c>
      <c r="L1376" s="4">
        <f t="shared" si="4"/>
        <v>-0.2708333333</v>
      </c>
      <c r="M1376" s="4">
        <f t="shared" si="5"/>
        <v>0.7291666667</v>
      </c>
    </row>
    <row r="1377">
      <c r="A1377" s="4" t="s">
        <v>313</v>
      </c>
      <c r="B1377" s="4" t="s">
        <v>1230</v>
      </c>
      <c r="C1377" s="4" t="s">
        <v>1231</v>
      </c>
      <c r="D1377" s="4" t="s">
        <v>1232</v>
      </c>
      <c r="E1377" s="10">
        <f>IFERROR(__xludf.DUMMYFUNCTION("SPLIT(B1377,""T"")"),42190.0)</f>
        <v>42190</v>
      </c>
      <c r="F1377" s="4" t="str">
        <f>IFERROR(__xludf.DUMMYFUNCTION("""COMPUTED_VALUE"""),"09:00:00Z")</f>
        <v>09:00:00Z</v>
      </c>
      <c r="G1377" s="11" t="str">
        <f t="shared" si="1"/>
        <v>09:00:00</v>
      </c>
      <c r="H1377" s="10">
        <f>IFERROR(__xludf.DUMMYFUNCTION("SPLIT(D1377,""T"")"),42189.0)</f>
        <v>42189</v>
      </c>
      <c r="I1377" s="4" t="str">
        <f>IFERROR(__xludf.DUMMYFUNCTION("""COMPUTED_VALUE"""),"15:30:00Z")</f>
        <v>15:30:00Z</v>
      </c>
      <c r="J1377" s="4" t="str">
        <f t="shared" si="2"/>
        <v>15:30:00</v>
      </c>
      <c r="K1377" s="4">
        <f t="shared" si="3"/>
        <v>1</v>
      </c>
      <c r="L1377" s="4">
        <f t="shared" si="4"/>
        <v>-0.2708333333</v>
      </c>
      <c r="M1377" s="4">
        <f t="shared" si="5"/>
        <v>0.7291666667</v>
      </c>
    </row>
    <row r="1378">
      <c r="A1378" s="4" t="s">
        <v>87</v>
      </c>
      <c r="B1378" s="4" t="s">
        <v>1377</v>
      </c>
      <c r="C1378" s="4" t="s">
        <v>1378</v>
      </c>
      <c r="D1378" s="4" t="s">
        <v>1379</v>
      </c>
      <c r="E1378" s="10">
        <f>IFERROR(__xludf.DUMMYFUNCTION("SPLIT(B1378,""T"")"),42585.0)</f>
        <v>42585</v>
      </c>
      <c r="F1378" s="4" t="str">
        <f>IFERROR(__xludf.DUMMYFUNCTION("""COMPUTED_VALUE"""),"08:00:00Z")</f>
        <v>08:00:00Z</v>
      </c>
      <c r="G1378" s="11" t="str">
        <f t="shared" si="1"/>
        <v>08:00:00</v>
      </c>
      <c r="H1378" s="10">
        <f>IFERROR(__xludf.DUMMYFUNCTION("SPLIT(D1378,""T"")"),42584.0)</f>
        <v>42584</v>
      </c>
      <c r="I1378" s="4" t="str">
        <f>IFERROR(__xludf.DUMMYFUNCTION("""COMPUTED_VALUE"""),"14:35:00Z")</f>
        <v>14:35:00Z</v>
      </c>
      <c r="J1378" s="4" t="str">
        <f t="shared" si="2"/>
        <v>14:35:00</v>
      </c>
      <c r="K1378" s="4">
        <f t="shared" si="3"/>
        <v>1</v>
      </c>
      <c r="L1378" s="4">
        <f t="shared" si="4"/>
        <v>-0.2743055556</v>
      </c>
      <c r="M1378" s="4">
        <f t="shared" si="5"/>
        <v>0.7256944444</v>
      </c>
    </row>
    <row r="1379">
      <c r="A1379" s="4" t="s">
        <v>324</v>
      </c>
      <c r="B1379" s="4" t="s">
        <v>325</v>
      </c>
      <c r="C1379" s="4" t="s">
        <v>326</v>
      </c>
      <c r="D1379" s="4" t="s">
        <v>327</v>
      </c>
      <c r="E1379" s="10">
        <f>IFERROR(__xludf.DUMMYFUNCTION("SPLIT(B1379,""T"")"),41438.0)</f>
        <v>41438</v>
      </c>
      <c r="F1379" s="4" t="str">
        <f>IFERROR(__xludf.DUMMYFUNCTION("""COMPUTED_VALUE"""),"09:45:00Z")</f>
        <v>09:45:00Z</v>
      </c>
      <c r="G1379" s="11" t="str">
        <f t="shared" si="1"/>
        <v>09:45:00</v>
      </c>
      <c r="H1379" s="10">
        <f>IFERROR(__xludf.DUMMYFUNCTION("SPLIT(D1379,""T"")"),41437.0)</f>
        <v>41437</v>
      </c>
      <c r="I1379" s="4" t="str">
        <f>IFERROR(__xludf.DUMMYFUNCTION("""COMPUTED_VALUE"""),"16:43:00Z")</f>
        <v>16:43:00Z</v>
      </c>
      <c r="J1379" s="4" t="str">
        <f t="shared" si="2"/>
        <v>16:43:00</v>
      </c>
      <c r="K1379" s="4">
        <f t="shared" si="3"/>
        <v>1</v>
      </c>
      <c r="L1379" s="4">
        <f t="shared" si="4"/>
        <v>-0.2902777778</v>
      </c>
      <c r="M1379" s="4">
        <f t="shared" si="5"/>
        <v>0.7097222222</v>
      </c>
    </row>
    <row r="1380">
      <c r="A1380" s="4" t="s">
        <v>186</v>
      </c>
      <c r="B1380" s="4" t="s">
        <v>3669</v>
      </c>
      <c r="C1380" s="4" t="s">
        <v>730</v>
      </c>
      <c r="D1380" s="4" t="s">
        <v>3670</v>
      </c>
      <c r="E1380" s="10">
        <f>IFERROR(__xludf.DUMMYFUNCTION("SPLIT(B1380,""T"")"),43716.0)</f>
        <v>43716</v>
      </c>
      <c r="F1380" s="4" t="str">
        <f>IFERROR(__xludf.DUMMYFUNCTION("""COMPUTED_VALUE"""),"07:00:00Z")</f>
        <v>07:00:00Z</v>
      </c>
      <c r="G1380" s="11" t="str">
        <f t="shared" si="1"/>
        <v>07:00:00</v>
      </c>
      <c r="H1380" s="10">
        <f>IFERROR(__xludf.DUMMYFUNCTION("SPLIT(D1380,""T"")"),43715.0)</f>
        <v>43715</v>
      </c>
      <c r="I1380" s="4" t="str">
        <f>IFERROR(__xludf.DUMMYFUNCTION("""COMPUTED_VALUE"""),"14:00:00Z")</f>
        <v>14:00:00Z</v>
      </c>
      <c r="J1380" s="4" t="str">
        <f t="shared" si="2"/>
        <v>14:00:00</v>
      </c>
      <c r="K1380" s="4">
        <f t="shared" si="3"/>
        <v>1</v>
      </c>
      <c r="L1380" s="4">
        <f t="shared" si="4"/>
        <v>-0.2916666667</v>
      </c>
      <c r="M1380" s="4">
        <f t="shared" si="5"/>
        <v>0.7083333333</v>
      </c>
    </row>
    <row r="1381">
      <c r="A1381" s="4" t="s">
        <v>282</v>
      </c>
      <c r="B1381" s="4" t="s">
        <v>283</v>
      </c>
      <c r="C1381" s="4" t="s">
        <v>284</v>
      </c>
      <c r="D1381" s="4" t="s">
        <v>285</v>
      </c>
      <c r="E1381" s="10">
        <f>IFERROR(__xludf.DUMMYFUNCTION("SPLIT(B1381,""T"")"),41430.0)</f>
        <v>41430</v>
      </c>
      <c r="F1381" s="4" t="str">
        <f>IFERROR(__xludf.DUMMYFUNCTION("""COMPUTED_VALUE"""),"08:30:00Z")</f>
        <v>08:30:00Z</v>
      </c>
      <c r="G1381" s="11" t="str">
        <f t="shared" si="1"/>
        <v>08:30:00</v>
      </c>
      <c r="H1381" s="10">
        <f>IFERROR(__xludf.DUMMYFUNCTION("SPLIT(D1381,""T"")"),41429.0)</f>
        <v>41429</v>
      </c>
      <c r="I1381" s="4" t="str">
        <f>IFERROR(__xludf.DUMMYFUNCTION("""COMPUTED_VALUE"""),"15:42:00Z")</f>
        <v>15:42:00Z</v>
      </c>
      <c r="J1381" s="4" t="str">
        <f t="shared" si="2"/>
        <v>15:42:00</v>
      </c>
      <c r="K1381" s="4">
        <f t="shared" si="3"/>
        <v>1</v>
      </c>
      <c r="L1381" s="4">
        <f t="shared" si="4"/>
        <v>-0.3</v>
      </c>
      <c r="M1381" s="4">
        <f t="shared" si="5"/>
        <v>0.7</v>
      </c>
    </row>
    <row r="1382">
      <c r="A1382" s="4" t="s">
        <v>130</v>
      </c>
      <c r="B1382" s="4" t="s">
        <v>3708</v>
      </c>
      <c r="C1382" s="4" t="s">
        <v>2761</v>
      </c>
      <c r="D1382" s="4" t="s">
        <v>3709</v>
      </c>
      <c r="E1382" s="10">
        <f>IFERROR(__xludf.DUMMYFUNCTION("SPLIT(B1382,""T"")"),43693.0)</f>
        <v>43693</v>
      </c>
      <c r="F1382" s="4" t="str">
        <f>IFERROR(__xludf.DUMMYFUNCTION("""COMPUTED_VALUE"""),"10:35:00Z")</f>
        <v>10:35:00Z</v>
      </c>
      <c r="G1382" s="11" t="str">
        <f t="shared" si="1"/>
        <v>10:35:00</v>
      </c>
      <c r="H1382" s="10">
        <f>IFERROR(__xludf.DUMMYFUNCTION("SPLIT(D1382,""T"")"),43692.0)</f>
        <v>43692</v>
      </c>
      <c r="I1382" s="4" t="str">
        <f>IFERROR(__xludf.DUMMYFUNCTION("""COMPUTED_VALUE"""),"17:47:43Z")</f>
        <v>17:47:43Z</v>
      </c>
      <c r="J1382" s="4" t="str">
        <f t="shared" si="2"/>
        <v>17:47:43</v>
      </c>
      <c r="K1382" s="4">
        <f t="shared" si="3"/>
        <v>1</v>
      </c>
      <c r="L1382" s="4">
        <f t="shared" si="4"/>
        <v>-0.3004976852</v>
      </c>
      <c r="M1382" s="4">
        <f t="shared" si="5"/>
        <v>0.6995023148</v>
      </c>
    </row>
    <row r="1383">
      <c r="A1383" s="4" t="s">
        <v>401</v>
      </c>
      <c r="B1383" s="4" t="s">
        <v>1689</v>
      </c>
      <c r="C1383" s="4" t="s">
        <v>730</v>
      </c>
      <c r="D1383" s="4" t="s">
        <v>1690</v>
      </c>
      <c r="E1383" s="10">
        <f>IFERROR(__xludf.DUMMYFUNCTION("SPLIT(B1383,""T"")"),42615.0)</f>
        <v>42615</v>
      </c>
      <c r="F1383" s="4" t="str">
        <f>IFERROR(__xludf.DUMMYFUNCTION("""COMPUTED_VALUE"""),"06:55:00Z")</f>
        <v>06:55:00Z</v>
      </c>
      <c r="G1383" s="11" t="str">
        <f t="shared" si="1"/>
        <v>06:55:00</v>
      </c>
      <c r="H1383" s="10">
        <f>IFERROR(__xludf.DUMMYFUNCTION("SPLIT(D1383,""T"")"),42614.0)</f>
        <v>42614</v>
      </c>
      <c r="I1383" s="4" t="str">
        <f>IFERROR(__xludf.DUMMYFUNCTION("""COMPUTED_VALUE"""),"14:36:00Z")</f>
        <v>14:36:00Z</v>
      </c>
      <c r="J1383" s="4" t="str">
        <f t="shared" si="2"/>
        <v>14:36:00</v>
      </c>
      <c r="K1383" s="4">
        <f t="shared" si="3"/>
        <v>1</v>
      </c>
      <c r="L1383" s="4">
        <f t="shared" si="4"/>
        <v>-0.3201388889</v>
      </c>
      <c r="M1383" s="4">
        <f t="shared" si="5"/>
        <v>0.6798611111</v>
      </c>
    </row>
    <row r="1384">
      <c r="A1384" s="4" t="s">
        <v>62</v>
      </c>
      <c r="B1384" s="4" t="s">
        <v>310</v>
      </c>
      <c r="C1384" s="4" t="s">
        <v>311</v>
      </c>
      <c r="D1384" s="4" t="s">
        <v>312</v>
      </c>
      <c r="E1384" s="10">
        <f>IFERROR(__xludf.DUMMYFUNCTION("SPLIT(B1384,""T"")"),41417.0)</f>
        <v>41417</v>
      </c>
      <c r="F1384" s="4" t="str">
        <f>IFERROR(__xludf.DUMMYFUNCTION("""COMPUTED_VALUE"""),"08:30:00Z")</f>
        <v>08:30:00Z</v>
      </c>
      <c r="G1384" s="11" t="str">
        <f t="shared" si="1"/>
        <v>08:30:00</v>
      </c>
      <c r="H1384" s="10">
        <f>IFERROR(__xludf.DUMMYFUNCTION("SPLIT(D1384,""T"")"),41416.0)</f>
        <v>41416</v>
      </c>
      <c r="I1384" s="4" t="str">
        <f>IFERROR(__xludf.DUMMYFUNCTION("""COMPUTED_VALUE"""),"16:14:00Z")</f>
        <v>16:14:00Z</v>
      </c>
      <c r="J1384" s="4" t="str">
        <f t="shared" si="2"/>
        <v>16:14:00</v>
      </c>
      <c r="K1384" s="4">
        <f t="shared" si="3"/>
        <v>1</v>
      </c>
      <c r="L1384" s="4">
        <f t="shared" si="4"/>
        <v>-0.3222222222</v>
      </c>
      <c r="M1384" s="4">
        <f t="shared" si="5"/>
        <v>0.6777777778</v>
      </c>
    </row>
    <row r="1385">
      <c r="A1385" s="4" t="s">
        <v>50</v>
      </c>
      <c r="B1385" s="4" t="s">
        <v>790</v>
      </c>
      <c r="C1385" s="4" t="s">
        <v>791</v>
      </c>
      <c r="D1385" s="4" t="s">
        <v>792</v>
      </c>
      <c r="E1385" s="10">
        <f>IFERROR(__xludf.DUMMYFUNCTION("SPLIT(B1385,""T"")"),41853.0)</f>
        <v>41853</v>
      </c>
      <c r="F1385" s="4" t="str">
        <f>IFERROR(__xludf.DUMMYFUNCTION("""COMPUTED_VALUE"""),"08:00:00Z")</f>
        <v>08:00:00Z</v>
      </c>
      <c r="G1385" s="11" t="str">
        <f t="shared" si="1"/>
        <v>08:00:00</v>
      </c>
      <c r="H1385" s="10">
        <f>IFERROR(__xludf.DUMMYFUNCTION("SPLIT(D1385,""T"")"),41852.0)</f>
        <v>41852</v>
      </c>
      <c r="I1385" s="4" t="str">
        <f>IFERROR(__xludf.DUMMYFUNCTION("""COMPUTED_VALUE"""),"15:47:00Z")</f>
        <v>15:47:00Z</v>
      </c>
      <c r="J1385" s="4" t="str">
        <f t="shared" si="2"/>
        <v>15:47:00</v>
      </c>
      <c r="K1385" s="4">
        <f t="shared" si="3"/>
        <v>1</v>
      </c>
      <c r="L1385" s="4">
        <f t="shared" si="4"/>
        <v>-0.3243055556</v>
      </c>
      <c r="M1385" s="4">
        <f t="shared" si="5"/>
        <v>0.6756944444</v>
      </c>
    </row>
    <row r="1386" hidden="1">
      <c r="A1386" s="4" t="s">
        <v>130</v>
      </c>
      <c r="B1386" s="4" t="s">
        <v>3296</v>
      </c>
      <c r="C1386" s="4" t="s">
        <v>3297</v>
      </c>
      <c r="D1386" s="4" t="s">
        <v>3298</v>
      </c>
      <c r="E1386" s="10">
        <f>IFERROR(__xludf.DUMMYFUNCTION("SPLIT(B1386,""T"")"),43737.0)</f>
        <v>43737</v>
      </c>
      <c r="F1386" s="4" t="str">
        <f>IFERROR(__xludf.DUMMYFUNCTION("""COMPUTED_VALUE"""),"21:35:00Z")</f>
        <v>21:35:00Z</v>
      </c>
      <c r="G1386" s="11" t="str">
        <f t="shared" si="1"/>
        <v>21:35:00</v>
      </c>
      <c r="H1386" s="10">
        <f>IFERROR(__xludf.DUMMYFUNCTION("SPLIT(D1386,""T"")"),43737.0)</f>
        <v>43737</v>
      </c>
      <c r="I1386" s="4" t="str">
        <f>IFERROR(__xludf.DUMMYFUNCTION("""COMPUTED_VALUE"""),"21:44:45Z")</f>
        <v>21:44:45Z</v>
      </c>
      <c r="J1386" s="4" t="str">
        <f t="shared" si="2"/>
        <v>21:44:45</v>
      </c>
      <c r="K1386" s="4">
        <f t="shared" si="3"/>
        <v>0</v>
      </c>
      <c r="L1386" s="4">
        <f t="shared" si="4"/>
        <v>-0.006770833333</v>
      </c>
      <c r="M1386" s="4">
        <f t="shared" si="5"/>
        <v>-0.006770833333</v>
      </c>
    </row>
    <row r="1387">
      <c r="A1387" s="4" t="s">
        <v>320</v>
      </c>
      <c r="B1387" s="4" t="s">
        <v>1196</v>
      </c>
      <c r="C1387" s="4" t="s">
        <v>1197</v>
      </c>
      <c r="D1387" s="4" t="s">
        <v>1198</v>
      </c>
      <c r="E1387" s="10">
        <f>IFERROR(__xludf.DUMMYFUNCTION("SPLIT(B1387,""T"")"),42246.0)</f>
        <v>42246</v>
      </c>
      <c r="F1387" s="4" t="str">
        <f>IFERROR(__xludf.DUMMYFUNCTION("""COMPUTED_VALUE"""),"08:00:00Z")</f>
        <v>08:00:00Z</v>
      </c>
      <c r="G1387" s="11" t="str">
        <f t="shared" si="1"/>
        <v>08:00:00</v>
      </c>
      <c r="H1387" s="10">
        <f>IFERROR(__xludf.DUMMYFUNCTION("SPLIT(D1387,""T"")"),42245.0)</f>
        <v>42245</v>
      </c>
      <c r="I1387" s="4" t="str">
        <f>IFERROR(__xludf.DUMMYFUNCTION("""COMPUTED_VALUE"""),"16:06:00Z")</f>
        <v>16:06:00Z</v>
      </c>
      <c r="J1387" s="4" t="str">
        <f t="shared" si="2"/>
        <v>16:06:00</v>
      </c>
      <c r="K1387" s="4">
        <f t="shared" si="3"/>
        <v>1</v>
      </c>
      <c r="L1387" s="4">
        <f t="shared" si="4"/>
        <v>-0.3375</v>
      </c>
      <c r="M1387" s="4">
        <f t="shared" si="5"/>
        <v>0.6625</v>
      </c>
    </row>
    <row r="1388" hidden="1">
      <c r="A1388" s="4" t="s">
        <v>27</v>
      </c>
      <c r="B1388" s="4" t="s">
        <v>3304</v>
      </c>
      <c r="C1388" s="4" t="s">
        <v>1359</v>
      </c>
      <c r="D1388" s="4" t="s">
        <v>3305</v>
      </c>
      <c r="E1388" s="10">
        <f>IFERROR(__xludf.DUMMYFUNCTION("SPLIT(B1388,""T"")"),43704.0)</f>
        <v>43704</v>
      </c>
      <c r="F1388" s="4" t="str">
        <f>IFERROR(__xludf.DUMMYFUNCTION("""COMPUTED_VALUE"""),"08:54:00Z")</f>
        <v>08:54:00Z</v>
      </c>
      <c r="G1388" s="11" t="str">
        <f t="shared" si="1"/>
        <v>08:54:00</v>
      </c>
      <c r="H1388" s="10">
        <f>IFERROR(__xludf.DUMMYFUNCTION("SPLIT(D1388,""T"")"),43704.0)</f>
        <v>43704</v>
      </c>
      <c r="I1388" s="4" t="str">
        <f>IFERROR(__xludf.DUMMYFUNCTION("""COMPUTED_VALUE"""),"11:33:56Z")</f>
        <v>11:33:56Z</v>
      </c>
      <c r="J1388" s="4" t="str">
        <f t="shared" si="2"/>
        <v>11:33:56</v>
      </c>
      <c r="K1388" s="4">
        <f t="shared" si="3"/>
        <v>0</v>
      </c>
      <c r="L1388" s="4">
        <f t="shared" si="4"/>
        <v>-0.1110648148</v>
      </c>
      <c r="M1388" s="4">
        <f t="shared" si="5"/>
        <v>-0.1110648148</v>
      </c>
    </row>
    <row r="1389">
      <c r="A1389" s="4" t="s">
        <v>27</v>
      </c>
      <c r="B1389" s="4" t="s">
        <v>655</v>
      </c>
      <c r="C1389" s="4" t="s">
        <v>443</v>
      </c>
      <c r="D1389" s="4" t="s">
        <v>656</v>
      </c>
      <c r="E1389" s="10">
        <f>IFERROR(__xludf.DUMMYFUNCTION("SPLIT(B1389,""T"")"),41714.0)</f>
        <v>41714</v>
      </c>
      <c r="F1389" s="4" t="str">
        <f>IFERROR(__xludf.DUMMYFUNCTION("""COMPUTED_VALUE"""),"08:30:00Z")</f>
        <v>08:30:00Z</v>
      </c>
      <c r="G1389" s="11" t="str">
        <f t="shared" si="1"/>
        <v>08:30:00</v>
      </c>
      <c r="H1389" s="10">
        <f>IFERROR(__xludf.DUMMYFUNCTION("SPLIT(D1389,""T"")"),41713.0)</f>
        <v>41713</v>
      </c>
      <c r="I1389" s="4" t="str">
        <f>IFERROR(__xludf.DUMMYFUNCTION("""COMPUTED_VALUE"""),"16:37:00Z")</f>
        <v>16:37:00Z</v>
      </c>
      <c r="J1389" s="4" t="str">
        <f t="shared" si="2"/>
        <v>16:37:00</v>
      </c>
      <c r="K1389" s="4">
        <f t="shared" si="3"/>
        <v>1</v>
      </c>
      <c r="L1389" s="4">
        <f t="shared" si="4"/>
        <v>-0.3381944444</v>
      </c>
      <c r="M1389" s="4">
        <f t="shared" si="5"/>
        <v>0.6618055556</v>
      </c>
    </row>
    <row r="1390">
      <c r="A1390" s="4" t="s">
        <v>134</v>
      </c>
      <c r="B1390" s="4" t="s">
        <v>364</v>
      </c>
      <c r="C1390" s="4" t="s">
        <v>365</v>
      </c>
      <c r="D1390" s="4" t="s">
        <v>366</v>
      </c>
      <c r="E1390" s="10">
        <f>IFERROR(__xludf.DUMMYFUNCTION("SPLIT(B1390,""T"")"),41529.0)</f>
        <v>41529</v>
      </c>
      <c r="F1390" s="4" t="str">
        <f>IFERROR(__xludf.DUMMYFUNCTION("""COMPUTED_VALUE"""),"08:45:00Z")</f>
        <v>08:45:00Z</v>
      </c>
      <c r="G1390" s="11" t="str">
        <f t="shared" si="1"/>
        <v>08:45:00</v>
      </c>
      <c r="H1390" s="10">
        <f>IFERROR(__xludf.DUMMYFUNCTION("SPLIT(D1390,""T"")"),41528.0)</f>
        <v>41528</v>
      </c>
      <c r="I1390" s="4" t="str">
        <f>IFERROR(__xludf.DUMMYFUNCTION("""COMPUTED_VALUE"""),"16:57:00Z")</f>
        <v>16:57:00Z</v>
      </c>
      <c r="J1390" s="4" t="str">
        <f t="shared" si="2"/>
        <v>16:57:00</v>
      </c>
      <c r="K1390" s="4">
        <f t="shared" si="3"/>
        <v>1</v>
      </c>
      <c r="L1390" s="4">
        <f t="shared" si="4"/>
        <v>-0.3416666667</v>
      </c>
      <c r="M1390" s="4">
        <f t="shared" si="5"/>
        <v>0.6583333333</v>
      </c>
    </row>
    <row r="1391">
      <c r="A1391" s="4" t="s">
        <v>260</v>
      </c>
      <c r="B1391" s="4" t="s">
        <v>1514</v>
      </c>
      <c r="C1391" s="4" t="s">
        <v>262</v>
      </c>
      <c r="D1391" s="4" t="s">
        <v>1515</v>
      </c>
      <c r="E1391" s="10">
        <f>IFERROR(__xludf.DUMMYFUNCTION("SPLIT(B1391,""T"")"),42586.0)</f>
        <v>42586</v>
      </c>
      <c r="F1391" s="4" t="str">
        <f>IFERROR(__xludf.DUMMYFUNCTION("""COMPUTED_VALUE"""),"07:45:00Z")</f>
        <v>07:45:00Z</v>
      </c>
      <c r="G1391" s="11" t="str">
        <f t="shared" si="1"/>
        <v>07:45:00</v>
      </c>
      <c r="H1391" s="10">
        <f>IFERROR(__xludf.DUMMYFUNCTION("SPLIT(D1391,""T"")"),42585.0)</f>
        <v>42585</v>
      </c>
      <c r="I1391" s="4" t="str">
        <f>IFERROR(__xludf.DUMMYFUNCTION("""COMPUTED_VALUE"""),"16:08:00Z")</f>
        <v>16:08:00Z</v>
      </c>
      <c r="J1391" s="4" t="str">
        <f t="shared" si="2"/>
        <v>16:08:00</v>
      </c>
      <c r="K1391" s="4">
        <f t="shared" si="3"/>
        <v>1</v>
      </c>
      <c r="L1391" s="4">
        <f t="shared" si="4"/>
        <v>-0.3493055556</v>
      </c>
      <c r="M1391" s="4">
        <f t="shared" si="5"/>
        <v>0.6506944444</v>
      </c>
    </row>
    <row r="1392">
      <c r="A1392" s="4" t="s">
        <v>170</v>
      </c>
      <c r="B1392" s="4" t="s">
        <v>3520</v>
      </c>
      <c r="C1392" s="4" t="s">
        <v>1157</v>
      </c>
      <c r="D1392" s="4" t="s">
        <v>3521</v>
      </c>
      <c r="E1392" s="10">
        <f>IFERROR(__xludf.DUMMYFUNCTION("SPLIT(B1392,""T"")"),43711.0)</f>
        <v>43711</v>
      </c>
      <c r="F1392" s="4" t="str">
        <f>IFERROR(__xludf.DUMMYFUNCTION("""COMPUTED_VALUE"""),"07:11:00Z")</f>
        <v>07:11:00Z</v>
      </c>
      <c r="G1392" s="11" t="str">
        <f t="shared" si="1"/>
        <v>07:11:00</v>
      </c>
      <c r="H1392" s="10">
        <f>IFERROR(__xludf.DUMMYFUNCTION("SPLIT(D1392,""T"")"),43710.0)</f>
        <v>43710</v>
      </c>
      <c r="I1392" s="4" t="str">
        <f>IFERROR(__xludf.DUMMYFUNCTION("""COMPUTED_VALUE"""),"15:40:37Z")</f>
        <v>15:40:37Z</v>
      </c>
      <c r="J1392" s="4" t="str">
        <f t="shared" si="2"/>
        <v>15:40:37</v>
      </c>
      <c r="K1392" s="4">
        <f t="shared" si="3"/>
        <v>1</v>
      </c>
      <c r="L1392" s="4">
        <f t="shared" si="4"/>
        <v>-0.353900463</v>
      </c>
      <c r="M1392" s="4">
        <f t="shared" si="5"/>
        <v>0.646099537</v>
      </c>
    </row>
    <row r="1393">
      <c r="A1393" s="4" t="s">
        <v>46</v>
      </c>
      <c r="B1393" s="4" t="s">
        <v>1710</v>
      </c>
      <c r="C1393" s="4" t="s">
        <v>1711</v>
      </c>
      <c r="D1393" s="4" t="s">
        <v>1712</v>
      </c>
      <c r="E1393" s="10">
        <f>IFERROR(__xludf.DUMMYFUNCTION("SPLIT(B1393,""T"")"),42573.0)</f>
        <v>42573</v>
      </c>
      <c r="F1393" s="4" t="str">
        <f>IFERROR(__xludf.DUMMYFUNCTION("""COMPUTED_VALUE"""),"12:00:00Z")</f>
        <v>12:00:00Z</v>
      </c>
      <c r="G1393" s="11" t="str">
        <f t="shared" si="1"/>
        <v>12:00:00</v>
      </c>
      <c r="H1393" s="10">
        <f>IFERROR(__xludf.DUMMYFUNCTION("SPLIT(D1393,""T"")"),42572.0)</f>
        <v>42572</v>
      </c>
      <c r="I1393" s="4" t="str">
        <f>IFERROR(__xludf.DUMMYFUNCTION("""COMPUTED_VALUE"""),"20:30:00Z")</f>
        <v>20:30:00Z</v>
      </c>
      <c r="J1393" s="4" t="str">
        <f t="shared" si="2"/>
        <v>20:30:00</v>
      </c>
      <c r="K1393" s="4">
        <f t="shared" si="3"/>
        <v>1</v>
      </c>
      <c r="L1393" s="4">
        <f t="shared" si="4"/>
        <v>-0.3541666667</v>
      </c>
      <c r="M1393" s="4">
        <f t="shared" si="5"/>
        <v>0.6458333333</v>
      </c>
    </row>
    <row r="1394">
      <c r="A1394" s="4" t="s">
        <v>62</v>
      </c>
      <c r="B1394" s="4" t="s">
        <v>821</v>
      </c>
      <c r="C1394" s="4" t="s">
        <v>311</v>
      </c>
      <c r="D1394" s="4" t="s">
        <v>822</v>
      </c>
      <c r="E1394" s="10">
        <f>IFERROR(__xludf.DUMMYFUNCTION("SPLIT(B1394,""T"")"),41868.0)</f>
        <v>41868</v>
      </c>
      <c r="F1394" s="4" t="str">
        <f>IFERROR(__xludf.DUMMYFUNCTION("""COMPUTED_VALUE"""),"07:45:00Z")</f>
        <v>07:45:00Z</v>
      </c>
      <c r="G1394" s="11" t="str">
        <f t="shared" si="1"/>
        <v>07:45:00</v>
      </c>
      <c r="H1394" s="10">
        <f>IFERROR(__xludf.DUMMYFUNCTION("SPLIT(D1394,""T"")"),41867.0)</f>
        <v>41867</v>
      </c>
      <c r="I1394" s="4" t="str">
        <f>IFERROR(__xludf.DUMMYFUNCTION("""COMPUTED_VALUE"""),"16:22:00Z")</f>
        <v>16:22:00Z</v>
      </c>
      <c r="J1394" s="4" t="str">
        <f t="shared" si="2"/>
        <v>16:22:00</v>
      </c>
      <c r="K1394" s="4">
        <f t="shared" si="3"/>
        <v>1</v>
      </c>
      <c r="L1394" s="4">
        <f t="shared" si="4"/>
        <v>-0.3590277778</v>
      </c>
      <c r="M1394" s="4">
        <f t="shared" si="5"/>
        <v>0.6409722222</v>
      </c>
    </row>
    <row r="1395">
      <c r="A1395" s="4" t="s">
        <v>145</v>
      </c>
      <c r="B1395" s="4" t="s">
        <v>716</v>
      </c>
      <c r="C1395" s="4" t="s">
        <v>318</v>
      </c>
      <c r="D1395" s="4" t="s">
        <v>717</v>
      </c>
      <c r="E1395" s="10">
        <f>IFERROR(__xludf.DUMMYFUNCTION("SPLIT(B1395,""T"")"),41864.0)</f>
        <v>41864</v>
      </c>
      <c r="F1395" s="4" t="str">
        <f>IFERROR(__xludf.DUMMYFUNCTION("""COMPUTED_VALUE"""),"06:15:00Z")</f>
        <v>06:15:00Z</v>
      </c>
      <c r="G1395" s="11" t="str">
        <f t="shared" si="1"/>
        <v>06:15:00</v>
      </c>
      <c r="H1395" s="10">
        <f>IFERROR(__xludf.DUMMYFUNCTION("SPLIT(D1395,""T"")"),41863.0)</f>
        <v>41863</v>
      </c>
      <c r="I1395" s="4" t="str">
        <f>IFERROR(__xludf.DUMMYFUNCTION("""COMPUTED_VALUE"""),"15:00:00Z")</f>
        <v>15:00:00Z</v>
      </c>
      <c r="J1395" s="4" t="str">
        <f t="shared" si="2"/>
        <v>15:00:00</v>
      </c>
      <c r="K1395" s="4">
        <f t="shared" si="3"/>
        <v>1</v>
      </c>
      <c r="L1395" s="4">
        <f t="shared" si="4"/>
        <v>-0.3645833333</v>
      </c>
      <c r="M1395" s="4">
        <f t="shared" si="5"/>
        <v>0.6354166667</v>
      </c>
    </row>
    <row r="1396">
      <c r="A1396" s="4" t="s">
        <v>320</v>
      </c>
      <c r="B1396" s="4" t="s">
        <v>3447</v>
      </c>
      <c r="C1396" s="4" t="s">
        <v>3448</v>
      </c>
      <c r="D1396" s="4" t="s">
        <v>3449</v>
      </c>
      <c r="E1396" s="10">
        <f>IFERROR(__xludf.DUMMYFUNCTION("SPLIT(B1396,""T"")"),43652.0)</f>
        <v>43652</v>
      </c>
      <c r="F1396" s="4" t="str">
        <f>IFERROR(__xludf.DUMMYFUNCTION("""COMPUTED_VALUE"""),"07:49:00Z")</f>
        <v>07:49:00Z</v>
      </c>
      <c r="G1396" s="11" t="str">
        <f t="shared" si="1"/>
        <v>07:49:00</v>
      </c>
      <c r="H1396" s="10">
        <f>IFERROR(__xludf.DUMMYFUNCTION("SPLIT(D1396,""T"")"),43651.0)</f>
        <v>43651</v>
      </c>
      <c r="I1396" s="4" t="str">
        <f>IFERROR(__xludf.DUMMYFUNCTION("""COMPUTED_VALUE"""),"16:37:04Z")</f>
        <v>16:37:04Z</v>
      </c>
      <c r="J1396" s="4" t="str">
        <f t="shared" si="2"/>
        <v>16:37:04</v>
      </c>
      <c r="K1396" s="4">
        <f t="shared" si="3"/>
        <v>1</v>
      </c>
      <c r="L1396" s="4">
        <f t="shared" si="4"/>
        <v>-0.366712963</v>
      </c>
      <c r="M1396" s="4">
        <f t="shared" si="5"/>
        <v>0.633287037</v>
      </c>
    </row>
    <row r="1397">
      <c r="A1397" s="4" t="s">
        <v>247</v>
      </c>
      <c r="B1397" s="4" t="s">
        <v>1537</v>
      </c>
      <c r="C1397" s="4" t="s">
        <v>1538</v>
      </c>
      <c r="D1397" s="4" t="s">
        <v>1539</v>
      </c>
      <c r="E1397" s="10">
        <f>IFERROR(__xludf.DUMMYFUNCTION("SPLIT(B1397,""T"")"),42562.0)</f>
        <v>42562</v>
      </c>
      <c r="F1397" s="4" t="str">
        <f>IFERROR(__xludf.DUMMYFUNCTION("""COMPUTED_VALUE"""),"06:35:00Z")</f>
        <v>06:35:00Z</v>
      </c>
      <c r="G1397" s="11" t="str">
        <f t="shared" si="1"/>
        <v>06:35:00</v>
      </c>
      <c r="H1397" s="10">
        <f>IFERROR(__xludf.DUMMYFUNCTION("SPLIT(D1397,""T"")"),42561.0)</f>
        <v>42561</v>
      </c>
      <c r="I1397" s="4" t="str">
        <f>IFERROR(__xludf.DUMMYFUNCTION("""COMPUTED_VALUE"""),"15:30:00Z")</f>
        <v>15:30:00Z</v>
      </c>
      <c r="J1397" s="4" t="str">
        <f t="shared" si="2"/>
        <v>15:30:00</v>
      </c>
      <c r="K1397" s="4">
        <f t="shared" si="3"/>
        <v>1</v>
      </c>
      <c r="L1397" s="4">
        <f t="shared" si="4"/>
        <v>-0.3715277778</v>
      </c>
      <c r="M1397" s="4">
        <f t="shared" si="5"/>
        <v>0.6284722222</v>
      </c>
    </row>
    <row r="1398">
      <c r="A1398" s="4" t="s">
        <v>35</v>
      </c>
      <c r="B1398" s="4" t="s">
        <v>1150</v>
      </c>
      <c r="C1398" s="4" t="s">
        <v>1151</v>
      </c>
      <c r="D1398" s="4" t="s">
        <v>1152</v>
      </c>
      <c r="E1398" s="10">
        <f>IFERROR(__xludf.DUMMYFUNCTION("SPLIT(B1398,""T"")"),42315.0)</f>
        <v>42315</v>
      </c>
      <c r="F1398" s="4" t="str">
        <f>IFERROR(__xludf.DUMMYFUNCTION("""COMPUTED_VALUE"""),"16:45:00Z")</f>
        <v>16:45:00Z</v>
      </c>
      <c r="G1398" s="11" t="str">
        <f t="shared" si="1"/>
        <v>16:45:00</v>
      </c>
      <c r="H1398" s="10">
        <f>IFERROR(__xludf.DUMMYFUNCTION("SPLIT(D1398,""T"")"),42315.0)</f>
        <v>42315</v>
      </c>
      <c r="I1398" s="4" t="str">
        <f>IFERROR(__xludf.DUMMYFUNCTION("""COMPUTED_VALUE"""),"01:45:00Z")</f>
        <v>01:45:00Z</v>
      </c>
      <c r="J1398" s="4" t="str">
        <f t="shared" si="2"/>
        <v>01:45:00</v>
      </c>
      <c r="K1398" s="4">
        <f t="shared" si="3"/>
        <v>0</v>
      </c>
      <c r="L1398" s="4">
        <f t="shared" si="4"/>
        <v>0.625</v>
      </c>
      <c r="M1398" s="4">
        <f t="shared" si="5"/>
        <v>0.625</v>
      </c>
    </row>
    <row r="1399">
      <c r="A1399" s="4" t="s">
        <v>186</v>
      </c>
      <c r="B1399" s="4" t="s">
        <v>481</v>
      </c>
      <c r="C1399" s="4" t="s">
        <v>125</v>
      </c>
      <c r="D1399" s="4" t="s">
        <v>482</v>
      </c>
      <c r="E1399" s="10">
        <f>IFERROR(__xludf.DUMMYFUNCTION("SPLIT(B1399,""T"")"),41431.0)</f>
        <v>41431</v>
      </c>
      <c r="F1399" s="4" t="str">
        <f>IFERROR(__xludf.DUMMYFUNCTION("""COMPUTED_VALUE"""),"07:00:00Z")</f>
        <v>07:00:00Z</v>
      </c>
      <c r="G1399" s="11" t="str">
        <f t="shared" si="1"/>
        <v>07:00:00</v>
      </c>
      <c r="H1399" s="10">
        <f>IFERROR(__xludf.DUMMYFUNCTION("SPLIT(D1399,""T"")"),41430.0)</f>
        <v>41430</v>
      </c>
      <c r="I1399" s="4" t="str">
        <f>IFERROR(__xludf.DUMMYFUNCTION("""COMPUTED_VALUE"""),"16:05:00Z")</f>
        <v>16:05:00Z</v>
      </c>
      <c r="J1399" s="4" t="str">
        <f t="shared" si="2"/>
        <v>16:05:00</v>
      </c>
      <c r="K1399" s="4">
        <f t="shared" si="3"/>
        <v>1</v>
      </c>
      <c r="L1399" s="4">
        <f t="shared" si="4"/>
        <v>-0.3784722222</v>
      </c>
      <c r="M1399" s="4">
        <f t="shared" si="5"/>
        <v>0.6215277778</v>
      </c>
    </row>
    <row r="1400">
      <c r="A1400" s="4" t="s">
        <v>205</v>
      </c>
      <c r="B1400" s="4" t="s">
        <v>1432</v>
      </c>
      <c r="C1400" s="4" t="s">
        <v>406</v>
      </c>
      <c r="D1400" s="4" t="s">
        <v>1433</v>
      </c>
      <c r="E1400" s="10">
        <f>IFERROR(__xludf.DUMMYFUNCTION("SPLIT(B1400,""T"")"),42547.0)</f>
        <v>42547</v>
      </c>
      <c r="F1400" s="4" t="str">
        <f>IFERROR(__xludf.DUMMYFUNCTION("""COMPUTED_VALUE"""),"07:00:00Z")</f>
        <v>07:00:00Z</v>
      </c>
      <c r="G1400" s="11" t="str">
        <f t="shared" si="1"/>
        <v>07:00:00</v>
      </c>
      <c r="H1400" s="10">
        <f>IFERROR(__xludf.DUMMYFUNCTION("SPLIT(D1400,""T"")"),42546.0)</f>
        <v>42546</v>
      </c>
      <c r="I1400" s="4" t="str">
        <f>IFERROR(__xludf.DUMMYFUNCTION("""COMPUTED_VALUE"""),"16:11:00Z")</f>
        <v>16:11:00Z</v>
      </c>
      <c r="J1400" s="4" t="str">
        <f t="shared" si="2"/>
        <v>16:11:00</v>
      </c>
      <c r="K1400" s="4">
        <f t="shared" si="3"/>
        <v>1</v>
      </c>
      <c r="L1400" s="4">
        <f t="shared" si="4"/>
        <v>-0.3826388889</v>
      </c>
      <c r="M1400" s="4">
        <f t="shared" si="5"/>
        <v>0.6173611111</v>
      </c>
    </row>
    <row r="1401">
      <c r="A1401" s="4" t="s">
        <v>401</v>
      </c>
      <c r="B1401" s="4" t="s">
        <v>3799</v>
      </c>
      <c r="C1401" s="4" t="s">
        <v>2356</v>
      </c>
      <c r="D1401" s="4" t="s">
        <v>3800</v>
      </c>
      <c r="E1401" s="10">
        <f>IFERROR(__xludf.DUMMYFUNCTION("SPLIT(B1401,""T"")"),43643.0)</f>
        <v>43643</v>
      </c>
      <c r="F1401" s="4" t="str">
        <f>IFERROR(__xludf.DUMMYFUNCTION("""COMPUTED_VALUE"""),"08:48:00Z")</f>
        <v>08:48:00Z</v>
      </c>
      <c r="G1401" s="11" t="str">
        <f t="shared" si="1"/>
        <v>08:48:00</v>
      </c>
      <c r="H1401" s="10">
        <f>IFERROR(__xludf.DUMMYFUNCTION("SPLIT(D1401,""T"")"),43642.0)</f>
        <v>43642</v>
      </c>
      <c r="I1401" s="4" t="str">
        <f>IFERROR(__xludf.DUMMYFUNCTION("""COMPUTED_VALUE"""),"18:06:54Z")</f>
        <v>18:06:54Z</v>
      </c>
      <c r="J1401" s="4" t="str">
        <f t="shared" si="2"/>
        <v>18:06:54</v>
      </c>
      <c r="K1401" s="4">
        <f t="shared" si="3"/>
        <v>1</v>
      </c>
      <c r="L1401" s="4">
        <f t="shared" si="4"/>
        <v>-0.388125</v>
      </c>
      <c r="M1401" s="4">
        <f t="shared" si="5"/>
        <v>0.611875</v>
      </c>
    </row>
    <row r="1402">
      <c r="A1402" s="4" t="s">
        <v>46</v>
      </c>
      <c r="B1402" s="4" t="s">
        <v>1004</v>
      </c>
      <c r="C1402" s="4" t="s">
        <v>1005</v>
      </c>
      <c r="D1402" s="4" t="s">
        <v>1006</v>
      </c>
      <c r="E1402" s="10">
        <f>IFERROR(__xludf.DUMMYFUNCTION("SPLIT(B1402,""T"")"),42199.0)</f>
        <v>42199</v>
      </c>
      <c r="F1402" s="4" t="str">
        <f>IFERROR(__xludf.DUMMYFUNCTION("""COMPUTED_VALUE"""),"08:30:00Z")</f>
        <v>08:30:00Z</v>
      </c>
      <c r="G1402" s="11" t="str">
        <f t="shared" si="1"/>
        <v>08:30:00</v>
      </c>
      <c r="H1402" s="10">
        <f>IFERROR(__xludf.DUMMYFUNCTION("SPLIT(D1402,""T"")"),42198.0)</f>
        <v>42198</v>
      </c>
      <c r="I1402" s="4" t="str">
        <f>IFERROR(__xludf.DUMMYFUNCTION("""COMPUTED_VALUE"""),"17:56:00Z")</f>
        <v>17:56:00Z</v>
      </c>
      <c r="J1402" s="4" t="str">
        <f t="shared" si="2"/>
        <v>17:56:00</v>
      </c>
      <c r="K1402" s="4">
        <f t="shared" si="3"/>
        <v>1</v>
      </c>
      <c r="L1402" s="4">
        <f t="shared" si="4"/>
        <v>-0.3930555556</v>
      </c>
      <c r="M1402" s="4">
        <f t="shared" si="5"/>
        <v>0.6069444444</v>
      </c>
    </row>
    <row r="1403">
      <c r="A1403" s="4" t="s">
        <v>240</v>
      </c>
      <c r="B1403" s="4" t="s">
        <v>1418</v>
      </c>
      <c r="C1403" s="4" t="s">
        <v>329</v>
      </c>
      <c r="D1403" s="4" t="s">
        <v>1419</v>
      </c>
      <c r="E1403" s="10">
        <f>IFERROR(__xludf.DUMMYFUNCTION("SPLIT(B1403,""T"")"),42548.0)</f>
        <v>42548</v>
      </c>
      <c r="F1403" s="4" t="str">
        <f>IFERROR(__xludf.DUMMYFUNCTION("""COMPUTED_VALUE"""),"06:15:00Z")</f>
        <v>06:15:00Z</v>
      </c>
      <c r="G1403" s="11" t="str">
        <f t="shared" si="1"/>
        <v>06:15:00</v>
      </c>
      <c r="H1403" s="10">
        <f>IFERROR(__xludf.DUMMYFUNCTION("SPLIT(D1403,""T"")"),42547.0)</f>
        <v>42547</v>
      </c>
      <c r="I1403" s="4" t="str">
        <f>IFERROR(__xludf.DUMMYFUNCTION("""COMPUTED_VALUE"""),"15:45:00Z")</f>
        <v>15:45:00Z</v>
      </c>
      <c r="J1403" s="4" t="str">
        <f t="shared" si="2"/>
        <v>15:45:00</v>
      </c>
      <c r="K1403" s="4">
        <f t="shared" si="3"/>
        <v>1</v>
      </c>
      <c r="L1403" s="4">
        <f t="shared" si="4"/>
        <v>-0.3958333333</v>
      </c>
      <c r="M1403" s="4">
        <f t="shared" si="5"/>
        <v>0.6041666667</v>
      </c>
    </row>
    <row r="1404">
      <c r="A1404" s="4" t="s">
        <v>54</v>
      </c>
      <c r="B1404" s="4" t="s">
        <v>1556</v>
      </c>
      <c r="C1404" s="4" t="s">
        <v>437</v>
      </c>
      <c r="D1404" s="4" t="s">
        <v>1557</v>
      </c>
      <c r="E1404" s="10">
        <f>IFERROR(__xludf.DUMMYFUNCTION("SPLIT(B1404,""T"")"),42586.0)</f>
        <v>42586</v>
      </c>
      <c r="F1404" s="4" t="str">
        <f>IFERROR(__xludf.DUMMYFUNCTION("""COMPUTED_VALUE"""),"07:50:00Z")</f>
        <v>07:50:00Z</v>
      </c>
      <c r="G1404" s="11" t="str">
        <f t="shared" si="1"/>
        <v>07:50:00</v>
      </c>
      <c r="H1404" s="10">
        <f>IFERROR(__xludf.DUMMYFUNCTION("SPLIT(D1404,""T"")"),42585.0)</f>
        <v>42585</v>
      </c>
      <c r="I1404" s="4" t="str">
        <f>IFERROR(__xludf.DUMMYFUNCTION("""COMPUTED_VALUE"""),"17:27:00Z")</f>
        <v>17:27:00Z</v>
      </c>
      <c r="J1404" s="4" t="str">
        <f t="shared" si="2"/>
        <v>17:27:00</v>
      </c>
      <c r="K1404" s="4">
        <f t="shared" si="3"/>
        <v>1</v>
      </c>
      <c r="L1404" s="4">
        <f t="shared" si="4"/>
        <v>-0.4006944444</v>
      </c>
      <c r="M1404" s="4">
        <f t="shared" si="5"/>
        <v>0.5993055556</v>
      </c>
    </row>
    <row r="1405">
      <c r="A1405" s="4" t="s">
        <v>388</v>
      </c>
      <c r="B1405" s="4" t="s">
        <v>787</v>
      </c>
      <c r="C1405" s="4" t="s">
        <v>788</v>
      </c>
      <c r="D1405" s="4" t="s">
        <v>789</v>
      </c>
      <c r="E1405" s="10">
        <f>IFERROR(__xludf.DUMMYFUNCTION("SPLIT(B1405,""T"")"),41828.0)</f>
        <v>41828</v>
      </c>
      <c r="F1405" s="4" t="str">
        <f>IFERROR(__xludf.DUMMYFUNCTION("""COMPUTED_VALUE"""),"06:56:00Z")</f>
        <v>06:56:00Z</v>
      </c>
      <c r="G1405" s="11" t="str">
        <f t="shared" si="1"/>
        <v>06:56:00</v>
      </c>
      <c r="H1405" s="10">
        <f>IFERROR(__xludf.DUMMYFUNCTION("SPLIT(D1405,""T"")"),41827.0)</f>
        <v>41827</v>
      </c>
      <c r="I1405" s="4" t="str">
        <f>IFERROR(__xludf.DUMMYFUNCTION("""COMPUTED_VALUE"""),"16:35:00Z")</f>
        <v>16:35:00Z</v>
      </c>
      <c r="J1405" s="4" t="str">
        <f t="shared" si="2"/>
        <v>16:35:00</v>
      </c>
      <c r="K1405" s="4">
        <f t="shared" si="3"/>
        <v>1</v>
      </c>
      <c r="L1405" s="4">
        <f t="shared" si="4"/>
        <v>-0.4020833333</v>
      </c>
      <c r="M1405" s="4">
        <f t="shared" si="5"/>
        <v>0.5979166667</v>
      </c>
    </row>
    <row r="1406">
      <c r="A1406" s="4" t="s">
        <v>58</v>
      </c>
      <c r="B1406" s="4" t="s">
        <v>470</v>
      </c>
      <c r="C1406" s="4" t="s">
        <v>471</v>
      </c>
      <c r="D1406" s="4" t="s">
        <v>385</v>
      </c>
      <c r="E1406" s="10">
        <f>IFERROR(__xludf.DUMMYFUNCTION("SPLIT(B1406,""T"")"),41491.0)</f>
        <v>41491</v>
      </c>
      <c r="F1406" s="4" t="str">
        <f>IFERROR(__xludf.DUMMYFUNCTION("""COMPUTED_VALUE"""),"08:17:00Z")</f>
        <v>08:17:00Z</v>
      </c>
      <c r="G1406" s="11" t="str">
        <f t="shared" si="1"/>
        <v>08:17:00</v>
      </c>
      <c r="H1406" s="10">
        <f>IFERROR(__xludf.DUMMYFUNCTION("SPLIT(D1406,""T"")"),41490.0)</f>
        <v>41490</v>
      </c>
      <c r="I1406" s="4" t="str">
        <f>IFERROR(__xludf.DUMMYFUNCTION("""COMPUTED_VALUE"""),"18:00:00Z")</f>
        <v>18:00:00Z</v>
      </c>
      <c r="J1406" s="4" t="str">
        <f t="shared" si="2"/>
        <v>18:00:00</v>
      </c>
      <c r="K1406" s="4">
        <f t="shared" si="3"/>
        <v>1</v>
      </c>
      <c r="L1406" s="4">
        <f t="shared" si="4"/>
        <v>-0.4048611111</v>
      </c>
      <c r="M1406" s="4">
        <f t="shared" si="5"/>
        <v>0.5951388889</v>
      </c>
    </row>
    <row r="1407">
      <c r="A1407" s="4" t="s">
        <v>324</v>
      </c>
      <c r="B1407" s="4" t="s">
        <v>1718</v>
      </c>
      <c r="C1407" s="4" t="s">
        <v>879</v>
      </c>
      <c r="D1407" s="4" t="s">
        <v>1723</v>
      </c>
      <c r="E1407" s="10">
        <f>IFERROR(__xludf.DUMMYFUNCTION("SPLIT(B1407,""T"")"),42613.0)</f>
        <v>42613</v>
      </c>
      <c r="F1407" s="4" t="str">
        <f>IFERROR(__xludf.DUMMYFUNCTION("""COMPUTED_VALUE"""),"07:05:00Z")</f>
        <v>07:05:00Z</v>
      </c>
      <c r="G1407" s="11" t="str">
        <f t="shared" si="1"/>
        <v>07:05:00</v>
      </c>
      <c r="H1407" s="10">
        <f>IFERROR(__xludf.DUMMYFUNCTION("SPLIT(D1407,""T"")"),42612.0)</f>
        <v>42612</v>
      </c>
      <c r="I1407" s="4" t="str">
        <f>IFERROR(__xludf.DUMMYFUNCTION("""COMPUTED_VALUE"""),"16:52:00Z")</f>
        <v>16:52:00Z</v>
      </c>
      <c r="J1407" s="4" t="str">
        <f t="shared" si="2"/>
        <v>16:52:00</v>
      </c>
      <c r="K1407" s="4">
        <f t="shared" si="3"/>
        <v>1</v>
      </c>
      <c r="L1407" s="4">
        <f t="shared" si="4"/>
        <v>-0.4076388889</v>
      </c>
      <c r="M1407" s="4">
        <f t="shared" si="5"/>
        <v>0.5923611111</v>
      </c>
    </row>
    <row r="1408">
      <c r="A1408" s="4" t="s">
        <v>186</v>
      </c>
      <c r="B1408" s="4" t="s">
        <v>1718</v>
      </c>
      <c r="C1408" s="4" t="s">
        <v>1719</v>
      </c>
      <c r="D1408" s="4" t="s">
        <v>1720</v>
      </c>
      <c r="E1408" s="10">
        <f>IFERROR(__xludf.DUMMYFUNCTION("SPLIT(B1408,""T"")"),42613.0)</f>
        <v>42613</v>
      </c>
      <c r="F1408" s="4" t="str">
        <f>IFERROR(__xludf.DUMMYFUNCTION("""COMPUTED_VALUE"""),"07:05:00Z")</f>
        <v>07:05:00Z</v>
      </c>
      <c r="G1408" s="11" t="str">
        <f t="shared" si="1"/>
        <v>07:05:00</v>
      </c>
      <c r="H1408" s="10">
        <f>IFERROR(__xludf.DUMMYFUNCTION("SPLIT(D1408,""T"")"),42612.0)</f>
        <v>42612</v>
      </c>
      <c r="I1408" s="4" t="str">
        <f>IFERROR(__xludf.DUMMYFUNCTION("""COMPUTED_VALUE"""),"16:54:00Z")</f>
        <v>16:54:00Z</v>
      </c>
      <c r="J1408" s="4" t="str">
        <f t="shared" si="2"/>
        <v>16:54:00</v>
      </c>
      <c r="K1408" s="4">
        <f t="shared" si="3"/>
        <v>1</v>
      </c>
      <c r="L1408" s="4">
        <f t="shared" si="4"/>
        <v>-0.4090277778</v>
      </c>
      <c r="M1408" s="4">
        <f t="shared" si="5"/>
        <v>0.5909722222</v>
      </c>
    </row>
    <row r="1409">
      <c r="A1409" s="4" t="s">
        <v>149</v>
      </c>
      <c r="B1409" s="4" t="s">
        <v>328</v>
      </c>
      <c r="C1409" s="4" t="s">
        <v>329</v>
      </c>
      <c r="D1409" s="4" t="s">
        <v>330</v>
      </c>
      <c r="E1409" s="10">
        <f>IFERROR(__xludf.DUMMYFUNCTION("SPLIT(B1409,""T"")"),41541.0)</f>
        <v>41541</v>
      </c>
      <c r="F1409" s="4" t="str">
        <f>IFERROR(__xludf.DUMMYFUNCTION("""COMPUTED_VALUE"""),"17:30:00Z")</f>
        <v>17:30:00Z</v>
      </c>
      <c r="G1409" s="11" t="str">
        <f t="shared" si="1"/>
        <v>17:30:00</v>
      </c>
      <c r="H1409" s="10">
        <f>IFERROR(__xludf.DUMMYFUNCTION("SPLIT(D1409,""T"")"),41541.0)</f>
        <v>41541</v>
      </c>
      <c r="I1409" s="4" t="str">
        <f>IFERROR(__xludf.DUMMYFUNCTION("""COMPUTED_VALUE"""),"03:20:00Z")</f>
        <v>03:20:00Z</v>
      </c>
      <c r="J1409" s="4" t="str">
        <f t="shared" si="2"/>
        <v>03:20:00</v>
      </c>
      <c r="K1409" s="4">
        <f t="shared" si="3"/>
        <v>0</v>
      </c>
      <c r="L1409" s="4">
        <f t="shared" si="4"/>
        <v>0.5902777778</v>
      </c>
      <c r="M1409" s="4">
        <f t="shared" si="5"/>
        <v>0.5902777778</v>
      </c>
    </row>
    <row r="1410">
      <c r="A1410" s="4" t="s">
        <v>324</v>
      </c>
      <c r="B1410" s="4" t="s">
        <v>1129</v>
      </c>
      <c r="C1410" s="4" t="s">
        <v>888</v>
      </c>
      <c r="D1410" s="4" t="s">
        <v>1130</v>
      </c>
      <c r="E1410" s="10">
        <f>IFERROR(__xludf.DUMMYFUNCTION("SPLIT(B1410,""T"")"),42172.0)</f>
        <v>42172</v>
      </c>
      <c r="F1410" s="4" t="str">
        <f>IFERROR(__xludf.DUMMYFUNCTION("""COMPUTED_VALUE"""),"06:45:00Z")</f>
        <v>06:45:00Z</v>
      </c>
      <c r="G1410" s="11" t="str">
        <f t="shared" si="1"/>
        <v>06:45:00</v>
      </c>
      <c r="H1410" s="10">
        <f>IFERROR(__xludf.DUMMYFUNCTION("SPLIT(D1410,""T"")"),42171.0)</f>
        <v>42171</v>
      </c>
      <c r="I1410" s="4" t="str">
        <f>IFERROR(__xludf.DUMMYFUNCTION("""COMPUTED_VALUE"""),"16:42:00Z")</f>
        <v>16:42:00Z</v>
      </c>
      <c r="J1410" s="4" t="str">
        <f t="shared" si="2"/>
        <v>16:42:00</v>
      </c>
      <c r="K1410" s="4">
        <f t="shared" si="3"/>
        <v>1</v>
      </c>
      <c r="L1410" s="4">
        <f t="shared" si="4"/>
        <v>-0.4145833333</v>
      </c>
      <c r="M1410" s="4">
        <f t="shared" si="5"/>
        <v>0.5854166667</v>
      </c>
    </row>
    <row r="1411">
      <c r="A1411" s="4" t="s">
        <v>27</v>
      </c>
      <c r="B1411" s="4" t="s">
        <v>257</v>
      </c>
      <c r="C1411" s="4" t="s">
        <v>258</v>
      </c>
      <c r="D1411" s="4" t="s">
        <v>259</v>
      </c>
      <c r="E1411" s="10">
        <f>IFERROR(__xludf.DUMMYFUNCTION("SPLIT(B1411,""T"")"),41472.0)</f>
        <v>41472</v>
      </c>
      <c r="F1411" s="4" t="str">
        <f>IFERROR(__xludf.DUMMYFUNCTION("""COMPUTED_VALUE"""),"07:45:00Z")</f>
        <v>07:45:00Z</v>
      </c>
      <c r="G1411" s="11" t="str">
        <f t="shared" si="1"/>
        <v>07:45:00</v>
      </c>
      <c r="H1411" s="10">
        <f>IFERROR(__xludf.DUMMYFUNCTION("SPLIT(D1411,""T"")"),41471.0)</f>
        <v>41471</v>
      </c>
      <c r="I1411" s="4" t="str">
        <f>IFERROR(__xludf.DUMMYFUNCTION("""COMPUTED_VALUE"""),"17:48:00Z")</f>
        <v>17:48:00Z</v>
      </c>
      <c r="J1411" s="4" t="str">
        <f t="shared" si="2"/>
        <v>17:48:00</v>
      </c>
      <c r="K1411" s="4">
        <f t="shared" si="3"/>
        <v>1</v>
      </c>
      <c r="L1411" s="4">
        <f t="shared" si="4"/>
        <v>-0.41875</v>
      </c>
      <c r="M1411" s="4">
        <f t="shared" si="5"/>
        <v>0.58125</v>
      </c>
    </row>
    <row r="1412">
      <c r="A1412" s="4" t="s">
        <v>134</v>
      </c>
      <c r="B1412" s="4" t="s">
        <v>3291</v>
      </c>
      <c r="C1412" s="4" t="s">
        <v>3292</v>
      </c>
      <c r="D1412" s="4" t="s">
        <v>3293</v>
      </c>
      <c r="E1412" s="10">
        <f>IFERROR(__xludf.DUMMYFUNCTION("SPLIT(B1412,""T"")"),43681.0)</f>
        <v>43681</v>
      </c>
      <c r="F1412" s="4" t="str">
        <f>IFERROR(__xludf.DUMMYFUNCTION("""COMPUTED_VALUE"""),"06:39:00Z")</f>
        <v>06:39:00Z</v>
      </c>
      <c r="G1412" s="11" t="str">
        <f t="shared" si="1"/>
        <v>06:39:00</v>
      </c>
      <c r="H1412" s="10">
        <f>IFERROR(__xludf.DUMMYFUNCTION("SPLIT(D1412,""T"")"),43680.0)</f>
        <v>43680</v>
      </c>
      <c r="I1412" s="4" t="str">
        <f>IFERROR(__xludf.DUMMYFUNCTION("""COMPUTED_VALUE"""),"17:22:51Z")</f>
        <v>17:22:51Z</v>
      </c>
      <c r="J1412" s="4" t="str">
        <f t="shared" si="2"/>
        <v>17:22:51</v>
      </c>
      <c r="K1412" s="4">
        <f t="shared" si="3"/>
        <v>1</v>
      </c>
      <c r="L1412" s="4">
        <f t="shared" si="4"/>
        <v>-0.4471180556</v>
      </c>
      <c r="M1412" s="4">
        <f t="shared" si="5"/>
        <v>0.5528819444</v>
      </c>
    </row>
    <row r="1413">
      <c r="A1413" s="4" t="s">
        <v>156</v>
      </c>
      <c r="B1413" s="4" t="s">
        <v>3476</v>
      </c>
      <c r="C1413" s="4" t="s">
        <v>3477</v>
      </c>
      <c r="D1413" s="4" t="s">
        <v>3478</v>
      </c>
      <c r="E1413" s="10">
        <f>IFERROR(__xludf.DUMMYFUNCTION("SPLIT(B1413,""T"")"),43662.0)</f>
        <v>43662</v>
      </c>
      <c r="F1413" s="4" t="str">
        <f>IFERROR(__xludf.DUMMYFUNCTION("""COMPUTED_VALUE"""),"06:49:00Z")</f>
        <v>06:49:00Z</v>
      </c>
      <c r="G1413" s="11" t="str">
        <f t="shared" si="1"/>
        <v>06:49:00</v>
      </c>
      <c r="H1413" s="10">
        <f>IFERROR(__xludf.DUMMYFUNCTION("SPLIT(D1413,""T"")"),43661.0)</f>
        <v>43661</v>
      </c>
      <c r="I1413" s="4" t="str">
        <f>IFERROR(__xludf.DUMMYFUNCTION("""COMPUTED_VALUE"""),"18:19:31Z")</f>
        <v>18:19:31Z</v>
      </c>
      <c r="J1413" s="4" t="str">
        <f t="shared" si="2"/>
        <v>18:19:31</v>
      </c>
      <c r="K1413" s="4">
        <f t="shared" si="3"/>
        <v>1</v>
      </c>
      <c r="L1413" s="4">
        <f t="shared" si="4"/>
        <v>-0.479525463</v>
      </c>
      <c r="M1413" s="4">
        <f t="shared" si="5"/>
        <v>0.520474537</v>
      </c>
    </row>
    <row r="1414">
      <c r="A1414" s="4" t="s">
        <v>324</v>
      </c>
      <c r="B1414" s="4" t="s">
        <v>1398</v>
      </c>
      <c r="C1414" s="4" t="s">
        <v>122</v>
      </c>
      <c r="D1414" s="4" t="s">
        <v>1399</v>
      </c>
      <c r="E1414" s="10">
        <f>IFERROR(__xludf.DUMMYFUNCTION("SPLIT(B1414,""T"")"),42550.0)</f>
        <v>42550</v>
      </c>
      <c r="F1414" s="4" t="str">
        <f>IFERROR(__xludf.DUMMYFUNCTION("""COMPUTED_VALUE"""),"07:30:00Z")</f>
        <v>07:30:00Z</v>
      </c>
      <c r="G1414" s="11" t="str">
        <f t="shared" si="1"/>
        <v>07:30:00</v>
      </c>
      <c r="H1414" s="10">
        <f>IFERROR(__xludf.DUMMYFUNCTION("SPLIT(D1414,""T"")"),42549.0)</f>
        <v>42549</v>
      </c>
      <c r="I1414" s="4" t="str">
        <f>IFERROR(__xludf.DUMMYFUNCTION("""COMPUTED_VALUE"""),"19:02:00Z")</f>
        <v>19:02:00Z</v>
      </c>
      <c r="J1414" s="4" t="str">
        <f t="shared" si="2"/>
        <v>19:02:00</v>
      </c>
      <c r="K1414" s="4">
        <f t="shared" si="3"/>
        <v>1</v>
      </c>
      <c r="L1414" s="4">
        <f t="shared" si="4"/>
        <v>-0.4805555556</v>
      </c>
      <c r="M1414" s="4">
        <f t="shared" si="5"/>
        <v>0.5194444444</v>
      </c>
    </row>
    <row r="1415">
      <c r="A1415" s="4" t="s">
        <v>27</v>
      </c>
      <c r="B1415" s="4" t="s">
        <v>3734</v>
      </c>
      <c r="C1415" s="4" t="s">
        <v>3735</v>
      </c>
      <c r="D1415" s="4" t="s">
        <v>3736</v>
      </c>
      <c r="E1415" s="10">
        <f>IFERROR(__xludf.DUMMYFUNCTION("SPLIT(B1415,""T"")"),43565.0)</f>
        <v>43565</v>
      </c>
      <c r="F1415" s="4" t="str">
        <f>IFERROR(__xludf.DUMMYFUNCTION("""COMPUTED_VALUE"""),"10:23:00Z")</f>
        <v>10:23:00Z</v>
      </c>
      <c r="G1415" s="11" t="str">
        <f t="shared" si="1"/>
        <v>10:23:00</v>
      </c>
      <c r="H1415" s="10">
        <f>IFERROR(__xludf.DUMMYFUNCTION("SPLIT(D1415,""T"")"),43564.0)</f>
        <v>43564</v>
      </c>
      <c r="I1415" s="4" t="str">
        <f>IFERROR(__xludf.DUMMYFUNCTION("""COMPUTED_VALUE"""),"22:18:00Z")</f>
        <v>22:18:00Z</v>
      </c>
      <c r="J1415" s="4" t="str">
        <f t="shared" si="2"/>
        <v>22:18:00</v>
      </c>
      <c r="K1415" s="4">
        <f t="shared" si="3"/>
        <v>1</v>
      </c>
      <c r="L1415" s="4">
        <f t="shared" si="4"/>
        <v>-0.4965277778</v>
      </c>
      <c r="M1415" s="4">
        <f t="shared" si="5"/>
        <v>0.5034722222</v>
      </c>
    </row>
    <row r="1416">
      <c r="A1416" s="4" t="s">
        <v>130</v>
      </c>
      <c r="B1416" s="4" t="s">
        <v>3818</v>
      </c>
      <c r="C1416" s="4" t="s">
        <v>3819</v>
      </c>
      <c r="D1416" s="4" t="s">
        <v>3820</v>
      </c>
      <c r="E1416" s="10">
        <f>IFERROR(__xludf.DUMMYFUNCTION("SPLIT(B1416,""T"")"),43677.0)</f>
        <v>43677</v>
      </c>
      <c r="F1416" s="4" t="str">
        <f>IFERROR(__xludf.DUMMYFUNCTION("""COMPUTED_VALUE"""),"06:47:00Z")</f>
        <v>06:47:00Z</v>
      </c>
      <c r="G1416" s="11" t="str">
        <f t="shared" si="1"/>
        <v>06:47:00</v>
      </c>
      <c r="H1416" s="10">
        <f>IFERROR(__xludf.DUMMYFUNCTION("SPLIT(D1416,""T"")"),43676.0)</f>
        <v>43676</v>
      </c>
      <c r="I1416" s="4" t="str">
        <f>IFERROR(__xludf.DUMMYFUNCTION("""COMPUTED_VALUE"""),"19:27:46Z")</f>
        <v>19:27:46Z</v>
      </c>
      <c r="J1416" s="4" t="str">
        <f t="shared" si="2"/>
        <v>19:27:46</v>
      </c>
      <c r="K1416" s="4">
        <f t="shared" si="3"/>
        <v>1</v>
      </c>
      <c r="L1416" s="4">
        <f t="shared" si="4"/>
        <v>-0.5283101852</v>
      </c>
      <c r="M1416" s="4">
        <f t="shared" si="5"/>
        <v>0.4716898148</v>
      </c>
    </row>
    <row r="1417">
      <c r="A1417" s="4" t="s">
        <v>205</v>
      </c>
      <c r="B1417" s="4" t="s">
        <v>963</v>
      </c>
      <c r="C1417" s="4" t="s">
        <v>964</v>
      </c>
      <c r="D1417" s="4" t="s">
        <v>965</v>
      </c>
      <c r="E1417" s="10">
        <f>IFERROR(__xludf.DUMMYFUNCTION("SPLIT(B1417,""T"")"),42161.0)</f>
        <v>42161</v>
      </c>
      <c r="F1417" s="4" t="str">
        <f>IFERROR(__xludf.DUMMYFUNCTION("""COMPUTED_VALUE"""),"07:15:00Z")</f>
        <v>07:15:00Z</v>
      </c>
      <c r="G1417" s="11" t="str">
        <f t="shared" si="1"/>
        <v>07:15:00</v>
      </c>
      <c r="H1417" s="10">
        <f>IFERROR(__xludf.DUMMYFUNCTION("SPLIT(D1417,""T"")"),42160.0)</f>
        <v>42160</v>
      </c>
      <c r="I1417" s="4" t="str">
        <f>IFERROR(__xludf.DUMMYFUNCTION("""COMPUTED_VALUE"""),"20:22:00Z")</f>
        <v>20:22:00Z</v>
      </c>
      <c r="J1417" s="4" t="str">
        <f t="shared" si="2"/>
        <v>20:22:00</v>
      </c>
      <c r="K1417" s="4">
        <f t="shared" si="3"/>
        <v>1</v>
      </c>
      <c r="L1417" s="4">
        <f t="shared" si="4"/>
        <v>-0.5465277778</v>
      </c>
      <c r="M1417" s="4">
        <f t="shared" si="5"/>
        <v>0.4534722222</v>
      </c>
    </row>
    <row r="1418">
      <c r="A1418" s="4" t="s">
        <v>186</v>
      </c>
      <c r="B1418" s="4" t="s">
        <v>1221</v>
      </c>
      <c r="C1418" s="4" t="s">
        <v>1222</v>
      </c>
      <c r="D1418" s="4" t="s">
        <v>1223</v>
      </c>
      <c r="E1418" s="10">
        <f>IFERROR(__xludf.DUMMYFUNCTION("SPLIT(B1418,""T"")"),42161.0)</f>
        <v>42161</v>
      </c>
      <c r="F1418" s="4" t="str">
        <f>IFERROR(__xludf.DUMMYFUNCTION("""COMPUTED_VALUE"""),"06:45:00Z")</f>
        <v>06:45:00Z</v>
      </c>
      <c r="G1418" s="11" t="str">
        <f t="shared" si="1"/>
        <v>06:45:00</v>
      </c>
      <c r="H1418" s="10">
        <f>IFERROR(__xludf.DUMMYFUNCTION("SPLIT(D1418,""T"")"),42160.0)</f>
        <v>42160</v>
      </c>
      <c r="I1418" s="4" t="str">
        <f>IFERROR(__xludf.DUMMYFUNCTION("""COMPUTED_VALUE"""),"19:57:00Z")</f>
        <v>19:57:00Z</v>
      </c>
      <c r="J1418" s="4" t="str">
        <f t="shared" si="2"/>
        <v>19:57:00</v>
      </c>
      <c r="K1418" s="4">
        <f t="shared" si="3"/>
        <v>1</v>
      </c>
      <c r="L1418" s="4">
        <f t="shared" si="4"/>
        <v>-0.55</v>
      </c>
      <c r="M1418" s="4">
        <f t="shared" si="5"/>
        <v>0.45</v>
      </c>
    </row>
    <row r="1419">
      <c r="A1419" s="4" t="s">
        <v>401</v>
      </c>
      <c r="B1419" s="4" t="s">
        <v>433</v>
      </c>
      <c r="C1419" s="4" t="s">
        <v>406</v>
      </c>
      <c r="D1419" s="4" t="s">
        <v>434</v>
      </c>
      <c r="E1419" s="10">
        <f>IFERROR(__xludf.DUMMYFUNCTION("SPLIT(B1419,""T"")"),41639.0)</f>
        <v>41639</v>
      </c>
      <c r="F1419" s="4" t="str">
        <f>IFERROR(__xludf.DUMMYFUNCTION("""COMPUTED_VALUE"""),"16:00:00Z")</f>
        <v>16:00:00Z</v>
      </c>
      <c r="G1419" s="11" t="str">
        <f t="shared" si="1"/>
        <v>16:00:00</v>
      </c>
      <c r="H1419" s="10">
        <f>IFERROR(__xludf.DUMMYFUNCTION("SPLIT(D1419,""T"")"),41639.0)</f>
        <v>41639</v>
      </c>
      <c r="I1419" s="4" t="str">
        <f>IFERROR(__xludf.DUMMYFUNCTION("""COMPUTED_VALUE"""),"05:30:00Z")</f>
        <v>05:30:00Z</v>
      </c>
      <c r="J1419" s="4" t="str">
        <f t="shared" si="2"/>
        <v>05:30:00</v>
      </c>
      <c r="K1419" s="4">
        <f t="shared" si="3"/>
        <v>0</v>
      </c>
      <c r="L1419" s="4">
        <f t="shared" si="4"/>
        <v>0.4375</v>
      </c>
      <c r="M1419" s="4">
        <f t="shared" si="5"/>
        <v>0.4375</v>
      </c>
    </row>
    <row r="1420">
      <c r="A1420" s="4" t="s">
        <v>179</v>
      </c>
      <c r="B1420" s="4" t="s">
        <v>1467</v>
      </c>
      <c r="C1420" s="4" t="s">
        <v>1468</v>
      </c>
      <c r="D1420" s="4" t="s">
        <v>1469</v>
      </c>
      <c r="E1420" s="10">
        <f>IFERROR(__xludf.DUMMYFUNCTION("SPLIT(B1420,""T"")"),42602.0)</f>
        <v>42602</v>
      </c>
      <c r="F1420" s="4" t="str">
        <f>IFERROR(__xludf.DUMMYFUNCTION("""COMPUTED_VALUE"""),"18:45:00Z")</f>
        <v>18:45:00Z</v>
      </c>
      <c r="G1420" s="11" t="str">
        <f t="shared" si="1"/>
        <v>18:45:00</v>
      </c>
      <c r="H1420" s="10">
        <f>IFERROR(__xludf.DUMMYFUNCTION("SPLIT(D1420,""T"")"),42602.0)</f>
        <v>42602</v>
      </c>
      <c r="I1420" s="4" t="str">
        <f>IFERROR(__xludf.DUMMYFUNCTION("""COMPUTED_VALUE"""),"08:35:00Z")</f>
        <v>08:35:00Z</v>
      </c>
      <c r="J1420" s="4" t="str">
        <f t="shared" si="2"/>
        <v>08:35:00</v>
      </c>
      <c r="K1420" s="4">
        <f t="shared" si="3"/>
        <v>0</v>
      </c>
      <c r="L1420" s="4">
        <f t="shared" si="4"/>
        <v>0.4236111111</v>
      </c>
      <c r="M1420" s="4">
        <f t="shared" si="5"/>
        <v>0.4236111111</v>
      </c>
    </row>
    <row r="1421">
      <c r="A1421" s="4" t="s">
        <v>31</v>
      </c>
      <c r="B1421" s="4" t="s">
        <v>3536</v>
      </c>
      <c r="C1421" s="4" t="s">
        <v>3537</v>
      </c>
      <c r="D1421" s="4" t="s">
        <v>3538</v>
      </c>
      <c r="E1421" s="10">
        <f>IFERROR(__xludf.DUMMYFUNCTION("SPLIT(B1421,""T"")"),43643.0)</f>
        <v>43643</v>
      </c>
      <c r="F1421" s="4" t="str">
        <f>IFERROR(__xludf.DUMMYFUNCTION("""COMPUTED_VALUE"""),"08:26:00Z")</f>
        <v>08:26:00Z</v>
      </c>
      <c r="G1421" s="11" t="str">
        <f t="shared" si="1"/>
        <v>08:26:00</v>
      </c>
      <c r="H1421" s="10">
        <f>IFERROR(__xludf.DUMMYFUNCTION("SPLIT(D1421,""T"")"),43642.0)</f>
        <v>43642</v>
      </c>
      <c r="I1421" s="4" t="str">
        <f>IFERROR(__xludf.DUMMYFUNCTION("""COMPUTED_VALUE"""),"22:43:07Z")</f>
        <v>22:43:07Z</v>
      </c>
      <c r="J1421" s="4" t="str">
        <f t="shared" si="2"/>
        <v>22:43:07</v>
      </c>
      <c r="K1421" s="4">
        <f t="shared" si="3"/>
        <v>1</v>
      </c>
      <c r="L1421" s="4">
        <f t="shared" si="4"/>
        <v>-0.5952199074</v>
      </c>
      <c r="M1421" s="4">
        <f t="shared" si="5"/>
        <v>0.4047800926</v>
      </c>
    </row>
    <row r="1422">
      <c r="A1422" s="4" t="s">
        <v>39</v>
      </c>
      <c r="B1422" s="4" t="s">
        <v>298</v>
      </c>
      <c r="C1422" s="4" t="s">
        <v>299</v>
      </c>
      <c r="D1422" s="4" t="s">
        <v>300</v>
      </c>
      <c r="E1422" s="10">
        <f>IFERROR(__xludf.DUMMYFUNCTION("SPLIT(B1422,""T"")"),41438.0)</f>
        <v>41438</v>
      </c>
      <c r="F1422" s="4" t="str">
        <f>IFERROR(__xludf.DUMMYFUNCTION("""COMPUTED_VALUE"""),"21:30:00Z")</f>
        <v>21:30:00Z</v>
      </c>
      <c r="G1422" s="11" t="str">
        <f t="shared" si="1"/>
        <v>21:30:00</v>
      </c>
      <c r="H1422" s="10">
        <f>IFERROR(__xludf.DUMMYFUNCTION("SPLIT(D1422,""T"")"),41438.0)</f>
        <v>41438</v>
      </c>
      <c r="I1422" s="4" t="str">
        <f>IFERROR(__xludf.DUMMYFUNCTION("""COMPUTED_VALUE"""),"11:54:00Z")</f>
        <v>11:54:00Z</v>
      </c>
      <c r="J1422" s="4" t="str">
        <f t="shared" si="2"/>
        <v>11:54:00</v>
      </c>
      <c r="K1422" s="4">
        <f t="shared" si="3"/>
        <v>0</v>
      </c>
      <c r="L1422" s="4">
        <f t="shared" si="4"/>
        <v>0.4</v>
      </c>
      <c r="M1422" s="4">
        <f t="shared" si="5"/>
        <v>0.4</v>
      </c>
    </row>
    <row r="1423">
      <c r="A1423" s="4" t="s">
        <v>313</v>
      </c>
      <c r="B1423" s="4" t="s">
        <v>505</v>
      </c>
      <c r="C1423" s="4" t="s">
        <v>506</v>
      </c>
      <c r="D1423" s="4" t="s">
        <v>507</v>
      </c>
      <c r="E1423" s="10">
        <f>IFERROR(__xludf.DUMMYFUNCTION("SPLIT(B1423,""T"")"),41638.0)</f>
        <v>41638</v>
      </c>
      <c r="F1423" s="4" t="str">
        <f>IFERROR(__xludf.DUMMYFUNCTION("""COMPUTED_VALUE"""),"20:30:00Z")</f>
        <v>20:30:00Z</v>
      </c>
      <c r="G1423" s="11" t="str">
        <f t="shared" si="1"/>
        <v>20:30:00</v>
      </c>
      <c r="H1423" s="10">
        <f>IFERROR(__xludf.DUMMYFUNCTION("SPLIT(D1423,""T"")"),41638.0)</f>
        <v>41638</v>
      </c>
      <c r="I1423" s="4" t="str">
        <f>IFERROR(__xludf.DUMMYFUNCTION("""COMPUTED_VALUE"""),"11:00:00Z")</f>
        <v>11:00:00Z</v>
      </c>
      <c r="J1423" s="4" t="str">
        <f t="shared" si="2"/>
        <v>11:00:00</v>
      </c>
      <c r="K1423" s="4">
        <f t="shared" si="3"/>
        <v>0</v>
      </c>
      <c r="L1423" s="4">
        <f t="shared" si="4"/>
        <v>0.3958333333</v>
      </c>
      <c r="M1423" s="4">
        <f t="shared" si="5"/>
        <v>0.3958333333</v>
      </c>
    </row>
    <row r="1424">
      <c r="A1424" s="4" t="s">
        <v>156</v>
      </c>
      <c r="B1424" s="4" t="s">
        <v>541</v>
      </c>
      <c r="C1424" s="4" t="s">
        <v>542</v>
      </c>
      <c r="D1424" s="4" t="s">
        <v>543</v>
      </c>
      <c r="E1424" s="10">
        <f>IFERROR(__xludf.DUMMYFUNCTION("SPLIT(B1424,""T"")"),41848.0)</f>
        <v>41848</v>
      </c>
      <c r="F1424" s="4" t="str">
        <f>IFERROR(__xludf.DUMMYFUNCTION("""COMPUTED_VALUE"""),"14:30:00Z")</f>
        <v>14:30:00Z</v>
      </c>
      <c r="G1424" s="11" t="str">
        <f t="shared" si="1"/>
        <v>14:30:00</v>
      </c>
      <c r="H1424" s="10">
        <f>IFERROR(__xludf.DUMMYFUNCTION("SPLIT(D1424,""T"")"),41848.0)</f>
        <v>41848</v>
      </c>
      <c r="I1424" s="4" t="str">
        <f>IFERROR(__xludf.DUMMYFUNCTION("""COMPUTED_VALUE"""),"05:45:00Z")</f>
        <v>05:45:00Z</v>
      </c>
      <c r="J1424" s="4" t="str">
        <f t="shared" si="2"/>
        <v>05:45:00</v>
      </c>
      <c r="K1424" s="4">
        <f t="shared" si="3"/>
        <v>0</v>
      </c>
      <c r="L1424" s="4">
        <f t="shared" si="4"/>
        <v>0.3645833333</v>
      </c>
      <c r="M1424" s="4">
        <f t="shared" si="5"/>
        <v>0.3645833333</v>
      </c>
    </row>
    <row r="1425">
      <c r="A1425" s="4" t="s">
        <v>149</v>
      </c>
      <c r="B1425" s="4" t="s">
        <v>338</v>
      </c>
      <c r="C1425" s="4" t="s">
        <v>339</v>
      </c>
      <c r="D1425" s="4" t="s">
        <v>340</v>
      </c>
      <c r="E1425" s="10">
        <f>IFERROR(__xludf.DUMMYFUNCTION("SPLIT(B1425,""T"")"),41462.0)</f>
        <v>41462</v>
      </c>
      <c r="F1425" s="4" t="str">
        <f>IFERROR(__xludf.DUMMYFUNCTION("""COMPUTED_VALUE"""),"22:00:00Z")</f>
        <v>22:00:00Z</v>
      </c>
      <c r="G1425" s="11" t="str">
        <f t="shared" si="1"/>
        <v>22:00:00</v>
      </c>
      <c r="H1425" s="10">
        <f>IFERROR(__xludf.DUMMYFUNCTION("SPLIT(D1425,""T"")"),41462.0)</f>
        <v>41462</v>
      </c>
      <c r="I1425" s="4" t="str">
        <f>IFERROR(__xludf.DUMMYFUNCTION("""COMPUTED_VALUE"""),"13:16:00Z")</f>
        <v>13:16:00Z</v>
      </c>
      <c r="J1425" s="4" t="str">
        <f t="shared" si="2"/>
        <v>13:16:00</v>
      </c>
      <c r="K1425" s="4">
        <f t="shared" si="3"/>
        <v>0</v>
      </c>
      <c r="L1425" s="4">
        <f t="shared" si="4"/>
        <v>0.3638888889</v>
      </c>
      <c r="M1425" s="4">
        <f t="shared" si="5"/>
        <v>0.3638888889</v>
      </c>
    </row>
    <row r="1426">
      <c r="A1426" s="4" t="s">
        <v>114</v>
      </c>
      <c r="B1426" s="4" t="s">
        <v>3344</v>
      </c>
      <c r="C1426" s="4" t="s">
        <v>2541</v>
      </c>
      <c r="D1426" s="4" t="s">
        <v>3345</v>
      </c>
      <c r="E1426" s="10">
        <f>IFERROR(__xludf.DUMMYFUNCTION("SPLIT(B1426,""T"")"),43642.0)</f>
        <v>43642</v>
      </c>
      <c r="F1426" s="4" t="str">
        <f>IFERROR(__xludf.DUMMYFUNCTION("""COMPUTED_VALUE"""),"18:02:00Z")</f>
        <v>18:02:00Z</v>
      </c>
      <c r="G1426" s="11" t="str">
        <f t="shared" si="1"/>
        <v>18:02:00</v>
      </c>
      <c r="H1426" s="10">
        <f>IFERROR(__xludf.DUMMYFUNCTION("SPLIT(D1426,""T"")"),43642.0)</f>
        <v>43642</v>
      </c>
      <c r="I1426" s="4" t="str">
        <f>IFERROR(__xludf.DUMMYFUNCTION("""COMPUTED_VALUE"""),"09:18:22Z")</f>
        <v>09:18:22Z</v>
      </c>
      <c r="J1426" s="4" t="str">
        <f t="shared" si="2"/>
        <v>09:18:22</v>
      </c>
      <c r="K1426" s="4">
        <f t="shared" si="3"/>
        <v>0</v>
      </c>
      <c r="L1426" s="4">
        <f t="shared" si="4"/>
        <v>0.3636342593</v>
      </c>
      <c r="M1426" s="4">
        <f t="shared" si="5"/>
        <v>0.3636342593</v>
      </c>
    </row>
    <row r="1427">
      <c r="A1427" s="4" t="s">
        <v>87</v>
      </c>
      <c r="B1427" s="4" t="s">
        <v>267</v>
      </c>
      <c r="C1427" s="4" t="s">
        <v>268</v>
      </c>
      <c r="D1427" s="4" t="s">
        <v>269</v>
      </c>
      <c r="E1427" s="10">
        <f>IFERROR(__xludf.DUMMYFUNCTION("SPLIT(B1427,""T"")"),41416.0)</f>
        <v>41416</v>
      </c>
      <c r="F1427" s="4" t="str">
        <f>IFERROR(__xludf.DUMMYFUNCTION("""COMPUTED_VALUE"""),"09:30:00Z")</f>
        <v>09:30:00Z</v>
      </c>
      <c r="G1427" s="11" t="str">
        <f t="shared" si="1"/>
        <v>09:30:00</v>
      </c>
      <c r="H1427" s="10">
        <f>IFERROR(__xludf.DUMMYFUNCTION("SPLIT(D1427,""T"")"),41416.0)</f>
        <v>41416</v>
      </c>
      <c r="I1427" s="4" t="str">
        <f>IFERROR(__xludf.DUMMYFUNCTION("""COMPUTED_VALUE"""),"00:56:00Z")</f>
        <v>00:56:00Z</v>
      </c>
      <c r="J1427" s="4" t="str">
        <f t="shared" si="2"/>
        <v>00:56:00</v>
      </c>
      <c r="K1427" s="4">
        <f t="shared" si="3"/>
        <v>0</v>
      </c>
      <c r="L1427" s="4">
        <f t="shared" si="4"/>
        <v>0.3569444444</v>
      </c>
      <c r="M1427" s="4">
        <f t="shared" si="5"/>
        <v>0.3569444444</v>
      </c>
    </row>
    <row r="1428">
      <c r="A1428" s="4" t="s">
        <v>1412</v>
      </c>
      <c r="B1428" s="4" t="s">
        <v>1413</v>
      </c>
      <c r="C1428" s="4" t="s">
        <v>348</v>
      </c>
      <c r="D1428" s="4" t="s">
        <v>1414</v>
      </c>
      <c r="E1428" s="10">
        <f>IFERROR(__xludf.DUMMYFUNCTION("SPLIT(B1428,""T"")"),42633.0)</f>
        <v>42633</v>
      </c>
      <c r="F1428" s="4" t="str">
        <f>IFERROR(__xludf.DUMMYFUNCTION("""COMPUTED_VALUE"""),"18:00:00Z")</f>
        <v>18:00:00Z</v>
      </c>
      <c r="G1428" s="11" t="str">
        <f t="shared" si="1"/>
        <v>18:00:00</v>
      </c>
      <c r="H1428" s="10">
        <f>IFERROR(__xludf.DUMMYFUNCTION("SPLIT(D1428,""T"")"),42633.0)</f>
        <v>42633</v>
      </c>
      <c r="I1428" s="4" t="str">
        <f>IFERROR(__xludf.DUMMYFUNCTION("""COMPUTED_VALUE"""),"09:30:00Z")</f>
        <v>09:30:00Z</v>
      </c>
      <c r="J1428" s="4" t="str">
        <f t="shared" si="2"/>
        <v>09:30:00</v>
      </c>
      <c r="K1428" s="4">
        <f t="shared" si="3"/>
        <v>0</v>
      </c>
      <c r="L1428" s="4">
        <f t="shared" si="4"/>
        <v>0.3541666667</v>
      </c>
      <c r="M1428" s="4">
        <f t="shared" si="5"/>
        <v>0.3541666667</v>
      </c>
    </row>
    <row r="1429">
      <c r="A1429" s="4" t="s">
        <v>23</v>
      </c>
      <c r="B1429" s="4" t="s">
        <v>1303</v>
      </c>
      <c r="C1429" s="4" t="s">
        <v>1304</v>
      </c>
      <c r="D1429" s="4" t="s">
        <v>1305</v>
      </c>
      <c r="E1429" s="10">
        <f>IFERROR(__xludf.DUMMYFUNCTION("SPLIT(B1429,""T"")"),42688.0)</f>
        <v>42688</v>
      </c>
      <c r="F1429" s="4" t="str">
        <f>IFERROR(__xludf.DUMMYFUNCTION("""COMPUTED_VALUE"""),"14:00:00Z")</f>
        <v>14:00:00Z</v>
      </c>
      <c r="G1429" s="11" t="str">
        <f t="shared" si="1"/>
        <v>14:00:00</v>
      </c>
      <c r="H1429" s="10">
        <f>IFERROR(__xludf.DUMMYFUNCTION("SPLIT(D1429,""T"")"),42688.0)</f>
        <v>42688</v>
      </c>
      <c r="I1429" s="4" t="str">
        <f>IFERROR(__xludf.DUMMYFUNCTION("""COMPUTED_VALUE"""),"05:45:00Z")</f>
        <v>05:45:00Z</v>
      </c>
      <c r="J1429" s="4" t="str">
        <f t="shared" si="2"/>
        <v>05:45:00</v>
      </c>
      <c r="K1429" s="4">
        <f t="shared" si="3"/>
        <v>0</v>
      </c>
      <c r="L1429" s="4">
        <f t="shared" si="4"/>
        <v>0.34375</v>
      </c>
      <c r="M1429" s="4">
        <f t="shared" si="5"/>
        <v>0.34375</v>
      </c>
    </row>
    <row r="1430">
      <c r="A1430" s="4" t="s">
        <v>62</v>
      </c>
      <c r="B1430" s="4" t="s">
        <v>493</v>
      </c>
      <c r="C1430" s="4" t="s">
        <v>494</v>
      </c>
      <c r="D1430" s="4" t="s">
        <v>495</v>
      </c>
      <c r="E1430" s="10">
        <f>IFERROR(__xludf.DUMMYFUNCTION("SPLIT(B1430,""T"")"),41483.0)</f>
        <v>41483</v>
      </c>
      <c r="F1430" s="4" t="str">
        <f>IFERROR(__xludf.DUMMYFUNCTION("""COMPUTED_VALUE"""),"17:50:00Z")</f>
        <v>17:50:00Z</v>
      </c>
      <c r="G1430" s="11" t="str">
        <f t="shared" si="1"/>
        <v>17:50:00</v>
      </c>
      <c r="H1430" s="10">
        <f>IFERROR(__xludf.DUMMYFUNCTION("SPLIT(D1430,""T"")"),41483.0)</f>
        <v>41483</v>
      </c>
      <c r="I1430" s="4" t="str">
        <f>IFERROR(__xludf.DUMMYFUNCTION("""COMPUTED_VALUE"""),"09:43:00Z")</f>
        <v>09:43:00Z</v>
      </c>
      <c r="J1430" s="4" t="str">
        <f t="shared" si="2"/>
        <v>09:43:00</v>
      </c>
      <c r="K1430" s="4">
        <f t="shared" si="3"/>
        <v>0</v>
      </c>
      <c r="L1430" s="4">
        <f t="shared" si="4"/>
        <v>0.3381944444</v>
      </c>
      <c r="M1430" s="4">
        <f t="shared" si="5"/>
        <v>0.3381944444</v>
      </c>
    </row>
    <row r="1431">
      <c r="A1431" s="4" t="s">
        <v>27</v>
      </c>
      <c r="B1431" s="4" t="s">
        <v>286</v>
      </c>
      <c r="C1431" s="4" t="s">
        <v>287</v>
      </c>
      <c r="D1431" s="4" t="s">
        <v>288</v>
      </c>
      <c r="E1431" s="10">
        <f>IFERROR(__xludf.DUMMYFUNCTION("SPLIT(B1431,""T"")"),41419.0)</f>
        <v>41419</v>
      </c>
      <c r="F1431" s="4" t="str">
        <f>IFERROR(__xludf.DUMMYFUNCTION("""COMPUTED_VALUE"""),"23:00:00Z")</f>
        <v>23:00:00Z</v>
      </c>
      <c r="G1431" s="11" t="str">
        <f t="shared" si="1"/>
        <v>23:00:00</v>
      </c>
      <c r="H1431" s="10">
        <f>IFERROR(__xludf.DUMMYFUNCTION("SPLIT(D1431,""T"")"),41419.0)</f>
        <v>41419</v>
      </c>
      <c r="I1431" s="4" t="str">
        <f>IFERROR(__xludf.DUMMYFUNCTION("""COMPUTED_VALUE"""),"14:59:00Z")</f>
        <v>14:59:00Z</v>
      </c>
      <c r="J1431" s="4" t="str">
        <f t="shared" si="2"/>
        <v>14:59:00</v>
      </c>
      <c r="K1431" s="4">
        <f t="shared" si="3"/>
        <v>0</v>
      </c>
      <c r="L1431" s="4">
        <f t="shared" si="4"/>
        <v>0.3340277778</v>
      </c>
      <c r="M1431" s="4">
        <f t="shared" si="5"/>
        <v>0.3340277778</v>
      </c>
    </row>
    <row r="1432">
      <c r="A1432" s="4" t="s">
        <v>27</v>
      </c>
      <c r="B1432" s="4" t="s">
        <v>721</v>
      </c>
      <c r="C1432" s="4" t="s">
        <v>722</v>
      </c>
      <c r="D1432" s="4" t="s">
        <v>723</v>
      </c>
      <c r="E1432" s="10">
        <f>IFERROR(__xludf.DUMMYFUNCTION("SPLIT(B1432,""T"")"),41883.0)</f>
        <v>41883</v>
      </c>
      <c r="F1432" s="4" t="str">
        <f>IFERROR(__xludf.DUMMYFUNCTION("""COMPUTED_VALUE"""),"22:00:00Z")</f>
        <v>22:00:00Z</v>
      </c>
      <c r="G1432" s="11" t="str">
        <f t="shared" si="1"/>
        <v>22:00:00</v>
      </c>
      <c r="H1432" s="10">
        <f>IFERROR(__xludf.DUMMYFUNCTION("SPLIT(D1432,""T"")"),41883.0)</f>
        <v>41883</v>
      </c>
      <c r="I1432" s="4" t="str">
        <f>IFERROR(__xludf.DUMMYFUNCTION("""COMPUTED_VALUE"""),"14:03:00Z")</f>
        <v>14:03:00Z</v>
      </c>
      <c r="J1432" s="4" t="str">
        <f t="shared" si="2"/>
        <v>14:03:00</v>
      </c>
      <c r="K1432" s="4">
        <f t="shared" si="3"/>
        <v>0</v>
      </c>
      <c r="L1432" s="4">
        <f t="shared" si="4"/>
        <v>0.33125</v>
      </c>
      <c r="M1432" s="4">
        <f t="shared" si="5"/>
        <v>0.33125</v>
      </c>
    </row>
    <row r="1433">
      <c r="A1433" s="4" t="s">
        <v>69</v>
      </c>
      <c r="B1433" s="4" t="s">
        <v>1479</v>
      </c>
      <c r="C1433" s="4" t="s">
        <v>1480</v>
      </c>
      <c r="D1433" s="4" t="s">
        <v>1481</v>
      </c>
      <c r="E1433" s="10">
        <f>IFERROR(__xludf.DUMMYFUNCTION("SPLIT(B1433,""T"")"),42567.0)</f>
        <v>42567</v>
      </c>
      <c r="F1433" s="4" t="str">
        <f>IFERROR(__xludf.DUMMYFUNCTION("""COMPUTED_VALUE"""),"07:40:00Z")</f>
        <v>07:40:00Z</v>
      </c>
      <c r="G1433" s="11" t="str">
        <f t="shared" si="1"/>
        <v>07:40:00</v>
      </c>
      <c r="H1433" s="10">
        <f>IFERROR(__xludf.DUMMYFUNCTION("SPLIT(D1433,""T"")"),42566.0)</f>
        <v>42566</v>
      </c>
      <c r="I1433" s="4" t="str">
        <f>IFERROR(__xludf.DUMMYFUNCTION("""COMPUTED_VALUE"""),"23:55:00Z")</f>
        <v>23:55:00Z</v>
      </c>
      <c r="J1433" s="4" t="str">
        <f t="shared" si="2"/>
        <v>23:55:00</v>
      </c>
      <c r="K1433" s="4">
        <f t="shared" si="3"/>
        <v>1</v>
      </c>
      <c r="L1433" s="4">
        <f t="shared" si="4"/>
        <v>-0.6770833333</v>
      </c>
      <c r="M1433" s="4">
        <f t="shared" si="5"/>
        <v>0.3229166667</v>
      </c>
    </row>
    <row r="1434">
      <c r="A1434" s="4" t="s">
        <v>367</v>
      </c>
      <c r="B1434" s="4" t="s">
        <v>368</v>
      </c>
      <c r="C1434" s="4" t="s">
        <v>369</v>
      </c>
      <c r="D1434" s="4" t="s">
        <v>370</v>
      </c>
      <c r="E1434" s="10">
        <f>IFERROR(__xludf.DUMMYFUNCTION("SPLIT(B1434,""T"")"),41463.0)</f>
        <v>41463</v>
      </c>
      <c r="F1434" s="4" t="str">
        <f>IFERROR(__xludf.DUMMYFUNCTION("""COMPUTED_VALUE"""),"17:30:00Z")</f>
        <v>17:30:00Z</v>
      </c>
      <c r="G1434" s="11" t="str">
        <f t="shared" si="1"/>
        <v>17:30:00</v>
      </c>
      <c r="H1434" s="10">
        <f>IFERROR(__xludf.DUMMYFUNCTION("SPLIT(D1434,""T"")"),41463.0)</f>
        <v>41463</v>
      </c>
      <c r="I1434" s="4" t="str">
        <f>IFERROR(__xludf.DUMMYFUNCTION("""COMPUTED_VALUE"""),"09:59:00Z")</f>
        <v>09:59:00Z</v>
      </c>
      <c r="J1434" s="4" t="str">
        <f t="shared" si="2"/>
        <v>09:59:00</v>
      </c>
      <c r="K1434" s="4">
        <f t="shared" si="3"/>
        <v>0</v>
      </c>
      <c r="L1434" s="4">
        <f t="shared" si="4"/>
        <v>0.3131944444</v>
      </c>
      <c r="M1434" s="4">
        <f t="shared" si="5"/>
        <v>0.3131944444</v>
      </c>
    </row>
    <row r="1435">
      <c r="A1435" s="4" t="s">
        <v>27</v>
      </c>
      <c r="B1435" s="4" t="s">
        <v>442</v>
      </c>
      <c r="C1435" s="4" t="s">
        <v>443</v>
      </c>
      <c r="D1435" s="4" t="s">
        <v>444</v>
      </c>
      <c r="E1435" s="10">
        <f>IFERROR(__xludf.DUMMYFUNCTION("SPLIT(B1435,""T"")"),41502.0)</f>
        <v>41502</v>
      </c>
      <c r="F1435" s="4" t="str">
        <f>IFERROR(__xludf.DUMMYFUNCTION("""COMPUTED_VALUE"""),"21:00:00Z")</f>
        <v>21:00:00Z</v>
      </c>
      <c r="G1435" s="11" t="str">
        <f t="shared" si="1"/>
        <v>21:00:00</v>
      </c>
      <c r="H1435" s="10">
        <f>IFERROR(__xludf.DUMMYFUNCTION("SPLIT(D1435,""T"")"),41502.0)</f>
        <v>41502</v>
      </c>
      <c r="I1435" s="4" t="str">
        <f>IFERROR(__xludf.DUMMYFUNCTION("""COMPUTED_VALUE"""),"13:31:00Z")</f>
        <v>13:31:00Z</v>
      </c>
      <c r="J1435" s="4" t="str">
        <f t="shared" si="2"/>
        <v>13:31:00</v>
      </c>
      <c r="K1435" s="4">
        <f t="shared" si="3"/>
        <v>0</v>
      </c>
      <c r="L1435" s="4">
        <f t="shared" si="4"/>
        <v>0.3118055556</v>
      </c>
      <c r="M1435" s="4">
        <f t="shared" si="5"/>
        <v>0.3118055556</v>
      </c>
    </row>
    <row r="1436">
      <c r="A1436" s="4" t="s">
        <v>313</v>
      </c>
      <c r="B1436" s="4" t="s">
        <v>341</v>
      </c>
      <c r="C1436" s="4" t="s">
        <v>342</v>
      </c>
      <c r="D1436" s="4" t="s">
        <v>343</v>
      </c>
      <c r="E1436" s="10">
        <f>IFERROR(__xludf.DUMMYFUNCTION("SPLIT(B1436,""T"")"),41600.0)</f>
        <v>41600</v>
      </c>
      <c r="F1436" s="4" t="str">
        <f>IFERROR(__xludf.DUMMYFUNCTION("""COMPUTED_VALUE"""),"17:30:00Z")</f>
        <v>17:30:00Z</v>
      </c>
      <c r="G1436" s="11" t="str">
        <f t="shared" si="1"/>
        <v>17:30:00</v>
      </c>
      <c r="H1436" s="10">
        <f>IFERROR(__xludf.DUMMYFUNCTION("SPLIT(D1436,""T"")"),41600.0)</f>
        <v>41600</v>
      </c>
      <c r="I1436" s="4" t="str">
        <f>IFERROR(__xludf.DUMMYFUNCTION("""COMPUTED_VALUE"""),"10:06:00Z")</f>
        <v>10:06:00Z</v>
      </c>
      <c r="J1436" s="4" t="str">
        <f t="shared" si="2"/>
        <v>10:06:00</v>
      </c>
      <c r="K1436" s="4">
        <f t="shared" si="3"/>
        <v>0</v>
      </c>
      <c r="L1436" s="4">
        <f t="shared" si="4"/>
        <v>0.3083333333</v>
      </c>
      <c r="M1436" s="4">
        <f t="shared" si="5"/>
        <v>0.3083333333</v>
      </c>
    </row>
    <row r="1437">
      <c r="A1437" s="4" t="s">
        <v>87</v>
      </c>
      <c r="B1437" s="4" t="s">
        <v>1103</v>
      </c>
      <c r="C1437" s="4" t="s">
        <v>1104</v>
      </c>
      <c r="D1437" s="4" t="s">
        <v>1105</v>
      </c>
      <c r="E1437" s="10">
        <f>IFERROR(__xludf.DUMMYFUNCTION("SPLIT(B1437,""T"")"),42186.0)</f>
        <v>42186</v>
      </c>
      <c r="F1437" s="4" t="str">
        <f>IFERROR(__xludf.DUMMYFUNCTION("""COMPUTED_VALUE"""),"20:20:00Z")</f>
        <v>20:20:00Z</v>
      </c>
      <c r="G1437" s="11" t="str">
        <f t="shared" si="1"/>
        <v>20:20:00</v>
      </c>
      <c r="H1437" s="10">
        <f>IFERROR(__xludf.DUMMYFUNCTION("SPLIT(D1437,""T"")"),42186.0)</f>
        <v>42186</v>
      </c>
      <c r="I1437" s="4" t="str">
        <f>IFERROR(__xludf.DUMMYFUNCTION("""COMPUTED_VALUE"""),"13:05:00Z")</f>
        <v>13:05:00Z</v>
      </c>
      <c r="J1437" s="4" t="str">
        <f t="shared" si="2"/>
        <v>13:05:00</v>
      </c>
      <c r="K1437" s="4">
        <f t="shared" si="3"/>
        <v>0</v>
      </c>
      <c r="L1437" s="4">
        <f t="shared" si="4"/>
        <v>0.3020833333</v>
      </c>
      <c r="M1437" s="4">
        <f t="shared" si="5"/>
        <v>0.3020833333</v>
      </c>
    </row>
    <row r="1438">
      <c r="A1438" s="4" t="s">
        <v>278</v>
      </c>
      <c r="B1438" s="4" t="s">
        <v>279</v>
      </c>
      <c r="C1438" s="4" t="s">
        <v>280</v>
      </c>
      <c r="D1438" s="4" t="s">
        <v>281</v>
      </c>
      <c r="E1438" s="10">
        <f>IFERROR(__xludf.DUMMYFUNCTION("SPLIT(B1438,""T"")"),41443.0)</f>
        <v>41443</v>
      </c>
      <c r="F1438" s="4" t="str">
        <f>IFERROR(__xludf.DUMMYFUNCTION("""COMPUTED_VALUE"""),"22:30:00Z")</f>
        <v>22:30:00Z</v>
      </c>
      <c r="G1438" s="11" t="str">
        <f t="shared" si="1"/>
        <v>22:30:00</v>
      </c>
      <c r="H1438" s="10">
        <f>IFERROR(__xludf.DUMMYFUNCTION("SPLIT(D1438,""T"")"),41443.0)</f>
        <v>41443</v>
      </c>
      <c r="I1438" s="4" t="str">
        <f>IFERROR(__xludf.DUMMYFUNCTION("""COMPUTED_VALUE"""),"15:18:00Z")</f>
        <v>15:18:00Z</v>
      </c>
      <c r="J1438" s="4" t="str">
        <f t="shared" si="2"/>
        <v>15:18:00</v>
      </c>
      <c r="K1438" s="4">
        <f t="shared" si="3"/>
        <v>0</v>
      </c>
      <c r="L1438" s="4">
        <f t="shared" si="4"/>
        <v>0.3</v>
      </c>
      <c r="M1438" s="4">
        <f t="shared" si="5"/>
        <v>0.3</v>
      </c>
    </row>
    <row r="1439">
      <c r="A1439" s="4" t="s">
        <v>401</v>
      </c>
      <c r="B1439" s="4" t="s">
        <v>3682</v>
      </c>
      <c r="C1439" s="4" t="s">
        <v>3683</v>
      </c>
      <c r="D1439" s="4" t="s">
        <v>3684</v>
      </c>
      <c r="E1439" s="10">
        <f>IFERROR(__xludf.DUMMYFUNCTION("SPLIT(B1439,""T"")"),43661.0)</f>
        <v>43661</v>
      </c>
      <c r="F1439" s="4" t="str">
        <f>IFERROR(__xludf.DUMMYFUNCTION("""COMPUTED_VALUE"""),"18:19:00Z")</f>
        <v>18:19:00Z</v>
      </c>
      <c r="G1439" s="11" t="str">
        <f t="shared" si="1"/>
        <v>18:19:00</v>
      </c>
      <c r="H1439" s="10">
        <f>IFERROR(__xludf.DUMMYFUNCTION("SPLIT(D1439,""T"")"),43661.0)</f>
        <v>43661</v>
      </c>
      <c r="I1439" s="4" t="str">
        <f>IFERROR(__xludf.DUMMYFUNCTION("""COMPUTED_VALUE"""),"11:12:00Z")</f>
        <v>11:12:00Z</v>
      </c>
      <c r="J1439" s="4" t="str">
        <f t="shared" si="2"/>
        <v>11:12:00</v>
      </c>
      <c r="K1439" s="4">
        <f t="shared" si="3"/>
        <v>0</v>
      </c>
      <c r="L1439" s="4">
        <f t="shared" si="4"/>
        <v>0.2965277778</v>
      </c>
      <c r="M1439" s="4">
        <f t="shared" si="5"/>
        <v>0.2965277778</v>
      </c>
    </row>
    <row r="1440">
      <c r="A1440" s="4" t="s">
        <v>179</v>
      </c>
      <c r="B1440" s="4" t="s">
        <v>1044</v>
      </c>
      <c r="C1440" s="4" t="s">
        <v>1045</v>
      </c>
      <c r="D1440" s="4" t="s">
        <v>1046</v>
      </c>
      <c r="E1440" s="10">
        <f>IFERROR(__xludf.DUMMYFUNCTION("SPLIT(B1440,""T"")"),42173.0)</f>
        <v>42173</v>
      </c>
      <c r="F1440" s="4" t="str">
        <f>IFERROR(__xludf.DUMMYFUNCTION("""COMPUTED_VALUE"""),"21:15:00Z")</f>
        <v>21:15:00Z</v>
      </c>
      <c r="G1440" s="11" t="str">
        <f t="shared" si="1"/>
        <v>21:15:00</v>
      </c>
      <c r="H1440" s="10">
        <f>IFERROR(__xludf.DUMMYFUNCTION("SPLIT(D1440,""T"")"),42173.0)</f>
        <v>42173</v>
      </c>
      <c r="I1440" s="4" t="str">
        <f>IFERROR(__xludf.DUMMYFUNCTION("""COMPUTED_VALUE"""),"14:09:00Z")</f>
        <v>14:09:00Z</v>
      </c>
      <c r="J1440" s="4" t="str">
        <f t="shared" si="2"/>
        <v>14:09:00</v>
      </c>
      <c r="K1440" s="4">
        <f t="shared" si="3"/>
        <v>0</v>
      </c>
      <c r="L1440" s="4">
        <f t="shared" si="4"/>
        <v>0.2958333333</v>
      </c>
      <c r="M1440" s="4">
        <f t="shared" si="5"/>
        <v>0.2958333333</v>
      </c>
    </row>
    <row r="1441">
      <c r="A1441" s="4" t="s">
        <v>170</v>
      </c>
      <c r="B1441" s="4" t="s">
        <v>171</v>
      </c>
      <c r="C1441" s="4" t="s">
        <v>172</v>
      </c>
      <c r="D1441" s="4" t="s">
        <v>173</v>
      </c>
      <c r="E1441" s="10">
        <f>IFERROR(__xludf.DUMMYFUNCTION("SPLIT(B1441,""T"")"),41397.0)</f>
        <v>41397</v>
      </c>
      <c r="F1441" s="4" t="str">
        <f>IFERROR(__xludf.DUMMYFUNCTION("""COMPUTED_VALUE"""),"18:45:00Z")</f>
        <v>18:45:00Z</v>
      </c>
      <c r="G1441" s="11" t="str">
        <f t="shared" si="1"/>
        <v>18:45:00</v>
      </c>
      <c r="H1441" s="10">
        <f>IFERROR(__xludf.DUMMYFUNCTION("SPLIT(D1441,""T"")"),41397.0)</f>
        <v>41397</v>
      </c>
      <c r="I1441" s="4" t="str">
        <f>IFERROR(__xludf.DUMMYFUNCTION("""COMPUTED_VALUE"""),"11:42:00Z")</f>
        <v>11:42:00Z</v>
      </c>
      <c r="J1441" s="4" t="str">
        <f t="shared" si="2"/>
        <v>11:42:00</v>
      </c>
      <c r="K1441" s="4">
        <f t="shared" si="3"/>
        <v>0</v>
      </c>
      <c r="L1441" s="4">
        <f t="shared" si="4"/>
        <v>0.29375</v>
      </c>
      <c r="M1441" s="4">
        <f t="shared" si="5"/>
        <v>0.29375</v>
      </c>
    </row>
    <row r="1442">
      <c r="A1442" s="4" t="s">
        <v>50</v>
      </c>
      <c r="B1442" s="4" t="s">
        <v>514</v>
      </c>
      <c r="C1442" s="4" t="s">
        <v>515</v>
      </c>
      <c r="D1442" s="4" t="s">
        <v>516</v>
      </c>
      <c r="E1442" s="10">
        <f>IFERROR(__xludf.DUMMYFUNCTION("SPLIT(B1442,""T"")"),41489.0)</f>
        <v>41489</v>
      </c>
      <c r="F1442" s="4" t="str">
        <f>IFERROR(__xludf.DUMMYFUNCTION("""COMPUTED_VALUE"""),"15:00:00Z")</f>
        <v>15:00:00Z</v>
      </c>
      <c r="G1442" s="11" t="str">
        <f t="shared" si="1"/>
        <v>15:00:00</v>
      </c>
      <c r="H1442" s="10">
        <f>IFERROR(__xludf.DUMMYFUNCTION("SPLIT(D1442,""T"")"),41489.0)</f>
        <v>41489</v>
      </c>
      <c r="I1442" s="4" t="str">
        <f>IFERROR(__xludf.DUMMYFUNCTION("""COMPUTED_VALUE"""),"08:00:00Z")</f>
        <v>08:00:00Z</v>
      </c>
      <c r="J1442" s="4" t="str">
        <f t="shared" si="2"/>
        <v>08:00:00</v>
      </c>
      <c r="K1442" s="4">
        <f t="shared" si="3"/>
        <v>0</v>
      </c>
      <c r="L1442" s="4">
        <f t="shared" si="4"/>
        <v>0.2916666667</v>
      </c>
      <c r="M1442" s="4">
        <f t="shared" si="5"/>
        <v>0.2916666667</v>
      </c>
    </row>
    <row r="1443">
      <c r="A1443" s="4" t="s">
        <v>39</v>
      </c>
      <c r="B1443" s="4" t="s">
        <v>1415</v>
      </c>
      <c r="C1443" s="4" t="s">
        <v>1416</v>
      </c>
      <c r="D1443" s="4" t="s">
        <v>1417</v>
      </c>
      <c r="E1443" s="10">
        <f>IFERROR(__xludf.DUMMYFUNCTION("SPLIT(B1443,""T"")"),42515.0)</f>
        <v>42515</v>
      </c>
      <c r="F1443" s="4" t="str">
        <f>IFERROR(__xludf.DUMMYFUNCTION("""COMPUTED_VALUE"""),"08:00:00Z")</f>
        <v>08:00:00Z</v>
      </c>
      <c r="G1443" s="11" t="str">
        <f t="shared" si="1"/>
        <v>08:00:00</v>
      </c>
      <c r="H1443" s="10">
        <f>IFERROR(__xludf.DUMMYFUNCTION("SPLIT(D1443,""T"")"),42515.0)</f>
        <v>42515</v>
      </c>
      <c r="I1443" s="4" t="str">
        <f>IFERROR(__xludf.DUMMYFUNCTION("""COMPUTED_VALUE"""),"01:03:00Z")</f>
        <v>01:03:00Z</v>
      </c>
      <c r="J1443" s="4" t="str">
        <f t="shared" si="2"/>
        <v>01:03:00</v>
      </c>
      <c r="K1443" s="4">
        <f t="shared" si="3"/>
        <v>0</v>
      </c>
      <c r="L1443" s="4">
        <f t="shared" si="4"/>
        <v>0.2895833333</v>
      </c>
      <c r="M1443" s="4">
        <f t="shared" si="5"/>
        <v>0.2895833333</v>
      </c>
    </row>
    <row r="1444">
      <c r="A1444" s="4" t="s">
        <v>388</v>
      </c>
      <c r="B1444" s="4" t="s">
        <v>389</v>
      </c>
      <c r="C1444" s="4" t="s">
        <v>390</v>
      </c>
      <c r="D1444" s="4" t="s">
        <v>391</v>
      </c>
      <c r="E1444" s="10">
        <f>IFERROR(__xludf.DUMMYFUNCTION("SPLIT(B1444,""T"")"),41517.0)</f>
        <v>41517</v>
      </c>
      <c r="F1444" s="4" t="str">
        <f>IFERROR(__xludf.DUMMYFUNCTION("""COMPUTED_VALUE"""),"21:30:00Z")</f>
        <v>21:30:00Z</v>
      </c>
      <c r="G1444" s="11" t="str">
        <f t="shared" si="1"/>
        <v>21:30:00</v>
      </c>
      <c r="H1444" s="10">
        <f>IFERROR(__xludf.DUMMYFUNCTION("SPLIT(D1444,""T"")"),41517.0)</f>
        <v>41517</v>
      </c>
      <c r="I1444" s="4" t="str">
        <f>IFERROR(__xludf.DUMMYFUNCTION("""COMPUTED_VALUE"""),"14:42:00Z")</f>
        <v>14:42:00Z</v>
      </c>
      <c r="J1444" s="4" t="str">
        <f t="shared" si="2"/>
        <v>14:42:00</v>
      </c>
      <c r="K1444" s="4">
        <f t="shared" si="3"/>
        <v>0</v>
      </c>
      <c r="L1444" s="4">
        <f t="shared" si="4"/>
        <v>0.2833333333</v>
      </c>
      <c r="M1444" s="4">
        <f t="shared" si="5"/>
        <v>0.2833333333</v>
      </c>
    </row>
    <row r="1445">
      <c r="A1445" s="4" t="s">
        <v>46</v>
      </c>
      <c r="B1445" s="4" t="s">
        <v>1133</v>
      </c>
      <c r="C1445" s="4" t="s">
        <v>1134</v>
      </c>
      <c r="D1445" s="4" t="s">
        <v>1135</v>
      </c>
      <c r="E1445" s="10">
        <f>IFERROR(__xludf.DUMMYFUNCTION("SPLIT(B1445,""T"")"),42287.0)</f>
        <v>42287</v>
      </c>
      <c r="F1445" s="4" t="str">
        <f>IFERROR(__xludf.DUMMYFUNCTION("""COMPUTED_VALUE"""),"18:45:00Z")</f>
        <v>18:45:00Z</v>
      </c>
      <c r="G1445" s="11" t="str">
        <f t="shared" si="1"/>
        <v>18:45:00</v>
      </c>
      <c r="H1445" s="10">
        <f>IFERROR(__xludf.DUMMYFUNCTION("SPLIT(D1445,""T"")"),42287.0)</f>
        <v>42287</v>
      </c>
      <c r="I1445" s="4" t="str">
        <f>IFERROR(__xludf.DUMMYFUNCTION("""COMPUTED_VALUE"""),"12:00:00Z")</f>
        <v>12:00:00Z</v>
      </c>
      <c r="J1445" s="4" t="str">
        <f t="shared" si="2"/>
        <v>12:00:00</v>
      </c>
      <c r="K1445" s="4">
        <f t="shared" si="3"/>
        <v>0</v>
      </c>
      <c r="L1445" s="4">
        <f t="shared" si="4"/>
        <v>0.28125</v>
      </c>
      <c r="M1445" s="4">
        <f t="shared" si="5"/>
        <v>0.28125</v>
      </c>
    </row>
    <row r="1446">
      <c r="A1446" s="4" t="s">
        <v>367</v>
      </c>
      <c r="B1446" s="4" t="s">
        <v>3629</v>
      </c>
      <c r="C1446" s="4" t="s">
        <v>1538</v>
      </c>
      <c r="D1446" s="4" t="s">
        <v>3630</v>
      </c>
      <c r="E1446" s="10">
        <f>IFERROR(__xludf.DUMMYFUNCTION("SPLIT(B1446,""T"")"),43640.0)</f>
        <v>43640</v>
      </c>
      <c r="F1446" s="4" t="str">
        <f>IFERROR(__xludf.DUMMYFUNCTION("""COMPUTED_VALUE"""),"18:30:00Z")</f>
        <v>18:30:00Z</v>
      </c>
      <c r="G1446" s="11" t="str">
        <f t="shared" si="1"/>
        <v>18:30:00</v>
      </c>
      <c r="H1446" s="10">
        <f>IFERROR(__xludf.DUMMYFUNCTION("SPLIT(D1446,""T"")"),43640.0)</f>
        <v>43640</v>
      </c>
      <c r="I1446" s="4" t="str">
        <f>IFERROR(__xludf.DUMMYFUNCTION("""COMPUTED_VALUE"""),"11:57:00Z")</f>
        <v>11:57:00Z</v>
      </c>
      <c r="J1446" s="4" t="str">
        <f t="shared" si="2"/>
        <v>11:57:00</v>
      </c>
      <c r="K1446" s="4">
        <f t="shared" si="3"/>
        <v>0</v>
      </c>
      <c r="L1446" s="4">
        <f t="shared" si="4"/>
        <v>0.2729166667</v>
      </c>
      <c r="M1446" s="4">
        <f t="shared" si="5"/>
        <v>0.2729166667</v>
      </c>
    </row>
    <row r="1447">
      <c r="A1447" s="4" t="s">
        <v>114</v>
      </c>
      <c r="B1447" s="4" t="s">
        <v>1702</v>
      </c>
      <c r="C1447" s="4" t="s">
        <v>1703</v>
      </c>
      <c r="D1447" s="4" t="s">
        <v>1704</v>
      </c>
      <c r="E1447" s="10">
        <f>IFERROR(__xludf.DUMMYFUNCTION("SPLIT(B1447,""T"")"),42502.0)</f>
        <v>42502</v>
      </c>
      <c r="F1447" s="4" t="str">
        <f>IFERROR(__xludf.DUMMYFUNCTION("""COMPUTED_VALUE"""),"20:45:00Z")</f>
        <v>20:45:00Z</v>
      </c>
      <c r="G1447" s="11" t="str">
        <f t="shared" si="1"/>
        <v>20:45:00</v>
      </c>
      <c r="H1447" s="10">
        <f>IFERROR(__xludf.DUMMYFUNCTION("SPLIT(D1447,""T"")"),42502.0)</f>
        <v>42502</v>
      </c>
      <c r="I1447" s="4" t="str">
        <f>IFERROR(__xludf.DUMMYFUNCTION("""COMPUTED_VALUE"""),"14:13:00Z")</f>
        <v>14:13:00Z</v>
      </c>
      <c r="J1447" s="4" t="str">
        <f t="shared" si="2"/>
        <v>14:13:00</v>
      </c>
      <c r="K1447" s="4">
        <f t="shared" si="3"/>
        <v>0</v>
      </c>
      <c r="L1447" s="4">
        <f t="shared" si="4"/>
        <v>0.2722222222</v>
      </c>
      <c r="M1447" s="4">
        <f t="shared" si="5"/>
        <v>0.2722222222</v>
      </c>
    </row>
    <row r="1448">
      <c r="A1448" s="4" t="s">
        <v>58</v>
      </c>
      <c r="B1448" s="4" t="s">
        <v>3804</v>
      </c>
      <c r="C1448" s="4" t="s">
        <v>1506</v>
      </c>
      <c r="D1448" s="4" t="s">
        <v>3805</v>
      </c>
      <c r="E1448" s="10">
        <f>IFERROR(__xludf.DUMMYFUNCTION("SPLIT(B1448,""T"")"),43732.0)</f>
        <v>43732</v>
      </c>
      <c r="F1448" s="4" t="str">
        <f>IFERROR(__xludf.DUMMYFUNCTION("""COMPUTED_VALUE"""),"14:52:00Z")</f>
        <v>14:52:00Z</v>
      </c>
      <c r="G1448" s="11" t="str">
        <f t="shared" si="1"/>
        <v>14:52:00</v>
      </c>
      <c r="H1448" s="10">
        <f>IFERROR(__xludf.DUMMYFUNCTION("SPLIT(D1448,""T"")"),43732.0)</f>
        <v>43732</v>
      </c>
      <c r="I1448" s="4" t="str">
        <f>IFERROR(__xludf.DUMMYFUNCTION("""COMPUTED_VALUE"""),"08:40:45Z")</f>
        <v>08:40:45Z</v>
      </c>
      <c r="J1448" s="4" t="str">
        <f t="shared" si="2"/>
        <v>08:40:45</v>
      </c>
      <c r="K1448" s="4">
        <f t="shared" si="3"/>
        <v>0</v>
      </c>
      <c r="L1448" s="4">
        <f t="shared" si="4"/>
        <v>0.2578125</v>
      </c>
      <c r="M1448" s="4">
        <f t="shared" si="5"/>
        <v>0.2578125</v>
      </c>
    </row>
    <row r="1449">
      <c r="A1449" s="4" t="s">
        <v>87</v>
      </c>
      <c r="B1449" s="4" t="s">
        <v>183</v>
      </c>
      <c r="C1449" s="4" t="s">
        <v>184</v>
      </c>
      <c r="D1449" s="4" t="s">
        <v>185</v>
      </c>
      <c r="E1449" s="10">
        <f>IFERROR(__xludf.DUMMYFUNCTION("SPLIT(B1449,""T"")"),41428.0)</f>
        <v>41428</v>
      </c>
      <c r="F1449" s="4" t="str">
        <f>IFERROR(__xludf.DUMMYFUNCTION("""COMPUTED_VALUE"""),"20:00:00Z")</f>
        <v>20:00:00Z</v>
      </c>
      <c r="G1449" s="11" t="str">
        <f t="shared" si="1"/>
        <v>20:00:00</v>
      </c>
      <c r="H1449" s="10">
        <f>IFERROR(__xludf.DUMMYFUNCTION("SPLIT(D1449,""T"")"),41428.0)</f>
        <v>41428</v>
      </c>
      <c r="I1449" s="4" t="str">
        <f>IFERROR(__xludf.DUMMYFUNCTION("""COMPUTED_VALUE"""),"13:49:00Z")</f>
        <v>13:49:00Z</v>
      </c>
      <c r="J1449" s="4" t="str">
        <f t="shared" si="2"/>
        <v>13:49:00</v>
      </c>
      <c r="K1449" s="4">
        <f t="shared" si="3"/>
        <v>0</v>
      </c>
      <c r="L1449" s="4">
        <f t="shared" si="4"/>
        <v>0.2576388889</v>
      </c>
      <c r="M1449" s="4">
        <f t="shared" si="5"/>
        <v>0.2576388889</v>
      </c>
    </row>
    <row r="1450">
      <c r="A1450" s="4" t="s">
        <v>62</v>
      </c>
      <c r="B1450" s="4" t="s">
        <v>1088</v>
      </c>
      <c r="C1450" s="4" t="s">
        <v>1089</v>
      </c>
      <c r="D1450" s="4" t="s">
        <v>1090</v>
      </c>
      <c r="E1450" s="10">
        <f>IFERROR(__xludf.DUMMYFUNCTION("SPLIT(B1450,""T"")"),42181.0)</f>
        <v>42181</v>
      </c>
      <c r="F1450" s="4" t="str">
        <f>IFERROR(__xludf.DUMMYFUNCTION("""COMPUTED_VALUE"""),"22:15:00Z")</f>
        <v>22:15:00Z</v>
      </c>
      <c r="G1450" s="11" t="str">
        <f t="shared" si="1"/>
        <v>22:15:00</v>
      </c>
      <c r="H1450" s="10">
        <f>IFERROR(__xludf.DUMMYFUNCTION("SPLIT(D1450,""T"")"),42181.0)</f>
        <v>42181</v>
      </c>
      <c r="I1450" s="4" t="str">
        <f>IFERROR(__xludf.DUMMYFUNCTION("""COMPUTED_VALUE"""),"16:06:00Z")</f>
        <v>16:06:00Z</v>
      </c>
      <c r="J1450" s="4" t="str">
        <f t="shared" si="2"/>
        <v>16:06:00</v>
      </c>
      <c r="K1450" s="4">
        <f t="shared" si="3"/>
        <v>0</v>
      </c>
      <c r="L1450" s="4">
        <f t="shared" si="4"/>
        <v>0.25625</v>
      </c>
      <c r="M1450" s="4">
        <f t="shared" si="5"/>
        <v>0.25625</v>
      </c>
    </row>
    <row r="1451" hidden="1">
      <c r="A1451" s="4" t="s">
        <v>62</v>
      </c>
      <c r="C1451" s="4" t="s">
        <v>2578</v>
      </c>
      <c r="D1451" s="4" t="s">
        <v>3501</v>
      </c>
      <c r="E1451" s="4" t="str">
        <f>IFERROR(__xludf.DUMMYFUNCTION("SPLIT(B1451,""T"")"),"#VALUE!")</f>
        <v>#VALUE!</v>
      </c>
    </row>
    <row r="1452">
      <c r="A1452" s="4" t="s">
        <v>114</v>
      </c>
      <c r="B1452" s="4" t="s">
        <v>219</v>
      </c>
      <c r="C1452" s="4" t="s">
        <v>220</v>
      </c>
      <c r="D1452" s="4" t="s">
        <v>221</v>
      </c>
      <c r="E1452" s="10">
        <f>IFERROR(__xludf.DUMMYFUNCTION("SPLIT(B1452,""T"")"),41472.0)</f>
        <v>41472</v>
      </c>
      <c r="F1452" s="4" t="str">
        <f>IFERROR(__xludf.DUMMYFUNCTION("""COMPUTED_VALUE"""),"19:30:00Z")</f>
        <v>19:30:00Z</v>
      </c>
      <c r="G1452" s="11" t="str">
        <f t="shared" ref="G1452:G1453" si="6">MID(F1452,1,LEN(F1452)-1)</f>
        <v>19:30:00</v>
      </c>
      <c r="H1452" s="10">
        <f>IFERROR(__xludf.DUMMYFUNCTION("SPLIT(D1452,""T"")"),41472.0)</f>
        <v>41472</v>
      </c>
      <c r="I1452" s="4" t="str">
        <f>IFERROR(__xludf.DUMMYFUNCTION("""COMPUTED_VALUE"""),"13:23:00Z")</f>
        <v>13:23:00Z</v>
      </c>
      <c r="J1452" s="4" t="str">
        <f t="shared" ref="J1452:J1453" si="7">MID(I1452,1,LEN(I1452)-1)</f>
        <v>13:23:00</v>
      </c>
      <c r="K1452" s="4">
        <f t="shared" ref="K1452:K1453" si="8">E1452-H1452</f>
        <v>0</v>
      </c>
      <c r="L1452" s="4">
        <f t="shared" ref="L1452:L1453" si="9">G1452-J1452</f>
        <v>0.2548611111</v>
      </c>
      <c r="M1452" s="4">
        <f t="shared" ref="M1452:M1453" si="10">K1452+L1452</f>
        <v>0.2548611111</v>
      </c>
    </row>
    <row r="1453">
      <c r="A1453" s="4" t="s">
        <v>429</v>
      </c>
      <c r="B1453" s="4" t="s">
        <v>430</v>
      </c>
      <c r="C1453" s="4" t="s">
        <v>431</v>
      </c>
      <c r="D1453" s="4" t="s">
        <v>432</v>
      </c>
      <c r="E1453" s="10">
        <f>IFERROR(__xludf.DUMMYFUNCTION("SPLIT(B1453,""T"")"),41524.0)</f>
        <v>41524</v>
      </c>
      <c r="F1453" s="4" t="str">
        <f>IFERROR(__xludf.DUMMYFUNCTION("""COMPUTED_VALUE"""),"20:00:00Z")</f>
        <v>20:00:00Z</v>
      </c>
      <c r="G1453" s="11" t="str">
        <f t="shared" si="6"/>
        <v>20:00:00</v>
      </c>
      <c r="H1453" s="10">
        <f>IFERROR(__xludf.DUMMYFUNCTION("SPLIT(D1453,""T"")"),41524.0)</f>
        <v>41524</v>
      </c>
      <c r="I1453" s="4" t="str">
        <f>IFERROR(__xludf.DUMMYFUNCTION("""COMPUTED_VALUE"""),"13:55:00Z")</f>
        <v>13:55:00Z</v>
      </c>
      <c r="J1453" s="4" t="str">
        <f t="shared" si="7"/>
        <v>13:55:00</v>
      </c>
      <c r="K1453" s="4">
        <f t="shared" si="8"/>
        <v>0</v>
      </c>
      <c r="L1453" s="4">
        <f t="shared" si="9"/>
        <v>0.2534722222</v>
      </c>
      <c r="M1453" s="4">
        <f t="shared" si="10"/>
        <v>0.2534722222</v>
      </c>
    </row>
    <row r="1454" hidden="1">
      <c r="A1454" s="4" t="s">
        <v>260</v>
      </c>
      <c r="C1454" s="4" t="s">
        <v>3011</v>
      </c>
      <c r="D1454" s="4" t="s">
        <v>3508</v>
      </c>
      <c r="E1454" s="4" t="str">
        <f>IFERROR(__xludf.DUMMYFUNCTION("SPLIT(B1454,""T"")"),"#VALUE!")</f>
        <v>#VALUE!</v>
      </c>
    </row>
    <row r="1455">
      <c r="A1455" s="4" t="s">
        <v>27</v>
      </c>
      <c r="B1455" s="4" t="s">
        <v>3854</v>
      </c>
      <c r="C1455" s="4" t="s">
        <v>2090</v>
      </c>
      <c r="D1455" s="4" t="s">
        <v>3855</v>
      </c>
      <c r="E1455" s="10">
        <f>IFERROR(__xludf.DUMMYFUNCTION("SPLIT(B1455,""T"")"),43748.0)</f>
        <v>43748</v>
      </c>
      <c r="F1455" s="4" t="str">
        <f>IFERROR(__xludf.DUMMYFUNCTION("""COMPUTED_VALUE"""),"18:11:00Z")</f>
        <v>18:11:00Z</v>
      </c>
      <c r="G1455" s="11" t="str">
        <f>MID(F1455,1,LEN(F1455)-1)</f>
        <v>18:11:00</v>
      </c>
      <c r="H1455" s="10">
        <f>IFERROR(__xludf.DUMMYFUNCTION("SPLIT(D1455,""T"")"),43748.0)</f>
        <v>43748</v>
      </c>
      <c r="I1455" s="4" t="str">
        <f>IFERROR(__xludf.DUMMYFUNCTION("""COMPUTED_VALUE"""),"12:08:00Z")</f>
        <v>12:08:00Z</v>
      </c>
      <c r="J1455" s="4" t="str">
        <f>MID(I1455,1,LEN(I1455)-1)</f>
        <v>12:08:00</v>
      </c>
      <c r="K1455" s="4">
        <f>E1455-H1455</f>
        <v>0</v>
      </c>
      <c r="L1455" s="4">
        <f>G1455-J1455</f>
        <v>0.2520833333</v>
      </c>
      <c r="M1455" s="4">
        <f>K1455+L1455</f>
        <v>0.2520833333</v>
      </c>
    </row>
    <row r="1456" hidden="1">
      <c r="A1456" s="4" t="s">
        <v>278</v>
      </c>
      <c r="C1456" s="4" t="s">
        <v>3512</v>
      </c>
      <c r="D1456" s="4" t="s">
        <v>3513</v>
      </c>
      <c r="E1456" s="4" t="str">
        <f>IFERROR(__xludf.DUMMYFUNCTION("SPLIT(B1456,""T"")"),"#VALUE!")</f>
        <v>#VALUE!</v>
      </c>
    </row>
    <row r="1457">
      <c r="A1457" s="4" t="s">
        <v>58</v>
      </c>
      <c r="B1457" s="4" t="s">
        <v>1505</v>
      </c>
      <c r="C1457" s="4" t="s">
        <v>1506</v>
      </c>
      <c r="D1457" s="4" t="s">
        <v>1507</v>
      </c>
      <c r="E1457" s="10">
        <f>IFERROR(__xludf.DUMMYFUNCTION("SPLIT(B1457,""T"")"),42638.0)</f>
        <v>42638</v>
      </c>
      <c r="F1457" s="4" t="str">
        <f>IFERROR(__xludf.DUMMYFUNCTION("""COMPUTED_VALUE"""),"13:15:00Z")</f>
        <v>13:15:00Z</v>
      </c>
      <c r="G1457" s="11" t="str">
        <f t="shared" ref="G1457:G1462" si="11">MID(F1457,1,LEN(F1457)-1)</f>
        <v>13:15:00</v>
      </c>
      <c r="H1457" s="10">
        <f>IFERROR(__xludf.DUMMYFUNCTION("SPLIT(D1457,""T"")"),42638.0)</f>
        <v>42638</v>
      </c>
      <c r="I1457" s="4" t="str">
        <f>IFERROR(__xludf.DUMMYFUNCTION("""COMPUTED_VALUE"""),"07:15:00Z")</f>
        <v>07:15:00Z</v>
      </c>
      <c r="J1457" s="4" t="str">
        <f t="shared" ref="J1457:J1462" si="12">MID(I1457,1,LEN(I1457)-1)</f>
        <v>07:15:00</v>
      </c>
      <c r="K1457" s="4">
        <f t="shared" ref="K1457:K1462" si="13">E1457-H1457</f>
        <v>0</v>
      </c>
      <c r="L1457" s="4">
        <f t="shared" ref="L1457:L1462" si="14">G1457-J1457</f>
        <v>0.25</v>
      </c>
      <c r="M1457" s="4">
        <f t="shared" ref="M1457:M1462" si="15">K1457+L1457</f>
        <v>0.25</v>
      </c>
    </row>
    <row r="1458">
      <c r="A1458" s="4" t="s">
        <v>489</v>
      </c>
      <c r="B1458" s="4" t="s">
        <v>3772</v>
      </c>
      <c r="C1458" s="4" t="s">
        <v>1598</v>
      </c>
      <c r="D1458" s="4" t="s">
        <v>3773</v>
      </c>
      <c r="E1458" s="10">
        <f>IFERROR(__xludf.DUMMYFUNCTION("SPLIT(B1458,""T"")"),43691.0)</f>
        <v>43691</v>
      </c>
      <c r="F1458" s="4" t="str">
        <f>IFERROR(__xludf.DUMMYFUNCTION("""COMPUTED_VALUE"""),"18:51:00Z")</f>
        <v>18:51:00Z</v>
      </c>
      <c r="G1458" s="11" t="str">
        <f t="shared" si="11"/>
        <v>18:51:00</v>
      </c>
      <c r="H1458" s="10">
        <f>IFERROR(__xludf.DUMMYFUNCTION("SPLIT(D1458,""T"")"),43691.0)</f>
        <v>43691</v>
      </c>
      <c r="I1458" s="4" t="str">
        <f>IFERROR(__xludf.DUMMYFUNCTION("""COMPUTED_VALUE"""),"12:52:00Z")</f>
        <v>12:52:00Z</v>
      </c>
      <c r="J1458" s="4" t="str">
        <f t="shared" si="12"/>
        <v>12:52:00</v>
      </c>
      <c r="K1458" s="4">
        <f t="shared" si="13"/>
        <v>0</v>
      </c>
      <c r="L1458" s="4">
        <f t="shared" si="14"/>
        <v>0.2493055556</v>
      </c>
      <c r="M1458" s="4">
        <f t="shared" si="15"/>
        <v>0.2493055556</v>
      </c>
    </row>
    <row r="1459">
      <c r="A1459" s="4" t="s">
        <v>27</v>
      </c>
      <c r="B1459" s="4" t="s">
        <v>1238</v>
      </c>
      <c r="C1459" s="4" t="s">
        <v>1239</v>
      </c>
      <c r="D1459" s="4" t="s">
        <v>1240</v>
      </c>
      <c r="E1459" s="10">
        <f>IFERROR(__xludf.DUMMYFUNCTION("SPLIT(B1459,""T"")"),42197.0)</f>
        <v>42197</v>
      </c>
      <c r="F1459" s="4" t="str">
        <f>IFERROR(__xludf.DUMMYFUNCTION("""COMPUTED_VALUE"""),"19:48:00Z")</f>
        <v>19:48:00Z</v>
      </c>
      <c r="G1459" s="11" t="str">
        <f t="shared" si="11"/>
        <v>19:48:00</v>
      </c>
      <c r="H1459" s="10">
        <f>IFERROR(__xludf.DUMMYFUNCTION("SPLIT(D1459,""T"")"),42197.0)</f>
        <v>42197</v>
      </c>
      <c r="I1459" s="4" t="str">
        <f>IFERROR(__xludf.DUMMYFUNCTION("""COMPUTED_VALUE"""),"13:52:00Z")</f>
        <v>13:52:00Z</v>
      </c>
      <c r="J1459" s="4" t="str">
        <f t="shared" si="12"/>
        <v>13:52:00</v>
      </c>
      <c r="K1459" s="4">
        <f t="shared" si="13"/>
        <v>0</v>
      </c>
      <c r="L1459" s="4">
        <f t="shared" si="14"/>
        <v>0.2472222222</v>
      </c>
      <c r="M1459" s="4">
        <f t="shared" si="15"/>
        <v>0.2472222222</v>
      </c>
    </row>
    <row r="1460">
      <c r="A1460" s="4" t="s">
        <v>186</v>
      </c>
      <c r="B1460" s="4" t="s">
        <v>460</v>
      </c>
      <c r="C1460" s="4" t="s">
        <v>461</v>
      </c>
      <c r="D1460" s="4" t="s">
        <v>462</v>
      </c>
      <c r="E1460" s="10">
        <f>IFERROR(__xludf.DUMMYFUNCTION("SPLIT(B1460,""T"")"),41493.0)</f>
        <v>41493</v>
      </c>
      <c r="F1460" s="4" t="str">
        <f>IFERROR(__xludf.DUMMYFUNCTION("""COMPUTED_VALUE"""),"18:30:00Z")</f>
        <v>18:30:00Z</v>
      </c>
      <c r="G1460" s="11" t="str">
        <f t="shared" si="11"/>
        <v>18:30:00</v>
      </c>
      <c r="H1460" s="10">
        <f>IFERROR(__xludf.DUMMYFUNCTION("SPLIT(D1460,""T"")"),41493.0)</f>
        <v>41493</v>
      </c>
      <c r="I1460" s="4" t="str">
        <f>IFERROR(__xludf.DUMMYFUNCTION("""COMPUTED_VALUE"""),"12:35:00Z")</f>
        <v>12:35:00Z</v>
      </c>
      <c r="J1460" s="4" t="str">
        <f t="shared" si="12"/>
        <v>12:35:00</v>
      </c>
      <c r="K1460" s="4">
        <f t="shared" si="13"/>
        <v>0</v>
      </c>
      <c r="L1460" s="4">
        <f t="shared" si="14"/>
        <v>0.2465277778</v>
      </c>
      <c r="M1460" s="4">
        <f t="shared" si="15"/>
        <v>0.2465277778</v>
      </c>
    </row>
    <row r="1461">
      <c r="A1461" s="4" t="s">
        <v>367</v>
      </c>
      <c r="B1461" s="4" t="s">
        <v>1390</v>
      </c>
      <c r="C1461" s="4" t="s">
        <v>1391</v>
      </c>
      <c r="D1461" s="4" t="s">
        <v>1392</v>
      </c>
      <c r="E1461" s="10">
        <f>IFERROR(__xludf.DUMMYFUNCTION("SPLIT(B1461,""T"")"),42600.0)</f>
        <v>42600</v>
      </c>
      <c r="F1461" s="4" t="str">
        <f>IFERROR(__xludf.DUMMYFUNCTION("""COMPUTED_VALUE"""),"21:30:00Z")</f>
        <v>21:30:00Z</v>
      </c>
      <c r="G1461" s="11" t="str">
        <f t="shared" si="11"/>
        <v>21:30:00</v>
      </c>
      <c r="H1461" s="10">
        <f>IFERROR(__xludf.DUMMYFUNCTION("SPLIT(D1461,""T"")"),42600.0)</f>
        <v>42600</v>
      </c>
      <c r="I1461" s="4" t="str">
        <f>IFERROR(__xludf.DUMMYFUNCTION("""COMPUTED_VALUE"""),"15:35:00Z")</f>
        <v>15:35:00Z</v>
      </c>
      <c r="J1461" s="4" t="str">
        <f t="shared" si="12"/>
        <v>15:35:00</v>
      </c>
      <c r="K1461" s="4">
        <f t="shared" si="13"/>
        <v>0</v>
      </c>
      <c r="L1461" s="4">
        <f t="shared" si="14"/>
        <v>0.2465277778</v>
      </c>
      <c r="M1461" s="4">
        <f t="shared" si="15"/>
        <v>0.2465277778</v>
      </c>
    </row>
    <row r="1462">
      <c r="A1462" s="4" t="s">
        <v>35</v>
      </c>
      <c r="B1462" s="4" t="s">
        <v>1620</v>
      </c>
      <c r="C1462" s="4" t="s">
        <v>1621</v>
      </c>
      <c r="D1462" s="4" t="s">
        <v>1622</v>
      </c>
      <c r="E1462" s="10">
        <f>IFERROR(__xludf.DUMMYFUNCTION("SPLIT(B1462,""T"")"),42552.0)</f>
        <v>42552</v>
      </c>
      <c r="F1462" s="4" t="str">
        <f>IFERROR(__xludf.DUMMYFUNCTION("""COMPUTED_VALUE"""),"19:50:00Z")</f>
        <v>19:50:00Z</v>
      </c>
      <c r="G1462" s="11" t="str">
        <f t="shared" si="11"/>
        <v>19:50:00</v>
      </c>
      <c r="H1462" s="10">
        <f>IFERROR(__xludf.DUMMYFUNCTION("SPLIT(D1462,""T"")"),42552.0)</f>
        <v>42552</v>
      </c>
      <c r="I1462" s="4" t="str">
        <f>IFERROR(__xludf.DUMMYFUNCTION("""COMPUTED_VALUE"""),"14:00:00Z")</f>
        <v>14:00:00Z</v>
      </c>
      <c r="J1462" s="4" t="str">
        <f t="shared" si="12"/>
        <v>14:00:00</v>
      </c>
      <c r="K1462" s="4">
        <f t="shared" si="13"/>
        <v>0</v>
      </c>
      <c r="L1462" s="4">
        <f t="shared" si="14"/>
        <v>0.2430555556</v>
      </c>
      <c r="M1462" s="4">
        <f t="shared" si="15"/>
        <v>0.2430555556</v>
      </c>
    </row>
    <row r="1463" hidden="1">
      <c r="A1463" s="4" t="s">
        <v>134</v>
      </c>
      <c r="C1463" s="4" t="s">
        <v>3529</v>
      </c>
      <c r="D1463" s="4" t="s">
        <v>3530</v>
      </c>
      <c r="E1463" s="4" t="str">
        <f>IFERROR(__xludf.DUMMYFUNCTION("SPLIT(B1463,""T"")"),"#VALUE!")</f>
        <v>#VALUE!</v>
      </c>
    </row>
    <row r="1464">
      <c r="A1464" s="4" t="s">
        <v>62</v>
      </c>
      <c r="B1464" s="4" t="s">
        <v>3672</v>
      </c>
      <c r="C1464" s="4" t="s">
        <v>879</v>
      </c>
      <c r="D1464" s="4" t="s">
        <v>3673</v>
      </c>
      <c r="E1464" s="10">
        <f>IFERROR(__xludf.DUMMYFUNCTION("SPLIT(B1464,""T"")"),43733.0)</f>
        <v>43733</v>
      </c>
      <c r="F1464" s="4" t="str">
        <f>IFERROR(__xludf.DUMMYFUNCTION("""COMPUTED_VALUE"""),"20:00:00Z")</f>
        <v>20:00:00Z</v>
      </c>
      <c r="G1464" s="11" t="str">
        <f t="shared" ref="G1464:G1465" si="16">MID(F1464,1,LEN(F1464)-1)</f>
        <v>20:00:00</v>
      </c>
      <c r="H1464" s="10">
        <f>IFERROR(__xludf.DUMMYFUNCTION("SPLIT(D1464,""T"")"),43733.0)</f>
        <v>43733</v>
      </c>
      <c r="I1464" s="4" t="str">
        <f>IFERROR(__xludf.DUMMYFUNCTION("""COMPUTED_VALUE"""),"14:17:25Z")</f>
        <v>14:17:25Z</v>
      </c>
      <c r="J1464" s="4" t="str">
        <f t="shared" ref="J1464:J1465" si="17">MID(I1464,1,LEN(I1464)-1)</f>
        <v>14:17:25</v>
      </c>
      <c r="K1464" s="4">
        <f t="shared" ref="K1464:K1465" si="18">E1464-H1464</f>
        <v>0</v>
      </c>
      <c r="L1464" s="4">
        <f t="shared" ref="L1464:L1465" si="19">G1464-J1464</f>
        <v>0.2379050926</v>
      </c>
      <c r="M1464" s="4">
        <f t="shared" ref="M1464:M1465" si="20">K1464+L1464</f>
        <v>0.2379050926</v>
      </c>
    </row>
    <row r="1465">
      <c r="A1465" s="4" t="s">
        <v>54</v>
      </c>
      <c r="B1465" s="4" t="s">
        <v>1141</v>
      </c>
      <c r="C1465" s="4" t="s">
        <v>1142</v>
      </c>
      <c r="D1465" s="4" t="s">
        <v>1143</v>
      </c>
      <c r="E1465" s="10">
        <f>IFERROR(__xludf.DUMMYFUNCTION("SPLIT(B1465,""T"")"),42172.0)</f>
        <v>42172</v>
      </c>
      <c r="F1465" s="4" t="str">
        <f>IFERROR(__xludf.DUMMYFUNCTION("""COMPUTED_VALUE"""),"18:30:00Z")</f>
        <v>18:30:00Z</v>
      </c>
      <c r="G1465" s="11" t="str">
        <f t="shared" si="16"/>
        <v>18:30:00</v>
      </c>
      <c r="H1465" s="10">
        <f>IFERROR(__xludf.DUMMYFUNCTION("SPLIT(D1465,""T"")"),42172.0)</f>
        <v>42172</v>
      </c>
      <c r="I1465" s="4" t="str">
        <f>IFERROR(__xludf.DUMMYFUNCTION("""COMPUTED_VALUE"""),"12:50:00Z")</f>
        <v>12:50:00Z</v>
      </c>
      <c r="J1465" s="4" t="str">
        <f t="shared" si="17"/>
        <v>12:50:00</v>
      </c>
      <c r="K1465" s="4">
        <f t="shared" si="18"/>
        <v>0</v>
      </c>
      <c r="L1465" s="4">
        <f t="shared" si="19"/>
        <v>0.2361111111</v>
      </c>
      <c r="M1465" s="4">
        <f t="shared" si="20"/>
        <v>0.2361111111</v>
      </c>
    </row>
    <row r="1466" hidden="1">
      <c r="A1466" s="4" t="s">
        <v>62</v>
      </c>
      <c r="C1466" s="4" t="s">
        <v>2578</v>
      </c>
      <c r="D1466" s="4" t="s">
        <v>3535</v>
      </c>
      <c r="E1466" s="4" t="str">
        <f>IFERROR(__xludf.DUMMYFUNCTION("SPLIT(B1466,""T"")"),"#VALUE!")</f>
        <v>#VALUE!</v>
      </c>
    </row>
    <row r="1467">
      <c r="A1467" s="4" t="s">
        <v>39</v>
      </c>
      <c r="B1467" s="4" t="s">
        <v>298</v>
      </c>
      <c r="C1467" s="4" t="s">
        <v>466</v>
      </c>
      <c r="D1467" s="4" t="s">
        <v>467</v>
      </c>
      <c r="E1467" s="10">
        <f>IFERROR(__xludf.DUMMYFUNCTION("SPLIT(B1467,""T"")"),41438.0)</f>
        <v>41438</v>
      </c>
      <c r="F1467" s="4" t="str">
        <f>IFERROR(__xludf.DUMMYFUNCTION("""COMPUTED_VALUE"""),"21:30:00Z")</f>
        <v>21:30:00Z</v>
      </c>
      <c r="G1467" s="11" t="str">
        <f>MID(F1467,1,LEN(F1467)-1)</f>
        <v>21:30:00</v>
      </c>
      <c r="H1467" s="10">
        <f>IFERROR(__xludf.DUMMYFUNCTION("SPLIT(D1467,""T"")"),41438.0)</f>
        <v>41438</v>
      </c>
      <c r="I1467" s="4" t="str">
        <f>IFERROR(__xludf.DUMMYFUNCTION("""COMPUTED_VALUE"""),"15:54:00Z")</f>
        <v>15:54:00Z</v>
      </c>
      <c r="J1467" s="4" t="str">
        <f>MID(I1467,1,LEN(I1467)-1)</f>
        <v>15:54:00</v>
      </c>
      <c r="K1467" s="4">
        <f>E1467-H1467</f>
        <v>0</v>
      </c>
      <c r="L1467" s="4">
        <f>G1467-J1467</f>
        <v>0.2333333333</v>
      </c>
      <c r="M1467" s="4">
        <f>K1467+L1467</f>
        <v>0.2333333333</v>
      </c>
    </row>
    <row r="1468" hidden="1">
      <c r="A1468" s="4" t="s">
        <v>134</v>
      </c>
      <c r="C1468" s="4" t="s">
        <v>3539</v>
      </c>
      <c r="D1468" s="4" t="s">
        <v>3540</v>
      </c>
      <c r="E1468" s="4" t="str">
        <f>IFERROR(__xludf.DUMMYFUNCTION("SPLIT(B1468,""T"")"),"#VALUE!")</f>
        <v>#VALUE!</v>
      </c>
    </row>
    <row r="1469">
      <c r="A1469" s="4" t="s">
        <v>27</v>
      </c>
      <c r="B1469" s="4" t="s">
        <v>1224</v>
      </c>
      <c r="C1469" s="4" t="s">
        <v>1225</v>
      </c>
      <c r="D1469" s="4" t="s">
        <v>1226</v>
      </c>
      <c r="E1469" s="10">
        <f>IFERROR(__xludf.DUMMYFUNCTION("SPLIT(B1469,""T"")"),42160.0)</f>
        <v>42160</v>
      </c>
      <c r="F1469" s="4" t="str">
        <f>IFERROR(__xludf.DUMMYFUNCTION("""COMPUTED_VALUE"""),"19:00:00Z")</f>
        <v>19:00:00Z</v>
      </c>
      <c r="G1469" s="11" t="str">
        <f t="shared" ref="G1469:G1473" si="21">MID(F1469,1,LEN(F1469)-1)</f>
        <v>19:00:00</v>
      </c>
      <c r="H1469" s="10">
        <f>IFERROR(__xludf.DUMMYFUNCTION("SPLIT(D1469,""T"")"),42160.0)</f>
        <v>42160</v>
      </c>
      <c r="I1469" s="4" t="str">
        <f>IFERROR(__xludf.DUMMYFUNCTION("""COMPUTED_VALUE"""),"13:32:00Z")</f>
        <v>13:32:00Z</v>
      </c>
      <c r="J1469" s="4" t="str">
        <f t="shared" ref="J1469:J1473" si="22">MID(I1469,1,LEN(I1469)-1)</f>
        <v>13:32:00</v>
      </c>
      <c r="K1469" s="4">
        <f t="shared" ref="K1469:K1473" si="23">E1469-H1469</f>
        <v>0</v>
      </c>
      <c r="L1469" s="4">
        <f t="shared" ref="L1469:L1473" si="24">G1469-J1469</f>
        <v>0.2277777778</v>
      </c>
      <c r="M1469" s="4">
        <f t="shared" ref="M1469:M1473" si="25">K1469+L1469</f>
        <v>0.2277777778</v>
      </c>
    </row>
    <row r="1470">
      <c r="A1470" s="4" t="s">
        <v>179</v>
      </c>
      <c r="B1470" s="4" t="s">
        <v>3693</v>
      </c>
      <c r="C1470" s="4" t="s">
        <v>3694</v>
      </c>
      <c r="D1470" s="4" t="s">
        <v>3695</v>
      </c>
      <c r="E1470" s="10">
        <f>IFERROR(__xludf.DUMMYFUNCTION("SPLIT(B1470,""T"")"),43713.0)</f>
        <v>43713</v>
      </c>
      <c r="F1470" s="4" t="str">
        <f>IFERROR(__xludf.DUMMYFUNCTION("""COMPUTED_VALUE"""),"19:56:00Z")</f>
        <v>19:56:00Z</v>
      </c>
      <c r="G1470" s="11" t="str">
        <f t="shared" si="21"/>
        <v>19:56:00</v>
      </c>
      <c r="H1470" s="10">
        <f>IFERROR(__xludf.DUMMYFUNCTION("SPLIT(D1470,""T"")"),43713.0)</f>
        <v>43713</v>
      </c>
      <c r="I1470" s="4" t="str">
        <f>IFERROR(__xludf.DUMMYFUNCTION("""COMPUTED_VALUE"""),"14:33:01Z")</f>
        <v>14:33:01Z</v>
      </c>
      <c r="J1470" s="4" t="str">
        <f t="shared" si="22"/>
        <v>14:33:01</v>
      </c>
      <c r="K1470" s="4">
        <f t="shared" si="23"/>
        <v>0</v>
      </c>
      <c r="L1470" s="4">
        <f t="shared" si="24"/>
        <v>0.2242939815</v>
      </c>
      <c r="M1470" s="4">
        <f t="shared" si="25"/>
        <v>0.2242939815</v>
      </c>
    </row>
    <row r="1471">
      <c r="A1471" s="4" t="s">
        <v>80</v>
      </c>
      <c r="B1471" s="4" t="s">
        <v>153</v>
      </c>
      <c r="C1471" s="4" t="s">
        <v>154</v>
      </c>
      <c r="D1471" s="4" t="s">
        <v>155</v>
      </c>
      <c r="E1471" s="10">
        <f>IFERROR(__xludf.DUMMYFUNCTION("SPLIT(B1471,""T"")"),41456.0)</f>
        <v>41456</v>
      </c>
      <c r="F1471" s="4" t="str">
        <f>IFERROR(__xludf.DUMMYFUNCTION("""COMPUTED_VALUE"""),"18:40:00Z")</f>
        <v>18:40:00Z</v>
      </c>
      <c r="G1471" s="11" t="str">
        <f t="shared" si="21"/>
        <v>18:40:00</v>
      </c>
      <c r="H1471" s="10">
        <f>IFERROR(__xludf.DUMMYFUNCTION("SPLIT(D1471,""T"")"),41456.0)</f>
        <v>41456</v>
      </c>
      <c r="I1471" s="4" t="str">
        <f>IFERROR(__xludf.DUMMYFUNCTION("""COMPUTED_VALUE"""),"13:19:00Z")</f>
        <v>13:19:00Z</v>
      </c>
      <c r="J1471" s="4" t="str">
        <f t="shared" si="22"/>
        <v>13:19:00</v>
      </c>
      <c r="K1471" s="4">
        <f t="shared" si="23"/>
        <v>0</v>
      </c>
      <c r="L1471" s="4">
        <f t="shared" si="24"/>
        <v>0.2229166667</v>
      </c>
      <c r="M1471" s="4">
        <f t="shared" si="25"/>
        <v>0.2229166667</v>
      </c>
    </row>
    <row r="1472">
      <c r="A1472" s="4" t="s">
        <v>80</v>
      </c>
      <c r="B1472" s="4" t="s">
        <v>3277</v>
      </c>
      <c r="C1472" s="4" t="s">
        <v>3278</v>
      </c>
      <c r="D1472" s="4" t="s">
        <v>3279</v>
      </c>
      <c r="E1472" s="10">
        <f>IFERROR(__xludf.DUMMYFUNCTION("SPLIT(B1472,""T"")"),43748.0)</f>
        <v>43748</v>
      </c>
      <c r="F1472" s="4" t="str">
        <f>IFERROR(__xludf.DUMMYFUNCTION("""COMPUTED_VALUE"""),"12:00:00Z")</f>
        <v>12:00:00Z</v>
      </c>
      <c r="G1472" s="11" t="str">
        <f t="shared" si="21"/>
        <v>12:00:00</v>
      </c>
      <c r="H1472" s="10">
        <f>IFERROR(__xludf.DUMMYFUNCTION("SPLIT(D1472,""T"")"),43748.0)</f>
        <v>43748</v>
      </c>
      <c r="I1472" s="4" t="str">
        <f>IFERROR(__xludf.DUMMYFUNCTION("""COMPUTED_VALUE"""),"06:42:19Z")</f>
        <v>06:42:19Z</v>
      </c>
      <c r="J1472" s="4" t="str">
        <f t="shared" si="22"/>
        <v>06:42:19</v>
      </c>
      <c r="K1472" s="4">
        <f t="shared" si="23"/>
        <v>0</v>
      </c>
      <c r="L1472" s="4">
        <f t="shared" si="24"/>
        <v>0.2206134259</v>
      </c>
      <c r="M1472" s="4">
        <f t="shared" si="25"/>
        <v>0.2206134259</v>
      </c>
    </row>
    <row r="1473">
      <c r="A1473" s="4" t="s">
        <v>27</v>
      </c>
      <c r="B1473" s="4" t="s">
        <v>336</v>
      </c>
      <c r="C1473" s="4" t="s">
        <v>128</v>
      </c>
      <c r="D1473" s="4" t="s">
        <v>337</v>
      </c>
      <c r="E1473" s="10">
        <f>IFERROR(__xludf.DUMMYFUNCTION("SPLIT(B1473,""T"")"),41415.0)</f>
        <v>41415</v>
      </c>
      <c r="F1473" s="4" t="str">
        <f>IFERROR(__xludf.DUMMYFUNCTION("""COMPUTED_VALUE"""),"19:30:00Z")</f>
        <v>19:30:00Z</v>
      </c>
      <c r="G1473" s="11" t="str">
        <f t="shared" si="21"/>
        <v>19:30:00</v>
      </c>
      <c r="H1473" s="10">
        <f>IFERROR(__xludf.DUMMYFUNCTION("SPLIT(D1473,""T"")"),41415.0)</f>
        <v>41415</v>
      </c>
      <c r="I1473" s="4" t="str">
        <f>IFERROR(__xludf.DUMMYFUNCTION("""COMPUTED_VALUE"""),"14:16:00Z")</f>
        <v>14:16:00Z</v>
      </c>
      <c r="J1473" s="4" t="str">
        <f t="shared" si="22"/>
        <v>14:16:00</v>
      </c>
      <c r="K1473" s="4">
        <f t="shared" si="23"/>
        <v>0</v>
      </c>
      <c r="L1473" s="4">
        <f t="shared" si="24"/>
        <v>0.2180555556</v>
      </c>
      <c r="M1473" s="4">
        <f t="shared" si="25"/>
        <v>0.2180555556</v>
      </c>
    </row>
    <row r="1474" hidden="1">
      <c r="A1474" s="4" t="s">
        <v>320</v>
      </c>
      <c r="C1474" s="4" t="s">
        <v>3339</v>
      </c>
      <c r="D1474" s="4" t="s">
        <v>3552</v>
      </c>
      <c r="E1474" s="4" t="str">
        <f>IFERROR(__xludf.DUMMYFUNCTION("SPLIT(B1474,""T"")"),"#VALUE!")</f>
        <v>#VALUE!</v>
      </c>
    </row>
    <row r="1475" hidden="1">
      <c r="A1475" s="4" t="s">
        <v>313</v>
      </c>
      <c r="C1475" s="4" t="s">
        <v>3553</v>
      </c>
      <c r="D1475" s="4" t="s">
        <v>3554</v>
      </c>
      <c r="E1475" s="4" t="str">
        <f>IFERROR(__xludf.DUMMYFUNCTION("SPLIT(B1475,""T"")"),"#VALUE!")</f>
        <v>#VALUE!</v>
      </c>
    </row>
    <row r="1476">
      <c r="A1476" s="4" t="s">
        <v>27</v>
      </c>
      <c r="B1476" s="4" t="s">
        <v>499</v>
      </c>
      <c r="C1476" s="4" t="s">
        <v>500</v>
      </c>
      <c r="D1476" s="4" t="s">
        <v>501</v>
      </c>
      <c r="E1476" s="10">
        <f>IFERROR(__xludf.DUMMYFUNCTION("SPLIT(B1476,""T"")"),41414.0)</f>
        <v>41414</v>
      </c>
      <c r="F1476" s="4" t="str">
        <f>IFERROR(__xludf.DUMMYFUNCTION("""COMPUTED_VALUE"""),"18:50:00Z")</f>
        <v>18:50:00Z</v>
      </c>
      <c r="G1476" s="11" t="str">
        <f t="shared" ref="G1476:G1482" si="26">MID(F1476,1,LEN(F1476)-1)</f>
        <v>18:50:00</v>
      </c>
      <c r="H1476" s="10">
        <f>IFERROR(__xludf.DUMMYFUNCTION("SPLIT(D1476,""T"")"),41414.0)</f>
        <v>41414</v>
      </c>
      <c r="I1476" s="4" t="str">
        <f>IFERROR(__xludf.DUMMYFUNCTION("""COMPUTED_VALUE"""),"13:47:00Z")</f>
        <v>13:47:00Z</v>
      </c>
      <c r="J1476" s="4" t="str">
        <f t="shared" ref="J1476:J1482" si="27">MID(I1476,1,LEN(I1476)-1)</f>
        <v>13:47:00</v>
      </c>
      <c r="K1476" s="4">
        <f t="shared" ref="K1476:K1482" si="28">E1476-H1476</f>
        <v>0</v>
      </c>
      <c r="L1476" s="4">
        <f t="shared" ref="L1476:L1482" si="29">G1476-J1476</f>
        <v>0.2104166667</v>
      </c>
      <c r="M1476" s="4">
        <f t="shared" ref="M1476:M1482" si="30">K1476+L1476</f>
        <v>0.2104166667</v>
      </c>
    </row>
    <row r="1477">
      <c r="A1477" s="4" t="s">
        <v>58</v>
      </c>
      <c r="B1477" s="4" t="s">
        <v>490</v>
      </c>
      <c r="C1477" s="4" t="s">
        <v>491</v>
      </c>
      <c r="D1477" s="4" t="s">
        <v>492</v>
      </c>
      <c r="E1477" s="10">
        <f>IFERROR(__xludf.DUMMYFUNCTION("SPLIT(B1477,""T"")"),41500.0)</f>
        <v>41500</v>
      </c>
      <c r="F1477" s="4" t="str">
        <f>IFERROR(__xludf.DUMMYFUNCTION("""COMPUTED_VALUE"""),"20:35:00Z")</f>
        <v>20:35:00Z</v>
      </c>
      <c r="G1477" s="11" t="str">
        <f t="shared" si="26"/>
        <v>20:35:00</v>
      </c>
      <c r="H1477" s="10">
        <f>IFERROR(__xludf.DUMMYFUNCTION("SPLIT(D1477,""T"")"),41500.0)</f>
        <v>41500</v>
      </c>
      <c r="I1477" s="4" t="str">
        <f>IFERROR(__xludf.DUMMYFUNCTION("""COMPUTED_VALUE"""),"15:37:00Z")</f>
        <v>15:37:00Z</v>
      </c>
      <c r="J1477" s="4" t="str">
        <f t="shared" si="27"/>
        <v>15:37:00</v>
      </c>
      <c r="K1477" s="4">
        <f t="shared" si="28"/>
        <v>0</v>
      </c>
      <c r="L1477" s="4">
        <f t="shared" si="29"/>
        <v>0.2069444444</v>
      </c>
      <c r="M1477" s="4">
        <f t="shared" si="30"/>
        <v>0.2069444444</v>
      </c>
    </row>
    <row r="1478">
      <c r="A1478" s="4" t="s">
        <v>145</v>
      </c>
      <c r="B1478" s="4" t="s">
        <v>3575</v>
      </c>
      <c r="C1478" s="4" t="s">
        <v>3576</v>
      </c>
      <c r="D1478" s="4" t="s">
        <v>3577</v>
      </c>
      <c r="E1478" s="10">
        <f>IFERROR(__xludf.DUMMYFUNCTION("SPLIT(B1478,""T"")"),43679.0)</f>
        <v>43679</v>
      </c>
      <c r="F1478" s="4" t="str">
        <f>IFERROR(__xludf.DUMMYFUNCTION("""COMPUTED_VALUE"""),"21:39:00Z")</f>
        <v>21:39:00Z</v>
      </c>
      <c r="G1478" s="11" t="str">
        <f t="shared" si="26"/>
        <v>21:39:00</v>
      </c>
      <c r="H1478" s="10">
        <f>IFERROR(__xludf.DUMMYFUNCTION("SPLIT(D1478,""T"")"),43679.0)</f>
        <v>43679</v>
      </c>
      <c r="I1478" s="4" t="str">
        <f>IFERROR(__xludf.DUMMYFUNCTION("""COMPUTED_VALUE"""),"16:53:18Z")</f>
        <v>16:53:18Z</v>
      </c>
      <c r="J1478" s="4" t="str">
        <f t="shared" si="27"/>
        <v>16:53:18</v>
      </c>
      <c r="K1478" s="4">
        <f t="shared" si="28"/>
        <v>0</v>
      </c>
      <c r="L1478" s="4">
        <f t="shared" si="29"/>
        <v>0.1984027778</v>
      </c>
      <c r="M1478" s="4">
        <f t="shared" si="30"/>
        <v>0.1984027778</v>
      </c>
    </row>
    <row r="1479">
      <c r="A1479" s="4" t="s">
        <v>80</v>
      </c>
      <c r="B1479" s="4" t="s">
        <v>862</v>
      </c>
      <c r="C1479" s="4" t="s">
        <v>207</v>
      </c>
      <c r="D1479" s="4" t="s">
        <v>1000</v>
      </c>
      <c r="E1479" s="10">
        <f>IFERROR(__xludf.DUMMYFUNCTION("SPLIT(B1479,""T"")"),42215.0)</f>
        <v>42215</v>
      </c>
      <c r="F1479" s="4" t="str">
        <f>IFERROR(__xludf.DUMMYFUNCTION("""COMPUTED_VALUE"""),"16:00:00Z")</f>
        <v>16:00:00Z</v>
      </c>
      <c r="G1479" s="11" t="str">
        <f t="shared" si="26"/>
        <v>16:00:00</v>
      </c>
      <c r="H1479" s="10">
        <f>IFERROR(__xludf.DUMMYFUNCTION("SPLIT(D1479,""T"")"),42215.0)</f>
        <v>42215</v>
      </c>
      <c r="I1479" s="4" t="str">
        <f>IFERROR(__xludf.DUMMYFUNCTION("""COMPUTED_VALUE"""),"11:18:00Z")</f>
        <v>11:18:00Z</v>
      </c>
      <c r="J1479" s="4" t="str">
        <f t="shared" si="27"/>
        <v>11:18:00</v>
      </c>
      <c r="K1479" s="4">
        <f t="shared" si="28"/>
        <v>0</v>
      </c>
      <c r="L1479" s="4">
        <f t="shared" si="29"/>
        <v>0.1958333333</v>
      </c>
      <c r="M1479" s="4">
        <f t="shared" si="30"/>
        <v>0.1958333333</v>
      </c>
    </row>
    <row r="1480">
      <c r="A1480" s="4" t="s">
        <v>247</v>
      </c>
      <c r="B1480" s="4" t="s">
        <v>3604</v>
      </c>
      <c r="C1480" s="4" t="s">
        <v>1186</v>
      </c>
      <c r="D1480" s="4" t="s">
        <v>3605</v>
      </c>
      <c r="E1480" s="10">
        <f>IFERROR(__xludf.DUMMYFUNCTION("SPLIT(B1480,""T"")"),43679.0)</f>
        <v>43679</v>
      </c>
      <c r="F1480" s="4" t="str">
        <f>IFERROR(__xludf.DUMMYFUNCTION("""COMPUTED_VALUE"""),"14:03:00Z")</f>
        <v>14:03:00Z</v>
      </c>
      <c r="G1480" s="11" t="str">
        <f t="shared" si="26"/>
        <v>14:03:00</v>
      </c>
      <c r="H1480" s="10">
        <f>IFERROR(__xludf.DUMMYFUNCTION("SPLIT(D1480,""T"")"),43679.0)</f>
        <v>43679</v>
      </c>
      <c r="I1480" s="4" t="str">
        <f>IFERROR(__xludf.DUMMYFUNCTION("""COMPUTED_VALUE"""),"09:23:00Z")</f>
        <v>09:23:00Z</v>
      </c>
      <c r="J1480" s="4" t="str">
        <f t="shared" si="27"/>
        <v>09:23:00</v>
      </c>
      <c r="K1480" s="4">
        <f t="shared" si="28"/>
        <v>0</v>
      </c>
      <c r="L1480" s="4">
        <f t="shared" si="29"/>
        <v>0.1944444444</v>
      </c>
      <c r="M1480" s="4">
        <f t="shared" si="30"/>
        <v>0.1944444444</v>
      </c>
    </row>
    <row r="1481">
      <c r="A1481" s="4" t="s">
        <v>324</v>
      </c>
      <c r="B1481" s="4" t="s">
        <v>957</v>
      </c>
      <c r="C1481" s="4" t="s">
        <v>958</v>
      </c>
      <c r="D1481" s="4" t="s">
        <v>959</v>
      </c>
      <c r="E1481" s="10">
        <f>IFERROR(__xludf.DUMMYFUNCTION("SPLIT(B1481,""T"")"),42187.0)</f>
        <v>42187</v>
      </c>
      <c r="F1481" s="4" t="str">
        <f>IFERROR(__xludf.DUMMYFUNCTION("""COMPUTED_VALUE"""),"06:36:00Z")</f>
        <v>06:36:00Z</v>
      </c>
      <c r="G1481" s="11" t="str">
        <f t="shared" si="26"/>
        <v>06:36:00</v>
      </c>
      <c r="H1481" s="10">
        <f>IFERROR(__xludf.DUMMYFUNCTION("SPLIT(D1481,""T"")"),42187.0)</f>
        <v>42187</v>
      </c>
      <c r="I1481" s="4" t="str">
        <f>IFERROR(__xludf.DUMMYFUNCTION("""COMPUTED_VALUE"""),"01:58:00Z")</f>
        <v>01:58:00Z</v>
      </c>
      <c r="J1481" s="4" t="str">
        <f t="shared" si="27"/>
        <v>01:58:00</v>
      </c>
      <c r="K1481" s="4">
        <f t="shared" si="28"/>
        <v>0</v>
      </c>
      <c r="L1481" s="4">
        <f t="shared" si="29"/>
        <v>0.1930555556</v>
      </c>
      <c r="M1481" s="4">
        <f t="shared" si="30"/>
        <v>0.1930555556</v>
      </c>
    </row>
    <row r="1482">
      <c r="A1482" s="4" t="s">
        <v>27</v>
      </c>
      <c r="B1482" s="4" t="s">
        <v>3588</v>
      </c>
      <c r="C1482" s="4" t="s">
        <v>3589</v>
      </c>
      <c r="D1482" s="4" t="s">
        <v>3590</v>
      </c>
      <c r="E1482" s="10">
        <f>IFERROR(__xludf.DUMMYFUNCTION("SPLIT(B1482,""T"")"),43659.0)</f>
        <v>43659</v>
      </c>
      <c r="F1482" s="4" t="str">
        <f>IFERROR(__xludf.DUMMYFUNCTION("""COMPUTED_VALUE"""),"15:13:00Z")</f>
        <v>15:13:00Z</v>
      </c>
      <c r="G1482" s="11" t="str">
        <f t="shared" si="26"/>
        <v>15:13:00</v>
      </c>
      <c r="H1482" s="10">
        <f>IFERROR(__xludf.DUMMYFUNCTION("SPLIT(D1482,""T"")"),43659.0)</f>
        <v>43659</v>
      </c>
      <c r="I1482" s="4" t="str">
        <f>IFERROR(__xludf.DUMMYFUNCTION("""COMPUTED_VALUE"""),"10:36:00Z")</f>
        <v>10:36:00Z</v>
      </c>
      <c r="J1482" s="4" t="str">
        <f t="shared" si="27"/>
        <v>10:36:00</v>
      </c>
      <c r="K1482" s="4">
        <f t="shared" si="28"/>
        <v>0</v>
      </c>
      <c r="L1482" s="4">
        <f t="shared" si="29"/>
        <v>0.1923611111</v>
      </c>
      <c r="M1482" s="4">
        <f t="shared" si="30"/>
        <v>0.1923611111</v>
      </c>
    </row>
    <row r="1483" hidden="1">
      <c r="A1483" s="4" t="s">
        <v>23</v>
      </c>
      <c r="C1483" s="4" t="s">
        <v>826</v>
      </c>
      <c r="D1483" s="4" t="s">
        <v>3574</v>
      </c>
      <c r="E1483" s="4" t="str">
        <f>IFERROR(__xludf.DUMMYFUNCTION("SPLIT(B1483,""T"")"),"#VALUE!")</f>
        <v>#VALUE!</v>
      </c>
    </row>
    <row r="1484">
      <c r="A1484" s="4" t="s">
        <v>205</v>
      </c>
      <c r="B1484" s="4" t="s">
        <v>3834</v>
      </c>
      <c r="C1484" s="4" t="s">
        <v>2356</v>
      </c>
      <c r="D1484" s="4" t="s">
        <v>3835</v>
      </c>
      <c r="E1484" s="10">
        <f>IFERROR(__xludf.DUMMYFUNCTION("SPLIT(B1484,""T"")"),43710.0)</f>
        <v>43710</v>
      </c>
      <c r="F1484" s="4" t="str">
        <f>IFERROR(__xludf.DUMMYFUNCTION("""COMPUTED_VALUE"""),"19:13:00Z")</f>
        <v>19:13:00Z</v>
      </c>
      <c r="G1484" s="11" t="str">
        <f t="shared" ref="G1484:G1489" si="31">MID(F1484,1,LEN(F1484)-1)</f>
        <v>19:13:00</v>
      </c>
      <c r="H1484" s="10">
        <f>IFERROR(__xludf.DUMMYFUNCTION("SPLIT(D1484,""T"")"),43710.0)</f>
        <v>43710</v>
      </c>
      <c r="I1484" s="4" t="str">
        <f>IFERROR(__xludf.DUMMYFUNCTION("""COMPUTED_VALUE"""),"14:36:35Z")</f>
        <v>14:36:35Z</v>
      </c>
      <c r="J1484" s="4" t="str">
        <f t="shared" ref="J1484:J1489" si="32">MID(I1484,1,LEN(I1484)-1)</f>
        <v>14:36:35</v>
      </c>
      <c r="K1484" s="4">
        <f t="shared" ref="K1484:K1489" si="33">E1484-H1484</f>
        <v>0</v>
      </c>
      <c r="L1484" s="4">
        <f t="shared" ref="L1484:L1489" si="34">G1484-J1484</f>
        <v>0.1919560185</v>
      </c>
      <c r="M1484" s="4">
        <f t="shared" ref="M1484:M1489" si="35">K1484+L1484</f>
        <v>0.1919560185</v>
      </c>
    </row>
    <row r="1485">
      <c r="A1485" s="4" t="s">
        <v>401</v>
      </c>
      <c r="B1485" s="4" t="s">
        <v>402</v>
      </c>
      <c r="C1485" s="4" t="s">
        <v>403</v>
      </c>
      <c r="D1485" s="4" t="s">
        <v>404</v>
      </c>
      <c r="E1485" s="10">
        <f>IFERROR(__xludf.DUMMYFUNCTION("SPLIT(B1485,""T"")"),41467.0)</f>
        <v>41467</v>
      </c>
      <c r="F1485" s="4" t="str">
        <f>IFERROR(__xludf.DUMMYFUNCTION("""COMPUTED_VALUE"""),"17:45:00Z")</f>
        <v>17:45:00Z</v>
      </c>
      <c r="G1485" s="11" t="str">
        <f t="shared" si="31"/>
        <v>17:45:00</v>
      </c>
      <c r="H1485" s="10">
        <f>IFERROR(__xludf.DUMMYFUNCTION("SPLIT(D1485,""T"")"),41467.0)</f>
        <v>41467</v>
      </c>
      <c r="I1485" s="4" t="str">
        <f>IFERROR(__xludf.DUMMYFUNCTION("""COMPUTED_VALUE"""),"13:09:00Z")</f>
        <v>13:09:00Z</v>
      </c>
      <c r="J1485" s="4" t="str">
        <f t="shared" si="32"/>
        <v>13:09:00</v>
      </c>
      <c r="K1485" s="4">
        <f t="shared" si="33"/>
        <v>0</v>
      </c>
      <c r="L1485" s="4">
        <f t="shared" si="34"/>
        <v>0.1916666667</v>
      </c>
      <c r="M1485" s="4">
        <f t="shared" si="35"/>
        <v>0.1916666667</v>
      </c>
    </row>
    <row r="1486">
      <c r="A1486" s="4" t="s">
        <v>23</v>
      </c>
      <c r="B1486" s="4" t="s">
        <v>960</v>
      </c>
      <c r="C1486" s="4" t="s">
        <v>961</v>
      </c>
      <c r="D1486" s="4" t="s">
        <v>962</v>
      </c>
      <c r="E1486" s="10">
        <f>IFERROR(__xludf.DUMMYFUNCTION("SPLIT(B1486,""T"")"),42232.0)</f>
        <v>42232</v>
      </c>
      <c r="F1486" s="4" t="str">
        <f>IFERROR(__xludf.DUMMYFUNCTION("""COMPUTED_VALUE"""),"20:00:00Z")</f>
        <v>20:00:00Z</v>
      </c>
      <c r="G1486" s="11" t="str">
        <f t="shared" si="31"/>
        <v>20:00:00</v>
      </c>
      <c r="H1486" s="10">
        <f>IFERROR(__xludf.DUMMYFUNCTION("SPLIT(D1486,""T"")"),42232.0)</f>
        <v>42232</v>
      </c>
      <c r="I1486" s="4" t="str">
        <f>IFERROR(__xludf.DUMMYFUNCTION("""COMPUTED_VALUE"""),"15:30:00Z")</f>
        <v>15:30:00Z</v>
      </c>
      <c r="J1486" s="4" t="str">
        <f t="shared" si="32"/>
        <v>15:30:00</v>
      </c>
      <c r="K1486" s="4">
        <f t="shared" si="33"/>
        <v>0</v>
      </c>
      <c r="L1486" s="4">
        <f t="shared" si="34"/>
        <v>0.1875</v>
      </c>
      <c r="M1486" s="4">
        <f t="shared" si="35"/>
        <v>0.1875</v>
      </c>
    </row>
    <row r="1487">
      <c r="A1487" s="4" t="s">
        <v>114</v>
      </c>
      <c r="B1487" s="4" t="s">
        <v>301</v>
      </c>
      <c r="C1487" s="4" t="s">
        <v>302</v>
      </c>
      <c r="D1487" s="4" t="s">
        <v>303</v>
      </c>
      <c r="E1487" s="10">
        <f>IFERROR(__xludf.DUMMYFUNCTION("SPLIT(B1487,""T"")"),41454.0)</f>
        <v>41454</v>
      </c>
      <c r="F1487" s="4" t="str">
        <f>IFERROR(__xludf.DUMMYFUNCTION("""COMPUTED_VALUE"""),"18:30:00Z")</f>
        <v>18:30:00Z</v>
      </c>
      <c r="G1487" s="11" t="str">
        <f t="shared" si="31"/>
        <v>18:30:00</v>
      </c>
      <c r="H1487" s="10">
        <f>IFERROR(__xludf.DUMMYFUNCTION("SPLIT(D1487,""T"")"),41454.0)</f>
        <v>41454</v>
      </c>
      <c r="I1487" s="4" t="str">
        <f>IFERROR(__xludf.DUMMYFUNCTION("""COMPUTED_VALUE"""),"14:09:00Z")</f>
        <v>14:09:00Z</v>
      </c>
      <c r="J1487" s="4" t="str">
        <f t="shared" si="32"/>
        <v>14:09:00</v>
      </c>
      <c r="K1487" s="4">
        <f t="shared" si="33"/>
        <v>0</v>
      </c>
      <c r="L1487" s="4">
        <f t="shared" si="34"/>
        <v>0.18125</v>
      </c>
      <c r="M1487" s="4">
        <f t="shared" si="35"/>
        <v>0.18125</v>
      </c>
    </row>
    <row r="1488">
      <c r="A1488" s="4" t="s">
        <v>282</v>
      </c>
      <c r="B1488" s="4" t="s">
        <v>1677</v>
      </c>
      <c r="C1488" s="4" t="s">
        <v>1678</v>
      </c>
      <c r="D1488" s="4" t="s">
        <v>1679</v>
      </c>
      <c r="E1488" s="10">
        <f>IFERROR(__xludf.DUMMYFUNCTION("SPLIT(B1488,""T"")"),42484.0)</f>
        <v>42484</v>
      </c>
      <c r="F1488" s="4" t="str">
        <f>IFERROR(__xludf.DUMMYFUNCTION("""COMPUTED_VALUE"""),"15:30:00Z")</f>
        <v>15:30:00Z</v>
      </c>
      <c r="G1488" s="11" t="str">
        <f t="shared" si="31"/>
        <v>15:30:00</v>
      </c>
      <c r="H1488" s="10">
        <f>IFERROR(__xludf.DUMMYFUNCTION("SPLIT(D1488,""T"")"),42484.0)</f>
        <v>42484</v>
      </c>
      <c r="I1488" s="4" t="str">
        <f>IFERROR(__xludf.DUMMYFUNCTION("""COMPUTED_VALUE"""),"11:10:00Z")</f>
        <v>11:10:00Z</v>
      </c>
      <c r="J1488" s="4" t="str">
        <f t="shared" si="32"/>
        <v>11:10:00</v>
      </c>
      <c r="K1488" s="4">
        <f t="shared" si="33"/>
        <v>0</v>
      </c>
      <c r="L1488" s="4">
        <f t="shared" si="34"/>
        <v>0.1805555556</v>
      </c>
      <c r="M1488" s="4">
        <f t="shared" si="35"/>
        <v>0.1805555556</v>
      </c>
    </row>
    <row r="1489">
      <c r="A1489" s="4" t="s">
        <v>260</v>
      </c>
      <c r="B1489" s="4" t="s">
        <v>1473</v>
      </c>
      <c r="C1489" s="4" t="s">
        <v>1474</v>
      </c>
      <c r="D1489" s="4" t="s">
        <v>1475</v>
      </c>
      <c r="E1489" s="10">
        <f>IFERROR(__xludf.DUMMYFUNCTION("SPLIT(B1489,""T"")"),42586.0)</f>
        <v>42586</v>
      </c>
      <c r="F1489" s="4" t="str">
        <f>IFERROR(__xludf.DUMMYFUNCTION("""COMPUTED_VALUE"""),"20:00:00Z")</f>
        <v>20:00:00Z</v>
      </c>
      <c r="G1489" s="11" t="str">
        <f t="shared" si="31"/>
        <v>20:00:00</v>
      </c>
      <c r="H1489" s="10">
        <f>IFERROR(__xludf.DUMMYFUNCTION("SPLIT(D1489,""T"")"),42586.0)</f>
        <v>42586</v>
      </c>
      <c r="I1489" s="4" t="str">
        <f>IFERROR(__xludf.DUMMYFUNCTION("""COMPUTED_VALUE"""),"15:45:00Z")</f>
        <v>15:45:00Z</v>
      </c>
      <c r="J1489" s="4" t="str">
        <f t="shared" si="32"/>
        <v>15:45:00</v>
      </c>
      <c r="K1489" s="4">
        <f t="shared" si="33"/>
        <v>0</v>
      </c>
      <c r="L1489" s="4">
        <f t="shared" si="34"/>
        <v>0.1770833333</v>
      </c>
      <c r="M1489" s="4">
        <f t="shared" si="35"/>
        <v>0.1770833333</v>
      </c>
    </row>
    <row r="1490" hidden="1">
      <c r="A1490" s="4" t="s">
        <v>149</v>
      </c>
      <c r="C1490" s="4" t="s">
        <v>3591</v>
      </c>
      <c r="D1490" s="4" t="s">
        <v>3592</v>
      </c>
      <c r="E1490" s="4" t="str">
        <f>IFERROR(__xludf.DUMMYFUNCTION("SPLIT(B1490,""T"")"),"#VALUE!")</f>
        <v>#VALUE!</v>
      </c>
    </row>
    <row r="1491">
      <c r="A1491" s="4" t="s">
        <v>27</v>
      </c>
      <c r="B1491" s="4" t="s">
        <v>517</v>
      </c>
      <c r="C1491" s="4" t="s">
        <v>518</v>
      </c>
      <c r="D1491" s="4" t="s">
        <v>519</v>
      </c>
      <c r="E1491" s="10">
        <f>IFERROR(__xludf.DUMMYFUNCTION("SPLIT(B1491,""T"")"),41434.0)</f>
        <v>41434</v>
      </c>
      <c r="F1491" s="4" t="str">
        <f>IFERROR(__xludf.DUMMYFUNCTION("""COMPUTED_VALUE"""),"16:45:00Z")</f>
        <v>16:45:00Z</v>
      </c>
      <c r="G1491" s="11" t="str">
        <f>MID(F1491,1,LEN(F1491)-1)</f>
        <v>16:45:00</v>
      </c>
      <c r="H1491" s="10">
        <f>IFERROR(__xludf.DUMMYFUNCTION("SPLIT(D1491,""T"")"),41434.0)</f>
        <v>41434</v>
      </c>
      <c r="I1491" s="4" t="str">
        <f>IFERROR(__xludf.DUMMYFUNCTION("""COMPUTED_VALUE"""),"12:30:00Z")</f>
        <v>12:30:00Z</v>
      </c>
      <c r="J1491" s="4" t="str">
        <f>MID(I1491,1,LEN(I1491)-1)</f>
        <v>12:30:00</v>
      </c>
      <c r="K1491" s="4">
        <f>E1491-H1491</f>
        <v>0</v>
      </c>
      <c r="L1491" s="4">
        <f>G1491-J1491</f>
        <v>0.1770833333</v>
      </c>
      <c r="M1491" s="4">
        <f>K1491+L1491</f>
        <v>0.1770833333</v>
      </c>
    </row>
    <row r="1492" hidden="1">
      <c r="A1492" s="4" t="s">
        <v>35</v>
      </c>
      <c r="C1492" s="4" t="s">
        <v>3594</v>
      </c>
      <c r="D1492" s="4" t="s">
        <v>3595</v>
      </c>
      <c r="E1492" s="4" t="str">
        <f>IFERROR(__xludf.DUMMYFUNCTION("SPLIT(B1492,""T"")"),"#VALUE!")</f>
        <v>#VALUE!</v>
      </c>
    </row>
    <row r="1493" hidden="1">
      <c r="A1493" s="4" t="s">
        <v>46</v>
      </c>
      <c r="C1493" s="4" t="s">
        <v>3596</v>
      </c>
      <c r="D1493" s="4" t="s">
        <v>3597</v>
      </c>
      <c r="E1493" s="4" t="str">
        <f>IFERROR(__xludf.DUMMYFUNCTION("SPLIT(B1493,""T"")"),"#VALUE!")</f>
        <v>#VALUE!</v>
      </c>
    </row>
    <row r="1494" hidden="1">
      <c r="A1494" s="4" t="s">
        <v>179</v>
      </c>
      <c r="C1494" s="4" t="s">
        <v>3289</v>
      </c>
      <c r="D1494" s="4" t="s">
        <v>3598</v>
      </c>
      <c r="E1494" s="4" t="str">
        <f>IFERROR(__xludf.DUMMYFUNCTION("SPLIT(B1494,""T"")"),"#VALUE!")</f>
        <v>#VALUE!</v>
      </c>
    </row>
    <row r="1495" hidden="1">
      <c r="A1495" s="4" t="s">
        <v>58</v>
      </c>
      <c r="B1495" s="4" t="s">
        <v>3599</v>
      </c>
      <c r="C1495" s="4" t="s">
        <v>3600</v>
      </c>
      <c r="D1495" s="4" t="s">
        <v>3601</v>
      </c>
      <c r="E1495" s="10">
        <f>IFERROR(__xludf.DUMMYFUNCTION("SPLIT(B1495,""T"")"),43642.0)</f>
        <v>43642</v>
      </c>
      <c r="F1495" s="4" t="str">
        <f>IFERROR(__xludf.DUMMYFUNCTION("""COMPUTED_VALUE"""),"06:00:00Z")</f>
        <v>06:00:00Z</v>
      </c>
      <c r="G1495" s="11" t="str">
        <f t="shared" ref="G1495:G1498" si="36">MID(F1495,1,LEN(F1495)-1)</f>
        <v>06:00:00</v>
      </c>
      <c r="H1495" s="10">
        <f>IFERROR(__xludf.DUMMYFUNCTION("SPLIT(D1495,""T"")"),43642.0)</f>
        <v>43642</v>
      </c>
      <c r="I1495" s="4" t="str">
        <f>IFERROR(__xludf.DUMMYFUNCTION("""COMPUTED_VALUE"""),"15:35:00Z")</f>
        <v>15:35:00Z</v>
      </c>
      <c r="J1495" s="4" t="str">
        <f t="shared" ref="J1495:J1498" si="37">MID(I1495,1,LEN(I1495)-1)</f>
        <v>15:35:00</v>
      </c>
      <c r="K1495" s="4">
        <f t="shared" ref="K1495:K1498" si="38">E1495-H1495</f>
        <v>0</v>
      </c>
      <c r="L1495" s="4">
        <f t="shared" ref="L1495:L1498" si="39">G1495-J1495</f>
        <v>-0.3993055556</v>
      </c>
      <c r="M1495" s="4">
        <f t="shared" ref="M1495:M1498" si="40">K1495+L1495</f>
        <v>-0.3993055556</v>
      </c>
    </row>
    <row r="1496">
      <c r="A1496" s="4" t="s">
        <v>54</v>
      </c>
      <c r="B1496" s="4" t="s">
        <v>3638</v>
      </c>
      <c r="C1496" s="4" t="s">
        <v>3639</v>
      </c>
      <c r="D1496" s="4" t="s">
        <v>3640</v>
      </c>
      <c r="E1496" s="10">
        <f>IFERROR(__xludf.DUMMYFUNCTION("SPLIT(B1496,""T"")"),43747.0)</f>
        <v>43747</v>
      </c>
      <c r="F1496" s="4" t="str">
        <f>IFERROR(__xludf.DUMMYFUNCTION("""COMPUTED_VALUE"""),"12:39:00Z")</f>
        <v>12:39:00Z</v>
      </c>
      <c r="G1496" s="11" t="str">
        <f t="shared" si="36"/>
        <v>12:39:00</v>
      </c>
      <c r="H1496" s="10">
        <f>IFERROR(__xludf.DUMMYFUNCTION("SPLIT(D1496,""T"")"),43747.0)</f>
        <v>43747</v>
      </c>
      <c r="I1496" s="4" t="str">
        <f>IFERROR(__xludf.DUMMYFUNCTION("""COMPUTED_VALUE"""),"08:31:40Z")</f>
        <v>08:31:40Z</v>
      </c>
      <c r="J1496" s="4" t="str">
        <f t="shared" si="37"/>
        <v>08:31:40</v>
      </c>
      <c r="K1496" s="4">
        <f t="shared" si="38"/>
        <v>0</v>
      </c>
      <c r="L1496" s="4">
        <f t="shared" si="39"/>
        <v>0.1717592593</v>
      </c>
      <c r="M1496" s="4">
        <f t="shared" si="40"/>
        <v>0.1717592593</v>
      </c>
    </row>
    <row r="1497">
      <c r="A1497" s="4" t="s">
        <v>73</v>
      </c>
      <c r="B1497" s="4" t="s">
        <v>251</v>
      </c>
      <c r="C1497" s="4" t="s">
        <v>252</v>
      </c>
      <c r="D1497" s="4" t="s">
        <v>253</v>
      </c>
      <c r="E1497" s="10">
        <f>IFERROR(__xludf.DUMMYFUNCTION("SPLIT(B1497,""T"")"),41481.0)</f>
        <v>41481</v>
      </c>
      <c r="F1497" s="4" t="str">
        <f>IFERROR(__xludf.DUMMYFUNCTION("""COMPUTED_VALUE"""),"17:45:00Z")</f>
        <v>17:45:00Z</v>
      </c>
      <c r="G1497" s="11" t="str">
        <f t="shared" si="36"/>
        <v>17:45:00</v>
      </c>
      <c r="H1497" s="10">
        <f>IFERROR(__xludf.DUMMYFUNCTION("SPLIT(D1497,""T"")"),41481.0)</f>
        <v>41481</v>
      </c>
      <c r="I1497" s="4" t="str">
        <f>IFERROR(__xludf.DUMMYFUNCTION("""COMPUTED_VALUE"""),"13:45:00Z")</f>
        <v>13:45:00Z</v>
      </c>
      <c r="J1497" s="4" t="str">
        <f t="shared" si="37"/>
        <v>13:45:00</v>
      </c>
      <c r="K1497" s="4">
        <f t="shared" si="38"/>
        <v>0</v>
      </c>
      <c r="L1497" s="4">
        <f t="shared" si="39"/>
        <v>0.1666666667</v>
      </c>
      <c r="M1497" s="4">
        <f t="shared" si="40"/>
        <v>0.1666666667</v>
      </c>
    </row>
    <row r="1498">
      <c r="A1498" s="4" t="s">
        <v>130</v>
      </c>
      <c r="B1498" s="4" t="s">
        <v>292</v>
      </c>
      <c r="C1498" s="4" t="s">
        <v>293</v>
      </c>
      <c r="D1498" s="4" t="s">
        <v>294</v>
      </c>
      <c r="E1498" s="10">
        <f>IFERROR(__xludf.DUMMYFUNCTION("SPLIT(B1498,""T"")"),41502.0)</f>
        <v>41502</v>
      </c>
      <c r="F1498" s="4" t="str">
        <f>IFERROR(__xludf.DUMMYFUNCTION("""COMPUTED_VALUE"""),"17:55:00Z")</f>
        <v>17:55:00Z</v>
      </c>
      <c r="G1498" s="11" t="str">
        <f t="shared" si="36"/>
        <v>17:55:00</v>
      </c>
      <c r="H1498" s="10">
        <f>IFERROR(__xludf.DUMMYFUNCTION("SPLIT(D1498,""T"")"),41502.0)</f>
        <v>41502</v>
      </c>
      <c r="I1498" s="4" t="str">
        <f>IFERROR(__xludf.DUMMYFUNCTION("""COMPUTED_VALUE"""),"13:55:00Z")</f>
        <v>13:55:00Z</v>
      </c>
      <c r="J1498" s="4" t="str">
        <f t="shared" si="37"/>
        <v>13:55:00</v>
      </c>
      <c r="K1498" s="4">
        <f t="shared" si="38"/>
        <v>0</v>
      </c>
      <c r="L1498" s="4">
        <f t="shared" si="39"/>
        <v>0.1666666667</v>
      </c>
      <c r="M1498" s="4">
        <f t="shared" si="40"/>
        <v>0.1666666667</v>
      </c>
    </row>
    <row r="1499" hidden="1">
      <c r="A1499" s="4" t="s">
        <v>46</v>
      </c>
      <c r="C1499" s="4" t="s">
        <v>3608</v>
      </c>
      <c r="D1499" s="4" t="s">
        <v>3609</v>
      </c>
      <c r="E1499" s="4" t="str">
        <f>IFERROR(__xludf.DUMMYFUNCTION("SPLIT(B1499,""T"")"),"#VALUE!")</f>
        <v>#VALUE!</v>
      </c>
    </row>
    <row r="1500">
      <c r="A1500" s="4" t="s">
        <v>46</v>
      </c>
      <c r="B1500" s="4" t="s">
        <v>445</v>
      </c>
      <c r="C1500" s="4" t="s">
        <v>446</v>
      </c>
      <c r="D1500" s="4" t="s">
        <v>447</v>
      </c>
      <c r="E1500" s="10">
        <f>IFERROR(__xludf.DUMMYFUNCTION("SPLIT(B1500,""T"")"),41486.0)</f>
        <v>41486</v>
      </c>
      <c r="F1500" s="4" t="str">
        <f>IFERROR(__xludf.DUMMYFUNCTION("""COMPUTED_VALUE"""),"19:25:00Z")</f>
        <v>19:25:00Z</v>
      </c>
      <c r="G1500" s="11" t="str">
        <f>MID(F1500,1,LEN(F1500)-1)</f>
        <v>19:25:00</v>
      </c>
      <c r="H1500" s="10">
        <f>IFERROR(__xludf.DUMMYFUNCTION("SPLIT(D1500,""T"")"),41486.0)</f>
        <v>41486</v>
      </c>
      <c r="I1500" s="4" t="str">
        <f>IFERROR(__xludf.DUMMYFUNCTION("""COMPUTED_VALUE"""),"15:25:00Z")</f>
        <v>15:25:00Z</v>
      </c>
      <c r="J1500" s="4" t="str">
        <f>MID(I1500,1,LEN(I1500)-1)</f>
        <v>15:25:00</v>
      </c>
      <c r="K1500" s="4">
        <f>E1500-H1500</f>
        <v>0</v>
      </c>
      <c r="L1500" s="4">
        <f>G1500-J1500</f>
        <v>0.1666666667</v>
      </c>
      <c r="M1500" s="4">
        <f>K1500+L1500</f>
        <v>0.1666666667</v>
      </c>
    </row>
    <row r="1501" hidden="1">
      <c r="A1501" s="4" t="s">
        <v>134</v>
      </c>
      <c r="C1501" s="4" t="s">
        <v>3612</v>
      </c>
      <c r="D1501" s="4" t="s">
        <v>3613</v>
      </c>
      <c r="E1501" s="4" t="str">
        <f>IFERROR(__xludf.DUMMYFUNCTION("SPLIT(B1501,""T"")"),"#VALUE!")</f>
        <v>#VALUE!</v>
      </c>
    </row>
    <row r="1502">
      <c r="A1502" s="4" t="s">
        <v>240</v>
      </c>
      <c r="B1502" s="4" t="s">
        <v>241</v>
      </c>
      <c r="C1502" s="4" t="s">
        <v>242</v>
      </c>
      <c r="D1502" s="4" t="s">
        <v>243</v>
      </c>
      <c r="E1502" s="10">
        <f>IFERROR(__xludf.DUMMYFUNCTION("SPLIT(B1502,""T"")"),41582.0)</f>
        <v>41582</v>
      </c>
      <c r="F1502" s="4" t="str">
        <f>IFERROR(__xludf.DUMMYFUNCTION("""COMPUTED_VALUE"""),"15:35:00Z")</f>
        <v>15:35:00Z</v>
      </c>
      <c r="G1502" s="11" t="str">
        <f t="shared" ref="G1502:G1505" si="41">MID(F1502,1,LEN(F1502)-1)</f>
        <v>15:35:00</v>
      </c>
      <c r="H1502" s="10">
        <f>IFERROR(__xludf.DUMMYFUNCTION("SPLIT(D1502,""T"")"),41582.0)</f>
        <v>41582</v>
      </c>
      <c r="I1502" s="4" t="str">
        <f>IFERROR(__xludf.DUMMYFUNCTION("""COMPUTED_VALUE"""),"11:41:00Z")</f>
        <v>11:41:00Z</v>
      </c>
      <c r="J1502" s="4" t="str">
        <f t="shared" ref="J1502:J1505" si="42">MID(I1502,1,LEN(I1502)-1)</f>
        <v>11:41:00</v>
      </c>
      <c r="K1502" s="4">
        <f t="shared" ref="K1502:K1505" si="43">E1502-H1502</f>
        <v>0</v>
      </c>
      <c r="L1502" s="4">
        <f t="shared" ref="L1502:L1505" si="44">G1502-J1502</f>
        <v>0.1625</v>
      </c>
      <c r="M1502" s="4">
        <f t="shared" ref="M1502:M1505" si="45">K1502+L1502</f>
        <v>0.1625</v>
      </c>
    </row>
    <row r="1503">
      <c r="A1503" s="4" t="s">
        <v>97</v>
      </c>
      <c r="B1503" s="4" t="s">
        <v>989</v>
      </c>
      <c r="C1503" s="4" t="s">
        <v>990</v>
      </c>
      <c r="D1503" s="4" t="s">
        <v>991</v>
      </c>
      <c r="E1503" s="10">
        <f>IFERROR(__xludf.DUMMYFUNCTION("SPLIT(B1503,""T"")"),42184.0)</f>
        <v>42184</v>
      </c>
      <c r="F1503" s="4" t="str">
        <f>IFERROR(__xludf.DUMMYFUNCTION("""COMPUTED_VALUE"""),"17:05:00Z")</f>
        <v>17:05:00Z</v>
      </c>
      <c r="G1503" s="11" t="str">
        <f t="shared" si="41"/>
        <v>17:05:00</v>
      </c>
      <c r="H1503" s="10">
        <f>IFERROR(__xludf.DUMMYFUNCTION("SPLIT(D1503,""T"")"),42184.0)</f>
        <v>42184</v>
      </c>
      <c r="I1503" s="4" t="str">
        <f>IFERROR(__xludf.DUMMYFUNCTION("""COMPUTED_VALUE"""),"13:11:00Z")</f>
        <v>13:11:00Z</v>
      </c>
      <c r="J1503" s="4" t="str">
        <f t="shared" si="42"/>
        <v>13:11:00</v>
      </c>
      <c r="K1503" s="4">
        <f t="shared" si="43"/>
        <v>0</v>
      </c>
      <c r="L1503" s="4">
        <f t="shared" si="44"/>
        <v>0.1625</v>
      </c>
      <c r="M1503" s="4">
        <f t="shared" si="45"/>
        <v>0.1625</v>
      </c>
    </row>
    <row r="1504">
      <c r="A1504" s="4" t="s">
        <v>54</v>
      </c>
      <c r="B1504" s="4" t="s">
        <v>1531</v>
      </c>
      <c r="C1504" s="4" t="s">
        <v>1532</v>
      </c>
      <c r="D1504" s="4" t="s">
        <v>1533</v>
      </c>
      <c r="E1504" s="10">
        <f>IFERROR(__xludf.DUMMYFUNCTION("SPLIT(B1504,""T"")"),42552.0)</f>
        <v>42552</v>
      </c>
      <c r="F1504" s="4" t="str">
        <f>IFERROR(__xludf.DUMMYFUNCTION("""COMPUTED_VALUE"""),"17:45:00Z")</f>
        <v>17:45:00Z</v>
      </c>
      <c r="G1504" s="11" t="str">
        <f t="shared" si="41"/>
        <v>17:45:00</v>
      </c>
      <c r="H1504" s="10">
        <f>IFERROR(__xludf.DUMMYFUNCTION("SPLIT(D1504,""T"")"),42552.0)</f>
        <v>42552</v>
      </c>
      <c r="I1504" s="4" t="str">
        <f>IFERROR(__xludf.DUMMYFUNCTION("""COMPUTED_VALUE"""),"13:54:00Z")</f>
        <v>13:54:00Z</v>
      </c>
      <c r="J1504" s="4" t="str">
        <f t="shared" si="42"/>
        <v>13:54:00</v>
      </c>
      <c r="K1504" s="4">
        <f t="shared" si="43"/>
        <v>0</v>
      </c>
      <c r="L1504" s="4">
        <f t="shared" si="44"/>
        <v>0.1604166667</v>
      </c>
      <c r="M1504" s="4">
        <f t="shared" si="45"/>
        <v>0.1604166667</v>
      </c>
    </row>
    <row r="1505">
      <c r="A1505" s="4" t="s">
        <v>149</v>
      </c>
      <c r="B1505" s="4" t="s">
        <v>3724</v>
      </c>
      <c r="C1505" s="4" t="s">
        <v>3569</v>
      </c>
      <c r="D1505" s="4" t="s">
        <v>3725</v>
      </c>
      <c r="E1505" s="10">
        <f>IFERROR(__xludf.DUMMYFUNCTION("SPLIT(B1505,""T"")"),43749.0)</f>
        <v>43749</v>
      </c>
      <c r="F1505" s="4" t="str">
        <f>IFERROR(__xludf.DUMMYFUNCTION("""COMPUTED_VALUE"""),"16:21:00Z")</f>
        <v>16:21:00Z</v>
      </c>
      <c r="G1505" s="11" t="str">
        <f t="shared" si="41"/>
        <v>16:21:00</v>
      </c>
      <c r="H1505" s="10">
        <f>IFERROR(__xludf.DUMMYFUNCTION("SPLIT(D1505,""T"")"),43749.0)</f>
        <v>43749</v>
      </c>
      <c r="I1505" s="4" t="str">
        <f>IFERROR(__xludf.DUMMYFUNCTION("""COMPUTED_VALUE"""),"12:30:19Z")</f>
        <v>12:30:19Z</v>
      </c>
      <c r="J1505" s="4" t="str">
        <f t="shared" si="42"/>
        <v>12:30:19</v>
      </c>
      <c r="K1505" s="4">
        <f t="shared" si="43"/>
        <v>0</v>
      </c>
      <c r="L1505" s="4">
        <f t="shared" si="44"/>
        <v>0.1601967593</v>
      </c>
      <c r="M1505" s="4">
        <f t="shared" si="45"/>
        <v>0.1601967593</v>
      </c>
    </row>
    <row r="1506" hidden="1">
      <c r="A1506" s="4" t="s">
        <v>401</v>
      </c>
      <c r="C1506" s="4" t="s">
        <v>3623</v>
      </c>
      <c r="D1506" s="4" t="s">
        <v>3624</v>
      </c>
      <c r="E1506" s="4" t="str">
        <f>IFERROR(__xludf.DUMMYFUNCTION("SPLIT(B1506,""T"")"),"#VALUE!")</f>
        <v>#VALUE!</v>
      </c>
    </row>
    <row r="1507">
      <c r="A1507" s="4" t="s">
        <v>324</v>
      </c>
      <c r="B1507" s="4" t="s">
        <v>3842</v>
      </c>
      <c r="C1507" s="4" t="s">
        <v>3843</v>
      </c>
      <c r="D1507" s="4" t="s">
        <v>3844</v>
      </c>
      <c r="E1507" s="10">
        <f>IFERROR(__xludf.DUMMYFUNCTION("SPLIT(B1507,""T"")"),43733.0)</f>
        <v>43733</v>
      </c>
      <c r="F1507" s="4" t="str">
        <f>IFERROR(__xludf.DUMMYFUNCTION("""COMPUTED_VALUE"""),"17:00:00Z")</f>
        <v>17:00:00Z</v>
      </c>
      <c r="G1507" s="11" t="str">
        <f t="shared" ref="G1507:G1513" si="46">MID(F1507,1,LEN(F1507)-1)</f>
        <v>17:00:00</v>
      </c>
      <c r="H1507" s="10">
        <f>IFERROR(__xludf.DUMMYFUNCTION("SPLIT(D1507,""T"")"),43733.0)</f>
        <v>43733</v>
      </c>
      <c r="I1507" s="4" t="str">
        <f>IFERROR(__xludf.DUMMYFUNCTION("""COMPUTED_VALUE"""),"13:13:41Z")</f>
        <v>13:13:41Z</v>
      </c>
      <c r="J1507" s="4" t="str">
        <f t="shared" ref="J1507:J1513" si="47">MID(I1507,1,LEN(I1507)-1)</f>
        <v>13:13:41</v>
      </c>
      <c r="K1507" s="4">
        <f t="shared" ref="K1507:K1513" si="48">E1507-H1507</f>
        <v>0</v>
      </c>
      <c r="L1507" s="4">
        <f t="shared" ref="L1507:L1513" si="49">G1507-J1507</f>
        <v>0.1571643519</v>
      </c>
      <c r="M1507" s="4">
        <f t="shared" ref="M1507:M1513" si="50">K1507+L1507</f>
        <v>0.1571643519</v>
      </c>
    </row>
    <row r="1508" hidden="1">
      <c r="A1508" s="4" t="s">
        <v>367</v>
      </c>
      <c r="B1508" s="4" t="s">
        <v>3627</v>
      </c>
      <c r="C1508" s="4" t="s">
        <v>1538</v>
      </c>
      <c r="D1508" s="4" t="s">
        <v>3628</v>
      </c>
      <c r="E1508" s="10">
        <f>IFERROR(__xludf.DUMMYFUNCTION("SPLIT(B1508,""T"")"),43641.0)</f>
        <v>43641</v>
      </c>
      <c r="F1508" s="4" t="str">
        <f>IFERROR(__xludf.DUMMYFUNCTION("""COMPUTED_VALUE"""),"13:50:00Z")</f>
        <v>13:50:00Z</v>
      </c>
      <c r="G1508" s="11" t="str">
        <f t="shared" si="46"/>
        <v>13:50:00</v>
      </c>
      <c r="H1508" s="10">
        <f>IFERROR(__xludf.DUMMYFUNCTION("SPLIT(D1508,""T"")"),43641.0)</f>
        <v>43641</v>
      </c>
      <c r="I1508" s="4" t="str">
        <f>IFERROR(__xludf.DUMMYFUNCTION("""COMPUTED_VALUE"""),"13:51:09Z")</f>
        <v>13:51:09Z</v>
      </c>
      <c r="J1508" s="4" t="str">
        <f t="shared" si="47"/>
        <v>13:51:09</v>
      </c>
      <c r="K1508" s="4">
        <f t="shared" si="48"/>
        <v>0</v>
      </c>
      <c r="L1508" s="4">
        <f t="shared" si="49"/>
        <v>-0.0007986111111</v>
      </c>
      <c r="M1508" s="4">
        <f t="shared" si="50"/>
        <v>-0.0007986111111</v>
      </c>
    </row>
    <row r="1509">
      <c r="A1509" s="4" t="s">
        <v>54</v>
      </c>
      <c r="B1509" s="4" t="s">
        <v>1012</v>
      </c>
      <c r="C1509" s="4" t="s">
        <v>644</v>
      </c>
      <c r="D1509" s="4" t="s">
        <v>1013</v>
      </c>
      <c r="E1509" s="10">
        <f>IFERROR(__xludf.DUMMYFUNCTION("SPLIT(B1509,""T"")"),42189.0)</f>
        <v>42189</v>
      </c>
      <c r="F1509" s="4" t="str">
        <f>IFERROR(__xludf.DUMMYFUNCTION("""COMPUTED_VALUE"""),"20:15:00Z")</f>
        <v>20:15:00Z</v>
      </c>
      <c r="G1509" s="11" t="str">
        <f t="shared" si="46"/>
        <v>20:15:00</v>
      </c>
      <c r="H1509" s="10">
        <f>IFERROR(__xludf.DUMMYFUNCTION("SPLIT(D1509,""T"")"),42189.0)</f>
        <v>42189</v>
      </c>
      <c r="I1509" s="4" t="str">
        <f>IFERROR(__xludf.DUMMYFUNCTION("""COMPUTED_VALUE"""),"16:33:00Z")</f>
        <v>16:33:00Z</v>
      </c>
      <c r="J1509" s="4" t="str">
        <f t="shared" si="47"/>
        <v>16:33:00</v>
      </c>
      <c r="K1509" s="4">
        <f t="shared" si="48"/>
        <v>0</v>
      </c>
      <c r="L1509" s="4">
        <f t="shared" si="49"/>
        <v>0.1541666667</v>
      </c>
      <c r="M1509" s="4">
        <f t="shared" si="50"/>
        <v>0.1541666667</v>
      </c>
    </row>
    <row r="1510">
      <c r="A1510" s="4" t="s">
        <v>39</v>
      </c>
      <c r="B1510" s="4" t="s">
        <v>264</v>
      </c>
      <c r="C1510" s="4" t="s">
        <v>265</v>
      </c>
      <c r="D1510" s="4" t="s">
        <v>266</v>
      </c>
      <c r="E1510" s="10">
        <f>IFERROR(__xludf.DUMMYFUNCTION("SPLIT(B1510,""T"")"),41450.0)</f>
        <v>41450</v>
      </c>
      <c r="F1510" s="4" t="str">
        <f>IFERROR(__xludf.DUMMYFUNCTION("""COMPUTED_VALUE"""),"17:15:00Z")</f>
        <v>17:15:00Z</v>
      </c>
      <c r="G1510" s="11" t="str">
        <f t="shared" si="46"/>
        <v>17:15:00</v>
      </c>
      <c r="H1510" s="10">
        <f>IFERROR(__xludf.DUMMYFUNCTION("SPLIT(D1510,""T"")"),41450.0)</f>
        <v>41450</v>
      </c>
      <c r="I1510" s="4" t="str">
        <f>IFERROR(__xludf.DUMMYFUNCTION("""COMPUTED_VALUE"""),"13:36:00Z")</f>
        <v>13:36:00Z</v>
      </c>
      <c r="J1510" s="4" t="str">
        <f t="shared" si="47"/>
        <v>13:36:00</v>
      </c>
      <c r="K1510" s="4">
        <f t="shared" si="48"/>
        <v>0</v>
      </c>
      <c r="L1510" s="4">
        <f t="shared" si="49"/>
        <v>0.1520833333</v>
      </c>
      <c r="M1510" s="4">
        <f t="shared" si="50"/>
        <v>0.1520833333</v>
      </c>
    </row>
    <row r="1511">
      <c r="A1511" s="4" t="s">
        <v>58</v>
      </c>
      <c r="B1511" s="4" t="s">
        <v>472</v>
      </c>
      <c r="C1511" s="4" t="s">
        <v>473</v>
      </c>
      <c r="D1511" s="4" t="s">
        <v>474</v>
      </c>
      <c r="E1511" s="10">
        <f>IFERROR(__xludf.DUMMYFUNCTION("SPLIT(B1511,""T"")"),41585.0)</f>
        <v>41585</v>
      </c>
      <c r="F1511" s="4" t="str">
        <f>IFERROR(__xludf.DUMMYFUNCTION("""COMPUTED_VALUE"""),"19:45:00Z")</f>
        <v>19:45:00Z</v>
      </c>
      <c r="G1511" s="11" t="str">
        <f t="shared" si="46"/>
        <v>19:45:00</v>
      </c>
      <c r="H1511" s="10">
        <f>IFERROR(__xludf.DUMMYFUNCTION("SPLIT(D1511,""T"")"),41585.0)</f>
        <v>41585</v>
      </c>
      <c r="I1511" s="4" t="str">
        <f>IFERROR(__xludf.DUMMYFUNCTION("""COMPUTED_VALUE"""),"16:10:00Z")</f>
        <v>16:10:00Z</v>
      </c>
      <c r="J1511" s="4" t="str">
        <f t="shared" si="47"/>
        <v>16:10:00</v>
      </c>
      <c r="K1511" s="4">
        <f t="shared" si="48"/>
        <v>0</v>
      </c>
      <c r="L1511" s="4">
        <f t="shared" si="49"/>
        <v>0.1493055556</v>
      </c>
      <c r="M1511" s="4">
        <f t="shared" si="50"/>
        <v>0.1493055556</v>
      </c>
    </row>
    <row r="1512">
      <c r="A1512" s="4" t="s">
        <v>19</v>
      </c>
      <c r="B1512" s="4" t="s">
        <v>307</v>
      </c>
      <c r="C1512" s="4" t="s">
        <v>308</v>
      </c>
      <c r="D1512" s="4" t="s">
        <v>309</v>
      </c>
      <c r="E1512" s="10">
        <f>IFERROR(__xludf.DUMMYFUNCTION("SPLIT(B1512,""T"")"),41427.0)</f>
        <v>41427</v>
      </c>
      <c r="F1512" s="4" t="str">
        <f>IFERROR(__xludf.DUMMYFUNCTION("""COMPUTED_VALUE"""),"16:55:00Z")</f>
        <v>16:55:00Z</v>
      </c>
      <c r="G1512" s="11" t="str">
        <f t="shared" si="46"/>
        <v>16:55:00</v>
      </c>
      <c r="H1512" s="10">
        <f>IFERROR(__xludf.DUMMYFUNCTION("SPLIT(D1512,""T"")"),41427.0)</f>
        <v>41427</v>
      </c>
      <c r="I1512" s="4" t="str">
        <f>IFERROR(__xludf.DUMMYFUNCTION("""COMPUTED_VALUE"""),"13:30:00Z")</f>
        <v>13:30:00Z</v>
      </c>
      <c r="J1512" s="4" t="str">
        <f t="shared" si="47"/>
        <v>13:30:00</v>
      </c>
      <c r="K1512" s="4">
        <f t="shared" si="48"/>
        <v>0</v>
      </c>
      <c r="L1512" s="4">
        <f t="shared" si="49"/>
        <v>0.1423611111</v>
      </c>
      <c r="M1512" s="4">
        <f t="shared" si="50"/>
        <v>0.1423611111</v>
      </c>
    </row>
    <row r="1513">
      <c r="A1513" s="4" t="s">
        <v>149</v>
      </c>
      <c r="B1513" s="4" t="s">
        <v>333</v>
      </c>
      <c r="C1513" s="4" t="s">
        <v>468</v>
      </c>
      <c r="D1513" s="4" t="s">
        <v>469</v>
      </c>
      <c r="E1513" s="10">
        <f>IFERROR(__xludf.DUMMYFUNCTION("SPLIT(B1513,""T"")"),41414.0)</f>
        <v>41414</v>
      </c>
      <c r="F1513" s="4" t="str">
        <f>IFERROR(__xludf.DUMMYFUNCTION("""COMPUTED_VALUE"""),"19:10:00Z")</f>
        <v>19:10:00Z</v>
      </c>
      <c r="G1513" s="11" t="str">
        <f t="shared" si="46"/>
        <v>19:10:00</v>
      </c>
      <c r="H1513" s="10">
        <f>IFERROR(__xludf.DUMMYFUNCTION("SPLIT(D1513,""T"")"),41414.0)</f>
        <v>41414</v>
      </c>
      <c r="I1513" s="4" t="str">
        <f>IFERROR(__xludf.DUMMYFUNCTION("""COMPUTED_VALUE"""),"15:45:00Z")</f>
        <v>15:45:00Z</v>
      </c>
      <c r="J1513" s="4" t="str">
        <f t="shared" si="47"/>
        <v>15:45:00</v>
      </c>
      <c r="K1513" s="4">
        <f t="shared" si="48"/>
        <v>0</v>
      </c>
      <c r="L1513" s="4">
        <f t="shared" si="49"/>
        <v>0.1423611111</v>
      </c>
      <c r="M1513" s="4">
        <f t="shared" si="50"/>
        <v>0.1423611111</v>
      </c>
    </row>
    <row r="1514" hidden="1">
      <c r="A1514" s="4" t="s">
        <v>2397</v>
      </c>
      <c r="C1514" s="4" t="s">
        <v>3641</v>
      </c>
      <c r="D1514" s="4" t="s">
        <v>3642</v>
      </c>
      <c r="E1514" s="4" t="str">
        <f>IFERROR(__xludf.DUMMYFUNCTION("SPLIT(B1514,""T"")"),"#VALUE!")</f>
        <v>#VALUE!</v>
      </c>
    </row>
    <row r="1515" hidden="1">
      <c r="A1515" s="4" t="s">
        <v>411</v>
      </c>
      <c r="C1515" s="4" t="s">
        <v>3643</v>
      </c>
      <c r="D1515" s="4" t="s">
        <v>3644</v>
      </c>
      <c r="E1515" s="4" t="str">
        <f>IFERROR(__xludf.DUMMYFUNCTION("SPLIT(B1515,""T"")"),"#VALUE!")</f>
        <v>#VALUE!</v>
      </c>
    </row>
    <row r="1516">
      <c r="A1516" s="4" t="s">
        <v>31</v>
      </c>
      <c r="B1516" s="4" t="s">
        <v>708</v>
      </c>
      <c r="C1516" s="4" t="s">
        <v>709</v>
      </c>
      <c r="D1516" s="4" t="s">
        <v>710</v>
      </c>
      <c r="E1516" s="10">
        <f>IFERROR(__xludf.DUMMYFUNCTION("SPLIT(B1516,""T"")"),41661.0)</f>
        <v>41661</v>
      </c>
      <c r="F1516" s="4" t="str">
        <f>IFERROR(__xludf.DUMMYFUNCTION("""COMPUTED_VALUE"""),"16:35:00Z")</f>
        <v>16:35:00Z</v>
      </c>
      <c r="G1516" s="11" t="str">
        <f t="shared" ref="G1516:G1517" si="51">MID(F1516,1,LEN(F1516)-1)</f>
        <v>16:35:00</v>
      </c>
      <c r="H1516" s="10">
        <f>IFERROR(__xludf.DUMMYFUNCTION("SPLIT(D1516,""T"")"),41661.0)</f>
        <v>41661</v>
      </c>
      <c r="I1516" s="4" t="str">
        <f>IFERROR(__xludf.DUMMYFUNCTION("""COMPUTED_VALUE"""),"13:10:00Z")</f>
        <v>13:10:00Z</v>
      </c>
      <c r="J1516" s="4" t="str">
        <f t="shared" ref="J1516:J1517" si="52">MID(I1516,1,LEN(I1516)-1)</f>
        <v>13:10:00</v>
      </c>
      <c r="K1516" s="4">
        <f t="shared" ref="K1516:K1517" si="53">E1516-H1516</f>
        <v>0</v>
      </c>
      <c r="L1516" s="4">
        <f t="shared" ref="L1516:L1517" si="54">G1516-J1516</f>
        <v>0.1423611111</v>
      </c>
      <c r="M1516" s="4">
        <f t="shared" ref="M1516:M1517" si="55">K1516+L1516</f>
        <v>0.1423611111</v>
      </c>
    </row>
    <row r="1517">
      <c r="A1517" s="4" t="s">
        <v>278</v>
      </c>
      <c r="B1517" s="4" t="s">
        <v>1176</v>
      </c>
      <c r="C1517" s="4" t="s">
        <v>1177</v>
      </c>
      <c r="D1517" s="4" t="s">
        <v>1178</v>
      </c>
      <c r="E1517" s="10">
        <f>IFERROR(__xludf.DUMMYFUNCTION("SPLIT(B1517,""T"")"),42195.0)</f>
        <v>42195</v>
      </c>
      <c r="F1517" s="4" t="str">
        <f>IFERROR(__xludf.DUMMYFUNCTION("""COMPUTED_VALUE"""),"17:00:00Z")</f>
        <v>17:00:00Z</v>
      </c>
      <c r="G1517" s="11" t="str">
        <f t="shared" si="51"/>
        <v>17:00:00</v>
      </c>
      <c r="H1517" s="10">
        <f>IFERROR(__xludf.DUMMYFUNCTION("SPLIT(D1517,""T"")"),42195.0)</f>
        <v>42195</v>
      </c>
      <c r="I1517" s="4" t="str">
        <f>IFERROR(__xludf.DUMMYFUNCTION("""COMPUTED_VALUE"""),"13:36:00Z")</f>
        <v>13:36:00Z</v>
      </c>
      <c r="J1517" s="4" t="str">
        <f t="shared" si="52"/>
        <v>13:36:00</v>
      </c>
      <c r="K1517" s="4">
        <f t="shared" si="53"/>
        <v>0</v>
      </c>
      <c r="L1517" s="4">
        <f t="shared" si="54"/>
        <v>0.1416666667</v>
      </c>
      <c r="M1517" s="4">
        <f t="shared" si="55"/>
        <v>0.1416666667</v>
      </c>
    </row>
    <row r="1518" hidden="1">
      <c r="A1518" s="4" t="s">
        <v>166</v>
      </c>
      <c r="C1518" s="4" t="s">
        <v>1278</v>
      </c>
      <c r="D1518" s="4" t="s">
        <v>3651</v>
      </c>
      <c r="E1518" s="4" t="str">
        <f>IFERROR(__xludf.DUMMYFUNCTION("SPLIT(B1518,""T"")"),"#VALUE!")</f>
        <v>#VALUE!</v>
      </c>
    </row>
    <row r="1519" hidden="1">
      <c r="A1519" s="4" t="s">
        <v>212</v>
      </c>
      <c r="B1519" s="4" t="s">
        <v>3652</v>
      </c>
      <c r="C1519" s="4" t="s">
        <v>929</v>
      </c>
      <c r="D1519" s="4" t="s">
        <v>3653</v>
      </c>
      <c r="E1519" s="10">
        <f>IFERROR(__xludf.DUMMYFUNCTION("SPLIT(B1519,""T"")"),43741.0)</f>
        <v>43741</v>
      </c>
      <c r="F1519" s="4" t="str">
        <f>IFERROR(__xludf.DUMMYFUNCTION("""COMPUTED_VALUE"""),"12:03:00Z")</f>
        <v>12:03:00Z</v>
      </c>
      <c r="G1519" s="11" t="str">
        <f t="shared" ref="G1519:G1521" si="56">MID(F1519,1,LEN(F1519)-1)</f>
        <v>12:03:00</v>
      </c>
      <c r="H1519" s="10">
        <f>IFERROR(__xludf.DUMMYFUNCTION("SPLIT(D1519,""T"")"),43742.0)</f>
        <v>43742</v>
      </c>
      <c r="I1519" s="4" t="str">
        <f>IFERROR(__xludf.DUMMYFUNCTION("""COMPUTED_VALUE"""),"12:03:48Z")</f>
        <v>12:03:48Z</v>
      </c>
      <c r="J1519" s="4" t="str">
        <f t="shared" ref="J1519:J1521" si="57">MID(I1519,1,LEN(I1519)-1)</f>
        <v>12:03:48</v>
      </c>
      <c r="K1519" s="4">
        <f t="shared" ref="K1519:K1521" si="58">E1519-H1519</f>
        <v>-1</v>
      </c>
      <c r="L1519" s="4">
        <f t="shared" ref="L1519:L1521" si="59">G1519-J1519</f>
        <v>-0.0005555555556</v>
      </c>
      <c r="M1519" s="4">
        <f t="shared" ref="M1519:M1521" si="60">K1519+L1519</f>
        <v>-1.000555556</v>
      </c>
    </row>
    <row r="1520">
      <c r="A1520" s="4" t="s">
        <v>27</v>
      </c>
      <c r="B1520" s="4" t="s">
        <v>426</v>
      </c>
      <c r="C1520" s="4" t="s">
        <v>427</v>
      </c>
      <c r="D1520" s="4" t="s">
        <v>428</v>
      </c>
      <c r="E1520" s="10">
        <f>IFERROR(__xludf.DUMMYFUNCTION("SPLIT(B1520,""T"")"),41433.0)</f>
        <v>41433</v>
      </c>
      <c r="F1520" s="4" t="str">
        <f>IFERROR(__xludf.DUMMYFUNCTION("""COMPUTED_VALUE"""),"19:00:00Z")</f>
        <v>19:00:00Z</v>
      </c>
      <c r="G1520" s="11" t="str">
        <f t="shared" si="56"/>
        <v>19:00:00</v>
      </c>
      <c r="H1520" s="10">
        <f>IFERROR(__xludf.DUMMYFUNCTION("SPLIT(D1520,""T"")"),41433.0)</f>
        <v>41433</v>
      </c>
      <c r="I1520" s="4" t="str">
        <f>IFERROR(__xludf.DUMMYFUNCTION("""COMPUTED_VALUE"""),"15:37:00Z")</f>
        <v>15:37:00Z</v>
      </c>
      <c r="J1520" s="4" t="str">
        <f t="shared" si="57"/>
        <v>15:37:00</v>
      </c>
      <c r="K1520" s="4">
        <f t="shared" si="58"/>
        <v>0</v>
      </c>
      <c r="L1520" s="4">
        <f t="shared" si="59"/>
        <v>0.1409722222</v>
      </c>
      <c r="M1520" s="4">
        <f t="shared" si="60"/>
        <v>0.1409722222</v>
      </c>
    </row>
    <row r="1521">
      <c r="A1521" s="4" t="s">
        <v>31</v>
      </c>
      <c r="B1521" s="4" t="s">
        <v>1534</v>
      </c>
      <c r="C1521" s="4" t="s">
        <v>1535</v>
      </c>
      <c r="D1521" s="4" t="s">
        <v>1536</v>
      </c>
      <c r="E1521" s="10">
        <f>IFERROR(__xludf.DUMMYFUNCTION("SPLIT(B1521,""T"")"),42542.0)</f>
        <v>42542</v>
      </c>
      <c r="F1521" s="4" t="str">
        <f>IFERROR(__xludf.DUMMYFUNCTION("""COMPUTED_VALUE"""),"15:45:00Z")</f>
        <v>15:45:00Z</v>
      </c>
      <c r="G1521" s="11" t="str">
        <f t="shared" si="56"/>
        <v>15:45:00</v>
      </c>
      <c r="H1521" s="10">
        <f>IFERROR(__xludf.DUMMYFUNCTION("SPLIT(D1521,""T"")"),42542.0)</f>
        <v>42542</v>
      </c>
      <c r="I1521" s="4" t="str">
        <f>IFERROR(__xludf.DUMMYFUNCTION("""COMPUTED_VALUE"""),"12:24:00Z")</f>
        <v>12:24:00Z</v>
      </c>
      <c r="J1521" s="4" t="str">
        <f t="shared" si="57"/>
        <v>12:24:00</v>
      </c>
      <c r="K1521" s="4">
        <f t="shared" si="58"/>
        <v>0</v>
      </c>
      <c r="L1521" s="4">
        <f t="shared" si="59"/>
        <v>0.1395833333</v>
      </c>
      <c r="M1521" s="4">
        <f t="shared" si="60"/>
        <v>0.1395833333</v>
      </c>
    </row>
    <row r="1522" hidden="1">
      <c r="A1522" s="4" t="s">
        <v>401</v>
      </c>
      <c r="C1522" s="4" t="s">
        <v>3658</v>
      </c>
      <c r="D1522" s="4" t="s">
        <v>3659</v>
      </c>
      <c r="E1522" s="4" t="str">
        <f>IFERROR(__xludf.DUMMYFUNCTION("SPLIT(B1522,""T"")"),"#VALUE!")</f>
        <v>#VALUE!</v>
      </c>
    </row>
    <row r="1523">
      <c r="A1523" s="4" t="s">
        <v>87</v>
      </c>
      <c r="B1523" s="4" t="s">
        <v>1525</v>
      </c>
      <c r="C1523" s="4" t="s">
        <v>1526</v>
      </c>
      <c r="D1523" s="4" t="s">
        <v>1527</v>
      </c>
      <c r="E1523" s="10">
        <f>IFERROR(__xludf.DUMMYFUNCTION("SPLIT(B1523,""T"")"),42517.0)</f>
        <v>42517</v>
      </c>
      <c r="F1523" s="4" t="str">
        <f>IFERROR(__xludf.DUMMYFUNCTION("""COMPUTED_VALUE"""),"17:00:00Z")</f>
        <v>17:00:00Z</v>
      </c>
      <c r="G1523" s="11" t="str">
        <f>MID(F1523,1,LEN(F1523)-1)</f>
        <v>17:00:00</v>
      </c>
      <c r="H1523" s="10">
        <f>IFERROR(__xludf.DUMMYFUNCTION("SPLIT(D1523,""T"")"),42517.0)</f>
        <v>42517</v>
      </c>
      <c r="I1523" s="4" t="str">
        <f>IFERROR(__xludf.DUMMYFUNCTION("""COMPUTED_VALUE"""),"13:43:00Z")</f>
        <v>13:43:00Z</v>
      </c>
      <c r="J1523" s="4" t="str">
        <f>MID(I1523,1,LEN(I1523)-1)</f>
        <v>13:43:00</v>
      </c>
      <c r="K1523" s="4">
        <f>E1523-H1523</f>
        <v>0</v>
      </c>
      <c r="L1523" s="4">
        <f>G1523-J1523</f>
        <v>0.1368055556</v>
      </c>
      <c r="M1523" s="4">
        <f>K1523+L1523</f>
        <v>0.1368055556</v>
      </c>
    </row>
    <row r="1524" hidden="1">
      <c r="A1524" s="4" t="s">
        <v>80</v>
      </c>
      <c r="C1524" s="4" t="s">
        <v>3663</v>
      </c>
      <c r="D1524" s="4" t="s">
        <v>3664</v>
      </c>
      <c r="E1524" s="4" t="str">
        <f>IFERROR(__xludf.DUMMYFUNCTION("SPLIT(B1524,""T"")"),"#VALUE!")</f>
        <v>#VALUE!</v>
      </c>
    </row>
    <row r="1525">
      <c r="A1525" s="4" t="s">
        <v>58</v>
      </c>
      <c r="B1525" s="4" t="s">
        <v>3701</v>
      </c>
      <c r="C1525" s="4" t="s">
        <v>3702</v>
      </c>
      <c r="D1525" s="4" t="s">
        <v>3703</v>
      </c>
      <c r="E1525" s="10">
        <f>IFERROR(__xludf.DUMMYFUNCTION("SPLIT(B1525,""T"")"),43748.0)</f>
        <v>43748</v>
      </c>
      <c r="F1525" s="4" t="str">
        <f>IFERROR(__xludf.DUMMYFUNCTION("""COMPUTED_VALUE"""),"19:05:00Z")</f>
        <v>19:05:00Z</v>
      </c>
      <c r="G1525" s="11" t="str">
        <f t="shared" ref="G1525:G1527" si="61">MID(F1525,1,LEN(F1525)-1)</f>
        <v>19:05:00</v>
      </c>
      <c r="H1525" s="10">
        <f>IFERROR(__xludf.DUMMYFUNCTION("SPLIT(D1525,""T"")"),43748.0)</f>
        <v>43748</v>
      </c>
      <c r="I1525" s="4" t="str">
        <f>IFERROR(__xludf.DUMMYFUNCTION("""COMPUTED_VALUE"""),"15:49:07Z")</f>
        <v>15:49:07Z</v>
      </c>
      <c r="J1525" s="4" t="str">
        <f t="shared" ref="J1525:J1527" si="62">MID(I1525,1,LEN(I1525)-1)</f>
        <v>15:49:07</v>
      </c>
      <c r="K1525" s="4">
        <f t="shared" ref="K1525:K1527" si="63">E1525-H1525</f>
        <v>0</v>
      </c>
      <c r="L1525" s="4">
        <f t="shared" ref="L1525:L1527" si="64">G1525-J1525</f>
        <v>0.1360300926</v>
      </c>
      <c r="M1525" s="4">
        <f t="shared" ref="M1525:M1527" si="65">K1525+L1525</f>
        <v>0.1360300926</v>
      </c>
    </row>
    <row r="1526">
      <c r="A1526" s="4" t="s">
        <v>87</v>
      </c>
      <c r="B1526" s="4" t="s">
        <v>1072</v>
      </c>
      <c r="C1526" s="4" t="s">
        <v>1073</v>
      </c>
      <c r="D1526" s="4" t="s">
        <v>1074</v>
      </c>
      <c r="E1526" s="10">
        <f>IFERROR(__xludf.DUMMYFUNCTION("SPLIT(B1526,""T"")"),42279.0)</f>
        <v>42279</v>
      </c>
      <c r="F1526" s="4" t="str">
        <f>IFERROR(__xludf.DUMMYFUNCTION("""COMPUTED_VALUE"""),"17:50:00Z")</f>
        <v>17:50:00Z</v>
      </c>
      <c r="G1526" s="11" t="str">
        <f t="shared" si="61"/>
        <v>17:50:00</v>
      </c>
      <c r="H1526" s="10">
        <f>IFERROR(__xludf.DUMMYFUNCTION("SPLIT(D1526,""T"")"),42279.0)</f>
        <v>42279</v>
      </c>
      <c r="I1526" s="4" t="str">
        <f>IFERROR(__xludf.DUMMYFUNCTION("""COMPUTED_VALUE"""),"14:38:00Z")</f>
        <v>14:38:00Z</v>
      </c>
      <c r="J1526" s="4" t="str">
        <f t="shared" si="62"/>
        <v>14:38:00</v>
      </c>
      <c r="K1526" s="4">
        <f t="shared" si="63"/>
        <v>0</v>
      </c>
      <c r="L1526" s="4">
        <f t="shared" si="64"/>
        <v>0.1333333333</v>
      </c>
      <c r="M1526" s="4">
        <f t="shared" si="65"/>
        <v>0.1333333333</v>
      </c>
    </row>
    <row r="1527">
      <c r="A1527" s="4" t="s">
        <v>87</v>
      </c>
      <c r="B1527" s="4" t="s">
        <v>1499</v>
      </c>
      <c r="C1527" s="4" t="s">
        <v>1500</v>
      </c>
      <c r="D1527" s="4" t="s">
        <v>1501</v>
      </c>
      <c r="E1527" s="10">
        <f>IFERROR(__xludf.DUMMYFUNCTION("SPLIT(B1527,""T"")"),42541.0)</f>
        <v>42541</v>
      </c>
      <c r="F1527" s="4" t="str">
        <f>IFERROR(__xludf.DUMMYFUNCTION("""COMPUTED_VALUE"""),"19:50:00Z")</f>
        <v>19:50:00Z</v>
      </c>
      <c r="G1527" s="11" t="str">
        <f t="shared" si="61"/>
        <v>19:50:00</v>
      </c>
      <c r="H1527" s="10">
        <f>IFERROR(__xludf.DUMMYFUNCTION("SPLIT(D1527,""T"")"),42541.0)</f>
        <v>42541</v>
      </c>
      <c r="I1527" s="4" t="str">
        <f>IFERROR(__xludf.DUMMYFUNCTION("""COMPUTED_VALUE"""),"16:38:00Z")</f>
        <v>16:38:00Z</v>
      </c>
      <c r="J1527" s="4" t="str">
        <f t="shared" si="62"/>
        <v>16:38:00</v>
      </c>
      <c r="K1527" s="4">
        <f t="shared" si="63"/>
        <v>0</v>
      </c>
      <c r="L1527" s="4">
        <f t="shared" si="64"/>
        <v>0.1333333333</v>
      </c>
      <c r="M1527" s="4">
        <f t="shared" si="65"/>
        <v>0.1333333333</v>
      </c>
    </row>
    <row r="1528" hidden="1">
      <c r="A1528" s="4" t="s">
        <v>149</v>
      </c>
      <c r="C1528" s="4" t="s">
        <v>758</v>
      </c>
      <c r="D1528" s="4" t="s">
        <v>3671</v>
      </c>
      <c r="E1528" s="4" t="str">
        <f>IFERROR(__xludf.DUMMYFUNCTION("SPLIT(B1528,""T"")"),"#VALUE!")</f>
        <v>#VALUE!</v>
      </c>
    </row>
    <row r="1529">
      <c r="A1529" s="4" t="s">
        <v>58</v>
      </c>
      <c r="B1529" s="4" t="s">
        <v>1729</v>
      </c>
      <c r="C1529" s="4" t="s">
        <v>424</v>
      </c>
      <c r="D1529" s="4" t="s">
        <v>1730</v>
      </c>
      <c r="E1529" s="10">
        <f>IFERROR(__xludf.DUMMYFUNCTION("SPLIT(B1529,""T"")"),42515.0)</f>
        <v>42515</v>
      </c>
      <c r="F1529" s="4" t="str">
        <f>IFERROR(__xludf.DUMMYFUNCTION("""COMPUTED_VALUE"""),"20:00:00Z")</f>
        <v>20:00:00Z</v>
      </c>
      <c r="G1529" s="11" t="str">
        <f>MID(F1529,1,LEN(F1529)-1)</f>
        <v>20:00:00</v>
      </c>
      <c r="H1529" s="10">
        <f>IFERROR(__xludf.DUMMYFUNCTION("SPLIT(D1529,""T"")"),42515.0)</f>
        <v>42515</v>
      </c>
      <c r="I1529" s="4" t="str">
        <f>IFERROR(__xludf.DUMMYFUNCTION("""COMPUTED_VALUE"""),"16:51:00Z")</f>
        <v>16:51:00Z</v>
      </c>
      <c r="J1529" s="4" t="str">
        <f>MID(I1529,1,LEN(I1529)-1)</f>
        <v>16:51:00</v>
      </c>
      <c r="K1529" s="4">
        <f>E1529-H1529</f>
        <v>0</v>
      </c>
      <c r="L1529" s="4">
        <f>G1529-J1529</f>
        <v>0.13125</v>
      </c>
      <c r="M1529" s="4">
        <f>K1529+L1529</f>
        <v>0.13125</v>
      </c>
    </row>
    <row r="1530" hidden="1">
      <c r="A1530" s="4" t="s">
        <v>62</v>
      </c>
      <c r="C1530" s="4" t="s">
        <v>3042</v>
      </c>
      <c r="D1530" s="4" t="s">
        <v>3674</v>
      </c>
      <c r="E1530" s="4" t="str">
        <f>IFERROR(__xludf.DUMMYFUNCTION("SPLIT(B1530,""T"")"),"#VALUE!")</f>
        <v>#VALUE!</v>
      </c>
    </row>
    <row r="1531">
      <c r="A1531" s="4" t="s">
        <v>205</v>
      </c>
      <c r="B1531" s="4" t="s">
        <v>206</v>
      </c>
      <c r="C1531" s="4" t="s">
        <v>207</v>
      </c>
      <c r="D1531" s="4" t="s">
        <v>208</v>
      </c>
      <c r="E1531" s="10">
        <f>IFERROR(__xludf.DUMMYFUNCTION("SPLIT(B1531,""T"")"),41433.0)</f>
        <v>41433</v>
      </c>
      <c r="F1531" s="4" t="str">
        <f>IFERROR(__xludf.DUMMYFUNCTION("""COMPUTED_VALUE"""),"13:25:00Z")</f>
        <v>13:25:00Z</v>
      </c>
      <c r="G1531" s="11" t="str">
        <f t="shared" ref="G1531:G1543" si="66">MID(F1531,1,LEN(F1531)-1)</f>
        <v>13:25:00</v>
      </c>
      <c r="H1531" s="10">
        <f>IFERROR(__xludf.DUMMYFUNCTION("SPLIT(D1531,""T"")"),41433.0)</f>
        <v>41433</v>
      </c>
      <c r="I1531" s="4" t="str">
        <f>IFERROR(__xludf.DUMMYFUNCTION("""COMPUTED_VALUE"""),"10:16:00Z")</f>
        <v>10:16:00Z</v>
      </c>
      <c r="J1531" s="4" t="str">
        <f t="shared" ref="J1531:J1543" si="67">MID(I1531,1,LEN(I1531)-1)</f>
        <v>10:16:00</v>
      </c>
      <c r="K1531" s="4">
        <f t="shared" ref="K1531:K1543" si="68">E1531-H1531</f>
        <v>0</v>
      </c>
      <c r="L1531" s="4">
        <f t="shared" ref="L1531:L1543" si="69">G1531-J1531</f>
        <v>0.13125</v>
      </c>
      <c r="M1531" s="4">
        <f t="shared" ref="M1531:M1543" si="70">K1531+L1531</f>
        <v>0.13125</v>
      </c>
    </row>
    <row r="1532">
      <c r="A1532" s="4" t="s">
        <v>278</v>
      </c>
      <c r="B1532" s="4" t="s">
        <v>1584</v>
      </c>
      <c r="C1532" s="4" t="s">
        <v>730</v>
      </c>
      <c r="D1532" s="4" t="s">
        <v>1585</v>
      </c>
      <c r="E1532" s="10">
        <f>IFERROR(__xludf.DUMMYFUNCTION("SPLIT(B1532,""T"")"),42573.0)</f>
        <v>42573</v>
      </c>
      <c r="F1532" s="4" t="str">
        <f>IFERROR(__xludf.DUMMYFUNCTION("""COMPUTED_VALUE"""),"16:07:00Z")</f>
        <v>16:07:00Z</v>
      </c>
      <c r="G1532" s="11" t="str">
        <f t="shared" si="66"/>
        <v>16:07:00</v>
      </c>
      <c r="H1532" s="10">
        <f>IFERROR(__xludf.DUMMYFUNCTION("SPLIT(D1532,""T"")"),42573.0)</f>
        <v>42573</v>
      </c>
      <c r="I1532" s="4" t="str">
        <f>IFERROR(__xludf.DUMMYFUNCTION("""COMPUTED_VALUE"""),"13:01:00Z")</f>
        <v>13:01:00Z</v>
      </c>
      <c r="J1532" s="4" t="str">
        <f t="shared" si="67"/>
        <v>13:01:00</v>
      </c>
      <c r="K1532" s="4">
        <f t="shared" si="68"/>
        <v>0</v>
      </c>
      <c r="L1532" s="4">
        <f t="shared" si="69"/>
        <v>0.1291666667</v>
      </c>
      <c r="M1532" s="4">
        <f t="shared" si="70"/>
        <v>0.1291666667</v>
      </c>
    </row>
    <row r="1533">
      <c r="A1533" s="4" t="s">
        <v>130</v>
      </c>
      <c r="B1533" s="4" t="s">
        <v>244</v>
      </c>
      <c r="C1533" s="4" t="s">
        <v>245</v>
      </c>
      <c r="D1533" s="4" t="s">
        <v>246</v>
      </c>
      <c r="E1533" s="10">
        <f>IFERROR(__xludf.DUMMYFUNCTION("SPLIT(B1533,""T"")"),41474.0)</f>
        <v>41474</v>
      </c>
      <c r="F1533" s="4" t="str">
        <f>IFERROR(__xludf.DUMMYFUNCTION("""COMPUTED_VALUE"""),"17:15:00Z")</f>
        <v>17:15:00Z</v>
      </c>
      <c r="G1533" s="11" t="str">
        <f t="shared" si="66"/>
        <v>17:15:00</v>
      </c>
      <c r="H1533" s="10">
        <f>IFERROR(__xludf.DUMMYFUNCTION("SPLIT(D1533,""T"")"),41474.0)</f>
        <v>41474</v>
      </c>
      <c r="I1533" s="4" t="str">
        <f>IFERROR(__xludf.DUMMYFUNCTION("""COMPUTED_VALUE"""),"14:12:00Z")</f>
        <v>14:12:00Z</v>
      </c>
      <c r="J1533" s="4" t="str">
        <f t="shared" si="67"/>
        <v>14:12:00</v>
      </c>
      <c r="K1533" s="4">
        <f t="shared" si="68"/>
        <v>0</v>
      </c>
      <c r="L1533" s="4">
        <f t="shared" si="69"/>
        <v>0.1270833333</v>
      </c>
      <c r="M1533" s="4">
        <f t="shared" si="70"/>
        <v>0.1270833333</v>
      </c>
    </row>
    <row r="1534">
      <c r="A1534" s="4" t="s">
        <v>247</v>
      </c>
      <c r="B1534" s="4" t="s">
        <v>244</v>
      </c>
      <c r="C1534" s="4" t="s">
        <v>245</v>
      </c>
      <c r="D1534" s="4" t="s">
        <v>246</v>
      </c>
      <c r="E1534" s="10">
        <f>IFERROR(__xludf.DUMMYFUNCTION("SPLIT(B1534,""T"")"),41474.0)</f>
        <v>41474</v>
      </c>
      <c r="F1534" s="4" t="str">
        <f>IFERROR(__xludf.DUMMYFUNCTION("""COMPUTED_VALUE"""),"17:15:00Z")</f>
        <v>17:15:00Z</v>
      </c>
      <c r="G1534" s="11" t="str">
        <f t="shared" si="66"/>
        <v>17:15:00</v>
      </c>
      <c r="H1534" s="10">
        <f>IFERROR(__xludf.DUMMYFUNCTION("SPLIT(D1534,""T"")"),41474.0)</f>
        <v>41474</v>
      </c>
      <c r="I1534" s="4" t="str">
        <f>IFERROR(__xludf.DUMMYFUNCTION("""COMPUTED_VALUE"""),"14:12:00Z")</f>
        <v>14:12:00Z</v>
      </c>
      <c r="J1534" s="4" t="str">
        <f t="shared" si="67"/>
        <v>14:12:00</v>
      </c>
      <c r="K1534" s="4">
        <f t="shared" si="68"/>
        <v>0</v>
      </c>
      <c r="L1534" s="4">
        <f t="shared" si="69"/>
        <v>0.1270833333</v>
      </c>
      <c r="M1534" s="4">
        <f t="shared" si="70"/>
        <v>0.1270833333</v>
      </c>
    </row>
    <row r="1535">
      <c r="A1535" s="4" t="s">
        <v>87</v>
      </c>
      <c r="B1535" s="4" t="s">
        <v>1675</v>
      </c>
      <c r="C1535" s="4" t="s">
        <v>1607</v>
      </c>
      <c r="D1535" s="4" t="s">
        <v>1676</v>
      </c>
      <c r="E1535" s="10">
        <f>IFERROR(__xludf.DUMMYFUNCTION("SPLIT(B1535,""T"")"),42519.0)</f>
        <v>42519</v>
      </c>
      <c r="F1535" s="4" t="str">
        <f>IFERROR(__xludf.DUMMYFUNCTION("""COMPUTED_VALUE"""),"19:53:00Z")</f>
        <v>19:53:00Z</v>
      </c>
      <c r="G1535" s="11" t="str">
        <f t="shared" si="66"/>
        <v>19:53:00</v>
      </c>
      <c r="H1535" s="10">
        <f>IFERROR(__xludf.DUMMYFUNCTION("SPLIT(D1535,""T"")"),42519.0)</f>
        <v>42519</v>
      </c>
      <c r="I1535" s="4" t="str">
        <f>IFERROR(__xludf.DUMMYFUNCTION("""COMPUTED_VALUE"""),"16:51:00Z")</f>
        <v>16:51:00Z</v>
      </c>
      <c r="J1535" s="4" t="str">
        <f t="shared" si="67"/>
        <v>16:51:00</v>
      </c>
      <c r="K1535" s="4">
        <f t="shared" si="68"/>
        <v>0</v>
      </c>
      <c r="L1535" s="4">
        <f t="shared" si="69"/>
        <v>0.1263888889</v>
      </c>
      <c r="M1535" s="4">
        <f t="shared" si="70"/>
        <v>0.1263888889</v>
      </c>
    </row>
    <row r="1536">
      <c r="A1536" s="4" t="s">
        <v>58</v>
      </c>
      <c r="B1536" s="4" t="s">
        <v>423</v>
      </c>
      <c r="C1536" s="4" t="s">
        <v>424</v>
      </c>
      <c r="D1536" s="4" t="s">
        <v>425</v>
      </c>
      <c r="E1536" s="10">
        <f>IFERROR(__xludf.DUMMYFUNCTION("SPLIT(B1536,""T"")"),41464.0)</f>
        <v>41464</v>
      </c>
      <c r="F1536" s="4" t="str">
        <f>IFERROR(__xludf.DUMMYFUNCTION("""COMPUTED_VALUE"""),"15:00:00Z")</f>
        <v>15:00:00Z</v>
      </c>
      <c r="G1536" s="11" t="str">
        <f t="shared" si="66"/>
        <v>15:00:00</v>
      </c>
      <c r="H1536" s="10">
        <f>IFERROR(__xludf.DUMMYFUNCTION("SPLIT(D1536,""T"")"),41464.0)</f>
        <v>41464</v>
      </c>
      <c r="I1536" s="4" t="str">
        <f>IFERROR(__xludf.DUMMYFUNCTION("""COMPUTED_VALUE"""),"11:59:00Z")</f>
        <v>11:59:00Z</v>
      </c>
      <c r="J1536" s="4" t="str">
        <f t="shared" si="67"/>
        <v>11:59:00</v>
      </c>
      <c r="K1536" s="4">
        <f t="shared" si="68"/>
        <v>0</v>
      </c>
      <c r="L1536" s="4">
        <f t="shared" si="69"/>
        <v>0.1256944444</v>
      </c>
      <c r="M1536" s="4">
        <f t="shared" si="70"/>
        <v>0.1256944444</v>
      </c>
    </row>
    <row r="1537">
      <c r="A1537" s="4" t="s">
        <v>54</v>
      </c>
      <c r="B1537" s="4" t="s">
        <v>225</v>
      </c>
      <c r="C1537" s="4" t="s">
        <v>226</v>
      </c>
      <c r="D1537" s="4" t="s">
        <v>227</v>
      </c>
      <c r="E1537" s="10">
        <f>IFERROR(__xludf.DUMMYFUNCTION("SPLIT(B1537,""T"")"),41459.0)</f>
        <v>41459</v>
      </c>
      <c r="F1537" s="4" t="str">
        <f>IFERROR(__xludf.DUMMYFUNCTION("""COMPUTED_VALUE"""),"10:30:00Z")</f>
        <v>10:30:00Z</v>
      </c>
      <c r="G1537" s="11" t="str">
        <f t="shared" si="66"/>
        <v>10:30:00</v>
      </c>
      <c r="H1537" s="10">
        <f>IFERROR(__xludf.DUMMYFUNCTION("SPLIT(D1537,""T"")"),41459.0)</f>
        <v>41459</v>
      </c>
      <c r="I1537" s="4" t="str">
        <f>IFERROR(__xludf.DUMMYFUNCTION("""COMPUTED_VALUE"""),"07:30:00Z")</f>
        <v>07:30:00Z</v>
      </c>
      <c r="J1537" s="4" t="str">
        <f t="shared" si="67"/>
        <v>07:30:00</v>
      </c>
      <c r="K1537" s="4">
        <f t="shared" si="68"/>
        <v>0</v>
      </c>
      <c r="L1537" s="4">
        <f t="shared" si="69"/>
        <v>0.125</v>
      </c>
      <c r="M1537" s="4">
        <f t="shared" si="70"/>
        <v>0.125</v>
      </c>
    </row>
    <row r="1538">
      <c r="A1538" s="4" t="s">
        <v>170</v>
      </c>
      <c r="B1538" s="4" t="s">
        <v>1554</v>
      </c>
      <c r="C1538" s="4" t="s">
        <v>1459</v>
      </c>
      <c r="D1538" s="4" t="s">
        <v>1555</v>
      </c>
      <c r="E1538" s="10">
        <f>IFERROR(__xludf.DUMMYFUNCTION("SPLIT(B1538,""T"")"),42533.0)</f>
        <v>42533</v>
      </c>
      <c r="F1538" s="4" t="str">
        <f>IFERROR(__xludf.DUMMYFUNCTION("""COMPUTED_VALUE"""),"15:45:00Z")</f>
        <v>15:45:00Z</v>
      </c>
      <c r="G1538" s="11" t="str">
        <f t="shared" si="66"/>
        <v>15:45:00</v>
      </c>
      <c r="H1538" s="10">
        <f>IFERROR(__xludf.DUMMYFUNCTION("SPLIT(D1538,""T"")"),42533.0)</f>
        <v>42533</v>
      </c>
      <c r="I1538" s="4" t="str">
        <f>IFERROR(__xludf.DUMMYFUNCTION("""COMPUTED_VALUE"""),"12:45:00Z")</f>
        <v>12:45:00Z</v>
      </c>
      <c r="J1538" s="4" t="str">
        <f t="shared" si="67"/>
        <v>12:45:00</v>
      </c>
      <c r="K1538" s="4">
        <f t="shared" si="68"/>
        <v>0</v>
      </c>
      <c r="L1538" s="4">
        <f t="shared" si="69"/>
        <v>0.125</v>
      </c>
      <c r="M1538" s="4">
        <f t="shared" si="70"/>
        <v>0.125</v>
      </c>
    </row>
    <row r="1539">
      <c r="A1539" s="4" t="s">
        <v>69</v>
      </c>
      <c r="B1539" s="4" t="s">
        <v>1111</v>
      </c>
      <c r="C1539" s="4" t="s">
        <v>1112</v>
      </c>
      <c r="D1539" s="4" t="s">
        <v>1113</v>
      </c>
      <c r="E1539" s="10">
        <f>IFERROR(__xludf.DUMMYFUNCTION("SPLIT(B1539,""T"")"),42170.0)</f>
        <v>42170</v>
      </c>
      <c r="F1539" s="4" t="str">
        <f>IFERROR(__xludf.DUMMYFUNCTION("""COMPUTED_VALUE"""),"18:45:00Z")</f>
        <v>18:45:00Z</v>
      </c>
      <c r="G1539" s="11" t="str">
        <f t="shared" si="66"/>
        <v>18:45:00</v>
      </c>
      <c r="H1539" s="10">
        <f>IFERROR(__xludf.DUMMYFUNCTION("SPLIT(D1539,""T"")"),42170.0)</f>
        <v>42170</v>
      </c>
      <c r="I1539" s="4" t="str">
        <f>IFERROR(__xludf.DUMMYFUNCTION("""COMPUTED_VALUE"""),"15:46:00Z")</f>
        <v>15:46:00Z</v>
      </c>
      <c r="J1539" s="4" t="str">
        <f t="shared" si="67"/>
        <v>15:46:00</v>
      </c>
      <c r="K1539" s="4">
        <f t="shared" si="68"/>
        <v>0</v>
      </c>
      <c r="L1539" s="4">
        <f t="shared" si="69"/>
        <v>0.1243055556</v>
      </c>
      <c r="M1539" s="4">
        <f t="shared" si="70"/>
        <v>0.1243055556</v>
      </c>
    </row>
    <row r="1540">
      <c r="A1540" s="4" t="s">
        <v>247</v>
      </c>
      <c r="B1540" s="4" t="s">
        <v>1664</v>
      </c>
      <c r="C1540" s="4" t="s">
        <v>1665</v>
      </c>
      <c r="D1540" s="4" t="s">
        <v>1666</v>
      </c>
      <c r="E1540" s="10">
        <f>IFERROR(__xludf.DUMMYFUNCTION("SPLIT(B1540,""T"")"),42524.0)</f>
        <v>42524</v>
      </c>
      <c r="F1540" s="4" t="str">
        <f>IFERROR(__xludf.DUMMYFUNCTION("""COMPUTED_VALUE"""),"19:55:00Z")</f>
        <v>19:55:00Z</v>
      </c>
      <c r="G1540" s="11" t="str">
        <f t="shared" si="66"/>
        <v>19:55:00</v>
      </c>
      <c r="H1540" s="10">
        <f>IFERROR(__xludf.DUMMYFUNCTION("SPLIT(D1540,""T"")"),42524.0)</f>
        <v>42524</v>
      </c>
      <c r="I1540" s="4" t="str">
        <f>IFERROR(__xludf.DUMMYFUNCTION("""COMPUTED_VALUE"""),"16:57:00Z")</f>
        <v>16:57:00Z</v>
      </c>
      <c r="J1540" s="4" t="str">
        <f t="shared" si="67"/>
        <v>16:57:00</v>
      </c>
      <c r="K1540" s="4">
        <f t="shared" si="68"/>
        <v>0</v>
      </c>
      <c r="L1540" s="4">
        <f t="shared" si="69"/>
        <v>0.1236111111</v>
      </c>
      <c r="M1540" s="4">
        <f t="shared" si="70"/>
        <v>0.1236111111</v>
      </c>
    </row>
    <row r="1541">
      <c r="A1541" s="4" t="s">
        <v>205</v>
      </c>
      <c r="B1541" s="4" t="s">
        <v>254</v>
      </c>
      <c r="C1541" s="4" t="s">
        <v>255</v>
      </c>
      <c r="D1541" s="4" t="s">
        <v>256</v>
      </c>
      <c r="E1541" s="10">
        <f>IFERROR(__xludf.DUMMYFUNCTION("SPLIT(B1541,""T"")"),41551.0)</f>
        <v>41551</v>
      </c>
      <c r="F1541" s="4" t="str">
        <f>IFERROR(__xludf.DUMMYFUNCTION("""COMPUTED_VALUE"""),"10:30:00Z")</f>
        <v>10:30:00Z</v>
      </c>
      <c r="G1541" s="11" t="str">
        <f t="shared" si="66"/>
        <v>10:30:00</v>
      </c>
      <c r="H1541" s="10">
        <f>IFERROR(__xludf.DUMMYFUNCTION("SPLIT(D1541,""T"")"),41551.0)</f>
        <v>41551</v>
      </c>
      <c r="I1541" s="4" t="str">
        <f>IFERROR(__xludf.DUMMYFUNCTION("""COMPUTED_VALUE"""),"07:35:00Z")</f>
        <v>07:35:00Z</v>
      </c>
      <c r="J1541" s="4" t="str">
        <f t="shared" si="67"/>
        <v>07:35:00</v>
      </c>
      <c r="K1541" s="4">
        <f t="shared" si="68"/>
        <v>0</v>
      </c>
      <c r="L1541" s="4">
        <f t="shared" si="69"/>
        <v>0.1215277778</v>
      </c>
      <c r="M1541" s="4">
        <f t="shared" si="70"/>
        <v>0.1215277778</v>
      </c>
    </row>
    <row r="1542">
      <c r="A1542" s="4" t="s">
        <v>39</v>
      </c>
      <c r="B1542" s="4" t="s">
        <v>347</v>
      </c>
      <c r="C1542" s="4" t="s">
        <v>348</v>
      </c>
      <c r="D1542" s="4" t="s">
        <v>349</v>
      </c>
      <c r="E1542" s="10">
        <f>IFERROR(__xludf.DUMMYFUNCTION("SPLIT(B1542,""T"")"),41373.0)</f>
        <v>41373</v>
      </c>
      <c r="F1542" s="4" t="str">
        <f>IFERROR(__xludf.DUMMYFUNCTION("""COMPUTED_VALUE"""),"15:30:00Z")</f>
        <v>15:30:00Z</v>
      </c>
      <c r="G1542" s="11" t="str">
        <f t="shared" si="66"/>
        <v>15:30:00</v>
      </c>
      <c r="H1542" s="10">
        <f>IFERROR(__xludf.DUMMYFUNCTION("SPLIT(D1542,""T"")"),41373.0)</f>
        <v>41373</v>
      </c>
      <c r="I1542" s="4" t="str">
        <f>IFERROR(__xludf.DUMMYFUNCTION("""COMPUTED_VALUE"""),"12:35:00Z")</f>
        <v>12:35:00Z</v>
      </c>
      <c r="J1542" s="4" t="str">
        <f t="shared" si="67"/>
        <v>12:35:00</v>
      </c>
      <c r="K1542" s="4">
        <f t="shared" si="68"/>
        <v>0</v>
      </c>
      <c r="L1542" s="4">
        <f t="shared" si="69"/>
        <v>0.1215277778</v>
      </c>
      <c r="M1542" s="4">
        <f t="shared" si="70"/>
        <v>0.1215277778</v>
      </c>
    </row>
    <row r="1543">
      <c r="A1543" s="4" t="s">
        <v>260</v>
      </c>
      <c r="B1543" s="4" t="s">
        <v>1173</v>
      </c>
      <c r="C1543" s="4" t="s">
        <v>1174</v>
      </c>
      <c r="D1543" s="4" t="s">
        <v>1175</v>
      </c>
      <c r="E1543" s="10">
        <f>IFERROR(__xludf.DUMMYFUNCTION("SPLIT(B1543,""T"")"),42213.0)</f>
        <v>42213</v>
      </c>
      <c r="F1543" s="4" t="str">
        <f>IFERROR(__xludf.DUMMYFUNCTION("""COMPUTED_VALUE"""),"15:00:00Z")</f>
        <v>15:00:00Z</v>
      </c>
      <c r="G1543" s="11" t="str">
        <f t="shared" si="66"/>
        <v>15:00:00</v>
      </c>
      <c r="H1543" s="10">
        <f>IFERROR(__xludf.DUMMYFUNCTION("SPLIT(D1543,""T"")"),42213.0)</f>
        <v>42213</v>
      </c>
      <c r="I1543" s="4" t="str">
        <f>IFERROR(__xludf.DUMMYFUNCTION("""COMPUTED_VALUE"""),"12:10:00Z")</f>
        <v>12:10:00Z</v>
      </c>
      <c r="J1543" s="4" t="str">
        <f t="shared" si="67"/>
        <v>12:10:00</v>
      </c>
      <c r="K1543" s="4">
        <f t="shared" si="68"/>
        <v>0</v>
      </c>
      <c r="L1543" s="4">
        <f t="shared" si="69"/>
        <v>0.1180555556</v>
      </c>
      <c r="M1543" s="4">
        <f t="shared" si="70"/>
        <v>0.1180555556</v>
      </c>
    </row>
    <row r="1544" hidden="1">
      <c r="A1544" s="4" t="s">
        <v>367</v>
      </c>
      <c r="C1544" s="4" t="s">
        <v>3704</v>
      </c>
      <c r="D1544" s="4" t="s">
        <v>3705</v>
      </c>
      <c r="E1544" s="4" t="str">
        <f>IFERROR(__xludf.DUMMYFUNCTION("SPLIT(B1544,""T"")"),"#VALUE!")</f>
        <v>#VALUE!</v>
      </c>
    </row>
    <row r="1545" hidden="1">
      <c r="A1545" s="4" t="s">
        <v>401</v>
      </c>
      <c r="C1545" s="4" t="s">
        <v>3706</v>
      </c>
      <c r="D1545" s="4" t="s">
        <v>3707</v>
      </c>
      <c r="E1545" s="4" t="str">
        <f>IFERROR(__xludf.DUMMYFUNCTION("SPLIT(B1545,""T"")"),"#VALUE!")</f>
        <v>#VALUE!</v>
      </c>
    </row>
    <row r="1546">
      <c r="A1546" s="4" t="s">
        <v>80</v>
      </c>
      <c r="B1546" s="4" t="s">
        <v>190</v>
      </c>
      <c r="C1546" s="4" t="s">
        <v>191</v>
      </c>
      <c r="D1546" s="4" t="s">
        <v>192</v>
      </c>
      <c r="E1546" s="10">
        <f>IFERROR(__xludf.DUMMYFUNCTION("SPLIT(B1546,""T"")"),41456.0)</f>
        <v>41456</v>
      </c>
      <c r="F1546" s="4" t="str">
        <f>IFERROR(__xludf.DUMMYFUNCTION("""COMPUTED_VALUE"""),"18:30:00Z")</f>
        <v>18:30:00Z</v>
      </c>
      <c r="G1546" s="11" t="str">
        <f>MID(F1546,1,LEN(F1546)-1)</f>
        <v>18:30:00</v>
      </c>
      <c r="H1546" s="10">
        <f>IFERROR(__xludf.DUMMYFUNCTION("SPLIT(D1546,""T"")"),41456.0)</f>
        <v>41456</v>
      </c>
      <c r="I1546" s="4" t="str">
        <f>IFERROR(__xludf.DUMMYFUNCTION("""COMPUTED_VALUE"""),"15:41:00Z")</f>
        <v>15:41:00Z</v>
      </c>
      <c r="J1546" s="4" t="str">
        <f>MID(I1546,1,LEN(I1546)-1)</f>
        <v>15:41:00</v>
      </c>
      <c r="K1546" s="4">
        <f>E1546-H1546</f>
        <v>0</v>
      </c>
      <c r="L1546" s="4">
        <f>G1546-J1546</f>
        <v>0.1173611111</v>
      </c>
      <c r="M1546" s="4">
        <f>K1546+L1546</f>
        <v>0.1173611111</v>
      </c>
    </row>
    <row r="1547" hidden="1">
      <c r="A1547" s="4" t="s">
        <v>46</v>
      </c>
      <c r="C1547" s="4" t="s">
        <v>3710</v>
      </c>
      <c r="D1547" s="4" t="s">
        <v>3609</v>
      </c>
      <c r="E1547" s="4" t="str">
        <f>IFERROR(__xludf.DUMMYFUNCTION("SPLIT(B1547,""T"")"),"#VALUE!")</f>
        <v>#VALUE!</v>
      </c>
    </row>
    <row r="1548">
      <c r="A1548" s="4" t="s">
        <v>31</v>
      </c>
      <c r="B1548" s="4" t="s">
        <v>209</v>
      </c>
      <c r="C1548" s="4" t="s">
        <v>210</v>
      </c>
      <c r="D1548" s="4" t="s">
        <v>211</v>
      </c>
      <c r="E1548" s="10">
        <f>IFERROR(__xludf.DUMMYFUNCTION("SPLIT(B1548,""T"")"),41438.0)</f>
        <v>41438</v>
      </c>
      <c r="F1548" s="4" t="str">
        <f>IFERROR(__xludf.DUMMYFUNCTION("""COMPUTED_VALUE"""),"14:15:00Z")</f>
        <v>14:15:00Z</v>
      </c>
      <c r="G1548" s="11" t="str">
        <f>MID(F1548,1,LEN(F1548)-1)</f>
        <v>14:15:00</v>
      </c>
      <c r="H1548" s="10">
        <f>IFERROR(__xludf.DUMMYFUNCTION("SPLIT(D1548,""T"")"),41438.0)</f>
        <v>41438</v>
      </c>
      <c r="I1548" s="4" t="str">
        <f>IFERROR(__xludf.DUMMYFUNCTION("""COMPUTED_VALUE"""),"11:28:00Z")</f>
        <v>11:28:00Z</v>
      </c>
      <c r="J1548" s="4" t="str">
        <f>MID(I1548,1,LEN(I1548)-1)</f>
        <v>11:28:00</v>
      </c>
      <c r="K1548" s="4">
        <f>E1548-H1548</f>
        <v>0</v>
      </c>
      <c r="L1548" s="4">
        <f>G1548-J1548</f>
        <v>0.1159722222</v>
      </c>
      <c r="M1548" s="4">
        <f>K1548+L1548</f>
        <v>0.1159722222</v>
      </c>
    </row>
    <row r="1549" hidden="1">
      <c r="A1549" s="4" t="s">
        <v>27</v>
      </c>
      <c r="C1549" s="4" t="s">
        <v>3713</v>
      </c>
      <c r="D1549" s="4" t="s">
        <v>3714</v>
      </c>
      <c r="E1549" s="4" t="str">
        <f>IFERROR(__xludf.DUMMYFUNCTION("SPLIT(B1549,""T"")"),"#VALUE!")</f>
        <v>#VALUE!</v>
      </c>
    </row>
    <row r="1550">
      <c r="A1550" s="4" t="s">
        <v>130</v>
      </c>
      <c r="B1550" s="4" t="s">
        <v>3806</v>
      </c>
      <c r="C1550" s="4" t="s">
        <v>3807</v>
      </c>
      <c r="D1550" s="4" t="s">
        <v>3808</v>
      </c>
      <c r="E1550" s="10">
        <f>IFERROR(__xludf.DUMMYFUNCTION("SPLIT(B1550,""T"")"),43691.0)</f>
        <v>43691</v>
      </c>
      <c r="F1550" s="4" t="str">
        <f>IFERROR(__xludf.DUMMYFUNCTION("""COMPUTED_VALUE"""),"18:52:00Z")</f>
        <v>18:52:00Z</v>
      </c>
      <c r="G1550" s="11" t="str">
        <f t="shared" ref="G1550:G1553" si="71">MID(F1550,1,LEN(F1550)-1)</f>
        <v>18:52:00</v>
      </c>
      <c r="H1550" s="10">
        <f>IFERROR(__xludf.DUMMYFUNCTION("SPLIT(D1550,""T"")"),43691.0)</f>
        <v>43691</v>
      </c>
      <c r="I1550" s="4" t="str">
        <f>IFERROR(__xludf.DUMMYFUNCTION("""COMPUTED_VALUE"""),"16:07:49Z")</f>
        <v>16:07:49Z</v>
      </c>
      <c r="J1550" s="4" t="str">
        <f t="shared" ref="J1550:J1553" si="72">MID(I1550,1,LEN(I1550)-1)</f>
        <v>16:07:49</v>
      </c>
      <c r="K1550" s="4">
        <f t="shared" ref="K1550:K1553" si="73">E1550-H1550</f>
        <v>0</v>
      </c>
      <c r="L1550" s="4">
        <f t="shared" ref="L1550:L1553" si="74">G1550-J1550</f>
        <v>0.1140162037</v>
      </c>
      <c r="M1550" s="4">
        <f t="shared" ref="M1550:M1553" si="75">K1550+L1550</f>
        <v>0.1140162037</v>
      </c>
    </row>
    <row r="1551" hidden="1">
      <c r="A1551" s="4" t="s">
        <v>240</v>
      </c>
      <c r="B1551" s="4" t="s">
        <v>3718</v>
      </c>
      <c r="C1551" s="4" t="s">
        <v>3719</v>
      </c>
      <c r="D1551" s="4" t="s">
        <v>3720</v>
      </c>
      <c r="E1551" s="10">
        <f>IFERROR(__xludf.DUMMYFUNCTION("SPLIT(B1551,""T"")"),43687.0)</f>
        <v>43687</v>
      </c>
      <c r="F1551" s="4" t="str">
        <f>IFERROR(__xludf.DUMMYFUNCTION("""COMPUTED_VALUE"""),"15:07:00Z")</f>
        <v>15:07:00Z</v>
      </c>
      <c r="G1551" s="11" t="str">
        <f t="shared" si="71"/>
        <v>15:07:00</v>
      </c>
      <c r="H1551" s="10">
        <f>IFERROR(__xludf.DUMMYFUNCTION("SPLIT(D1551,""T"")"),43687.0)</f>
        <v>43687</v>
      </c>
      <c r="I1551" s="4" t="str">
        <f>IFERROR(__xludf.DUMMYFUNCTION("""COMPUTED_VALUE"""),"18:47:02Z")</f>
        <v>18:47:02Z</v>
      </c>
      <c r="J1551" s="4" t="str">
        <f t="shared" si="72"/>
        <v>18:47:02</v>
      </c>
      <c r="K1551" s="4">
        <f t="shared" si="73"/>
        <v>0</v>
      </c>
      <c r="L1551" s="4">
        <f t="shared" si="74"/>
        <v>-0.1528009259</v>
      </c>
      <c r="M1551" s="4">
        <f t="shared" si="75"/>
        <v>-0.1528009259</v>
      </c>
    </row>
    <row r="1552">
      <c r="A1552" s="4" t="s">
        <v>205</v>
      </c>
      <c r="B1552" s="4" t="s">
        <v>922</v>
      </c>
      <c r="C1552" s="4" t="s">
        <v>894</v>
      </c>
      <c r="D1552" s="4" t="s">
        <v>1147</v>
      </c>
      <c r="E1552" s="10">
        <f>IFERROR(__xludf.DUMMYFUNCTION("SPLIT(B1552,""T"")"),42180.0)</f>
        <v>42180</v>
      </c>
      <c r="F1552" s="4" t="str">
        <f>IFERROR(__xludf.DUMMYFUNCTION("""COMPUTED_VALUE"""),"18:45:00Z")</f>
        <v>18:45:00Z</v>
      </c>
      <c r="G1552" s="11" t="str">
        <f t="shared" si="71"/>
        <v>18:45:00</v>
      </c>
      <c r="H1552" s="10">
        <f>IFERROR(__xludf.DUMMYFUNCTION("SPLIT(D1552,""T"")"),42180.0)</f>
        <v>42180</v>
      </c>
      <c r="I1552" s="4" t="str">
        <f>IFERROR(__xludf.DUMMYFUNCTION("""COMPUTED_VALUE"""),"16:10:00Z")</f>
        <v>16:10:00Z</v>
      </c>
      <c r="J1552" s="4" t="str">
        <f t="shared" si="72"/>
        <v>16:10:00</v>
      </c>
      <c r="K1552" s="4">
        <f t="shared" si="73"/>
        <v>0</v>
      </c>
      <c r="L1552" s="4">
        <f t="shared" si="74"/>
        <v>0.1076388889</v>
      </c>
      <c r="M1552" s="4">
        <f t="shared" si="75"/>
        <v>0.1076388889</v>
      </c>
    </row>
    <row r="1553">
      <c r="A1553" s="4" t="s">
        <v>149</v>
      </c>
      <c r="B1553" s="4" t="s">
        <v>1464</v>
      </c>
      <c r="C1553" s="4" t="s">
        <v>1465</v>
      </c>
      <c r="D1553" s="4" t="s">
        <v>1466</v>
      </c>
      <c r="E1553" s="10">
        <f>IFERROR(__xludf.DUMMYFUNCTION("SPLIT(B1553,""T"")"),42500.0)</f>
        <v>42500</v>
      </c>
      <c r="F1553" s="4" t="str">
        <f>IFERROR(__xludf.DUMMYFUNCTION("""COMPUTED_VALUE"""),"18:45:00Z")</f>
        <v>18:45:00Z</v>
      </c>
      <c r="G1553" s="11" t="str">
        <f t="shared" si="71"/>
        <v>18:45:00</v>
      </c>
      <c r="H1553" s="10">
        <f>IFERROR(__xludf.DUMMYFUNCTION("SPLIT(D1553,""T"")"),42500.0)</f>
        <v>42500</v>
      </c>
      <c r="I1553" s="4" t="str">
        <f>IFERROR(__xludf.DUMMYFUNCTION("""COMPUTED_VALUE"""),"16:11:00Z")</f>
        <v>16:11:00Z</v>
      </c>
      <c r="J1553" s="4" t="str">
        <f t="shared" si="72"/>
        <v>16:11:00</v>
      </c>
      <c r="K1553" s="4">
        <f t="shared" si="73"/>
        <v>0</v>
      </c>
      <c r="L1553" s="4">
        <f t="shared" si="74"/>
        <v>0.1069444444</v>
      </c>
      <c r="M1553" s="4">
        <f t="shared" si="75"/>
        <v>0.1069444444</v>
      </c>
    </row>
    <row r="1554" hidden="1">
      <c r="A1554" s="4" t="s">
        <v>278</v>
      </c>
      <c r="C1554" s="4" t="s">
        <v>3726</v>
      </c>
      <c r="D1554" s="4" t="s">
        <v>3727</v>
      </c>
      <c r="E1554" s="4" t="str">
        <f>IFERROR(__xludf.DUMMYFUNCTION("SPLIT(B1554,""T"")"),"#VALUE!")</f>
        <v>#VALUE!</v>
      </c>
    </row>
    <row r="1555" hidden="1">
      <c r="A1555" s="4" t="s">
        <v>58</v>
      </c>
      <c r="C1555" s="4" t="s">
        <v>3728</v>
      </c>
      <c r="D1555" s="4" t="s">
        <v>3729</v>
      </c>
      <c r="E1555" s="4" t="str">
        <f>IFERROR(__xludf.DUMMYFUNCTION("SPLIT(B1555,""T"")"),"#VALUE!")</f>
        <v>#VALUE!</v>
      </c>
    </row>
    <row r="1556">
      <c r="A1556" s="4" t="s">
        <v>54</v>
      </c>
      <c r="B1556" s="4" t="s">
        <v>1623</v>
      </c>
      <c r="C1556" s="4" t="s">
        <v>232</v>
      </c>
      <c r="D1556" s="4" t="s">
        <v>1624</v>
      </c>
      <c r="E1556" s="10">
        <f>IFERROR(__xludf.DUMMYFUNCTION("SPLIT(B1556,""T"")"),42542.0)</f>
        <v>42542</v>
      </c>
      <c r="F1556" s="4" t="str">
        <f>IFERROR(__xludf.DUMMYFUNCTION("""COMPUTED_VALUE"""),"13:00:00Z")</f>
        <v>13:00:00Z</v>
      </c>
      <c r="G1556" s="11" t="str">
        <f t="shared" ref="G1556:G1565" si="76">MID(F1556,1,LEN(F1556)-1)</f>
        <v>13:00:00</v>
      </c>
      <c r="H1556" s="10">
        <f>IFERROR(__xludf.DUMMYFUNCTION("SPLIT(D1556,""T"")"),42542.0)</f>
        <v>42542</v>
      </c>
      <c r="I1556" s="4" t="str">
        <f>IFERROR(__xludf.DUMMYFUNCTION("""COMPUTED_VALUE"""),"10:26:00Z")</f>
        <v>10:26:00Z</v>
      </c>
      <c r="J1556" s="4" t="str">
        <f t="shared" ref="J1556:J1565" si="77">MID(I1556,1,LEN(I1556)-1)</f>
        <v>10:26:00</v>
      </c>
      <c r="K1556" s="4">
        <f t="shared" ref="K1556:K1565" si="78">E1556-H1556</f>
        <v>0</v>
      </c>
      <c r="L1556" s="4">
        <f t="shared" ref="L1556:L1565" si="79">G1556-J1556</f>
        <v>0.1069444444</v>
      </c>
      <c r="M1556" s="4">
        <f t="shared" ref="M1556:M1565" si="80">K1556+L1556</f>
        <v>0.1069444444</v>
      </c>
    </row>
    <row r="1557">
      <c r="A1557" s="4" t="s">
        <v>87</v>
      </c>
      <c r="B1557" s="4" t="s">
        <v>3616</v>
      </c>
      <c r="C1557" s="4" t="s">
        <v>767</v>
      </c>
      <c r="D1557" s="4" t="s">
        <v>3617</v>
      </c>
      <c r="E1557" s="10">
        <f>IFERROR(__xludf.DUMMYFUNCTION("SPLIT(B1557,""T"")"),43762.0)</f>
        <v>43762</v>
      </c>
      <c r="F1557" s="4" t="str">
        <f>IFERROR(__xludf.DUMMYFUNCTION("""COMPUTED_VALUE"""),"17:15:00Z")</f>
        <v>17:15:00Z</v>
      </c>
      <c r="G1557" s="11" t="str">
        <f t="shared" si="76"/>
        <v>17:15:00</v>
      </c>
      <c r="H1557" s="10">
        <f>IFERROR(__xludf.DUMMYFUNCTION("SPLIT(D1557,""T"")"),43762.0)</f>
        <v>43762</v>
      </c>
      <c r="I1557" s="4" t="str">
        <f>IFERROR(__xludf.DUMMYFUNCTION("""COMPUTED_VALUE"""),"14:43:10Z")</f>
        <v>14:43:10Z</v>
      </c>
      <c r="J1557" s="4" t="str">
        <f t="shared" si="77"/>
        <v>14:43:10</v>
      </c>
      <c r="K1557" s="4">
        <f t="shared" si="78"/>
        <v>0</v>
      </c>
      <c r="L1557" s="4">
        <f t="shared" si="79"/>
        <v>0.1054398148</v>
      </c>
      <c r="M1557" s="4">
        <f t="shared" si="80"/>
        <v>0.1054398148</v>
      </c>
    </row>
    <row r="1558">
      <c r="A1558" s="4" t="s">
        <v>313</v>
      </c>
      <c r="B1558" s="4" t="s">
        <v>417</v>
      </c>
      <c r="C1558" s="4" t="s">
        <v>418</v>
      </c>
      <c r="D1558" s="4" t="s">
        <v>419</v>
      </c>
      <c r="E1558" s="10">
        <f>IFERROR(__xludf.DUMMYFUNCTION("SPLIT(B1558,""T"")"),41478.0)</f>
        <v>41478</v>
      </c>
      <c r="F1558" s="4" t="str">
        <f>IFERROR(__xludf.DUMMYFUNCTION("""COMPUTED_VALUE"""),"16:00:00Z")</f>
        <v>16:00:00Z</v>
      </c>
      <c r="G1558" s="11" t="str">
        <f t="shared" si="76"/>
        <v>16:00:00</v>
      </c>
      <c r="H1558" s="10">
        <f>IFERROR(__xludf.DUMMYFUNCTION("SPLIT(D1558,""T"")"),41478.0)</f>
        <v>41478</v>
      </c>
      <c r="I1558" s="4" t="str">
        <f>IFERROR(__xludf.DUMMYFUNCTION("""COMPUTED_VALUE"""),"13:29:00Z")</f>
        <v>13:29:00Z</v>
      </c>
      <c r="J1558" s="4" t="str">
        <f t="shared" si="77"/>
        <v>13:29:00</v>
      </c>
      <c r="K1558" s="4">
        <f t="shared" si="78"/>
        <v>0</v>
      </c>
      <c r="L1558" s="4">
        <f t="shared" si="79"/>
        <v>0.1048611111</v>
      </c>
      <c r="M1558" s="4">
        <f t="shared" si="80"/>
        <v>0.1048611111</v>
      </c>
    </row>
    <row r="1559">
      <c r="A1559" s="4" t="s">
        <v>80</v>
      </c>
      <c r="B1559" s="4" t="s">
        <v>1635</v>
      </c>
      <c r="C1559" s="4" t="s">
        <v>1636</v>
      </c>
      <c r="D1559" s="4" t="s">
        <v>1637</v>
      </c>
      <c r="E1559" s="10">
        <f>IFERROR(__xludf.DUMMYFUNCTION("SPLIT(B1559,""T"")"),42575.0)</f>
        <v>42575</v>
      </c>
      <c r="F1559" s="4" t="str">
        <f>IFERROR(__xludf.DUMMYFUNCTION("""COMPUTED_VALUE"""),"19:00:00Z")</f>
        <v>19:00:00Z</v>
      </c>
      <c r="G1559" s="11" t="str">
        <f t="shared" si="76"/>
        <v>19:00:00</v>
      </c>
      <c r="H1559" s="10">
        <f>IFERROR(__xludf.DUMMYFUNCTION("SPLIT(D1559,""T"")"),42575.0)</f>
        <v>42575</v>
      </c>
      <c r="I1559" s="4" t="str">
        <f>IFERROR(__xludf.DUMMYFUNCTION("""COMPUTED_VALUE"""),"16:30:00Z")</f>
        <v>16:30:00Z</v>
      </c>
      <c r="J1559" s="4" t="str">
        <f t="shared" si="77"/>
        <v>16:30:00</v>
      </c>
      <c r="K1559" s="4">
        <f t="shared" si="78"/>
        <v>0</v>
      </c>
      <c r="L1559" s="4">
        <f t="shared" si="79"/>
        <v>0.1041666667</v>
      </c>
      <c r="M1559" s="4">
        <f t="shared" si="80"/>
        <v>0.1041666667</v>
      </c>
    </row>
    <row r="1560" hidden="1">
      <c r="A1560" s="4" t="s">
        <v>401</v>
      </c>
      <c r="B1560" s="4" t="s">
        <v>3739</v>
      </c>
      <c r="C1560" s="4" t="s">
        <v>1131</v>
      </c>
      <c r="D1560" s="4" t="s">
        <v>3740</v>
      </c>
      <c r="E1560" s="10">
        <f>IFERROR(__xludf.DUMMYFUNCTION("SPLIT(B1560,""T"")"),43745.0)</f>
        <v>43745</v>
      </c>
      <c r="F1560" s="4" t="str">
        <f>IFERROR(__xludf.DUMMYFUNCTION("""COMPUTED_VALUE"""),"09:58:00Z")</f>
        <v>09:58:00Z</v>
      </c>
      <c r="G1560" s="11" t="str">
        <f t="shared" si="76"/>
        <v>09:58:00</v>
      </c>
      <c r="H1560" s="10">
        <f>IFERROR(__xludf.DUMMYFUNCTION("SPLIT(D1560,""T"")"),43745.0)</f>
        <v>43745</v>
      </c>
      <c r="I1560" s="4" t="str">
        <f>IFERROR(__xludf.DUMMYFUNCTION("""COMPUTED_VALUE"""),"09:58:51.763Z")</f>
        <v>09:58:51.763Z</v>
      </c>
      <c r="J1560" s="4" t="str">
        <f t="shared" si="77"/>
        <v>09:58:51.763</v>
      </c>
      <c r="K1560" s="4">
        <f t="shared" si="78"/>
        <v>0</v>
      </c>
      <c r="L1560" s="4">
        <f t="shared" si="79"/>
        <v>-0.0005991087963</v>
      </c>
      <c r="M1560" s="4">
        <f t="shared" si="80"/>
        <v>-0.0005991087963</v>
      </c>
    </row>
    <row r="1561">
      <c r="A1561" s="4" t="s">
        <v>388</v>
      </c>
      <c r="B1561" s="4" t="s">
        <v>3856</v>
      </c>
      <c r="C1561" s="4" t="s">
        <v>2197</v>
      </c>
      <c r="D1561" s="4" t="s">
        <v>3857</v>
      </c>
      <c r="E1561" s="10">
        <f>IFERROR(__xludf.DUMMYFUNCTION("SPLIT(B1561,""T"")"),43644.0)</f>
        <v>43644</v>
      </c>
      <c r="F1561" s="4" t="str">
        <f>IFERROR(__xludf.DUMMYFUNCTION("""COMPUTED_VALUE"""),"17:33:00Z")</f>
        <v>17:33:00Z</v>
      </c>
      <c r="G1561" s="11" t="str">
        <f t="shared" si="76"/>
        <v>17:33:00</v>
      </c>
      <c r="H1561" s="10">
        <f>IFERROR(__xludf.DUMMYFUNCTION("SPLIT(D1561,""T"")"),43644.0)</f>
        <v>43644</v>
      </c>
      <c r="I1561" s="4" t="str">
        <f>IFERROR(__xludf.DUMMYFUNCTION("""COMPUTED_VALUE"""),"15:03:04Z")</f>
        <v>15:03:04Z</v>
      </c>
      <c r="J1561" s="4" t="str">
        <f t="shared" si="77"/>
        <v>15:03:04</v>
      </c>
      <c r="K1561" s="4">
        <f t="shared" si="78"/>
        <v>0</v>
      </c>
      <c r="L1561" s="4">
        <f t="shared" si="79"/>
        <v>0.1041203704</v>
      </c>
      <c r="M1561" s="4">
        <f t="shared" si="80"/>
        <v>0.1041203704</v>
      </c>
    </row>
    <row r="1562">
      <c r="A1562" s="4" t="s">
        <v>401</v>
      </c>
      <c r="B1562" s="4" t="s">
        <v>3633</v>
      </c>
      <c r="C1562" s="4" t="s">
        <v>322</v>
      </c>
      <c r="D1562" s="4" t="s">
        <v>3634</v>
      </c>
      <c r="E1562" s="10">
        <f>IFERROR(__xludf.DUMMYFUNCTION("SPLIT(B1562,""T"")"),43648.0)</f>
        <v>43648</v>
      </c>
      <c r="F1562" s="4" t="str">
        <f>IFERROR(__xludf.DUMMYFUNCTION("""COMPUTED_VALUE"""),"18:32:00Z")</f>
        <v>18:32:00Z</v>
      </c>
      <c r="G1562" s="11" t="str">
        <f t="shared" si="76"/>
        <v>18:32:00</v>
      </c>
      <c r="H1562" s="10">
        <f>IFERROR(__xludf.DUMMYFUNCTION("SPLIT(D1562,""T"")"),43648.0)</f>
        <v>43648</v>
      </c>
      <c r="I1562" s="4" t="str">
        <f>IFERROR(__xludf.DUMMYFUNCTION("""COMPUTED_VALUE"""),"16:10:02Z")</f>
        <v>16:10:02Z</v>
      </c>
      <c r="J1562" s="4" t="str">
        <f t="shared" si="77"/>
        <v>16:10:02</v>
      </c>
      <c r="K1562" s="4">
        <f t="shared" si="78"/>
        <v>0</v>
      </c>
      <c r="L1562" s="4">
        <f t="shared" si="79"/>
        <v>0.09858796296</v>
      </c>
      <c r="M1562" s="4">
        <f t="shared" si="80"/>
        <v>0.09858796296</v>
      </c>
    </row>
    <row r="1563">
      <c r="A1563" s="4" t="s">
        <v>23</v>
      </c>
      <c r="B1563" s="4" t="s">
        <v>1744</v>
      </c>
      <c r="C1563" s="4" t="s">
        <v>1745</v>
      </c>
      <c r="D1563" s="4" t="s">
        <v>1746</v>
      </c>
      <c r="E1563" s="10">
        <f>IFERROR(__xludf.DUMMYFUNCTION("SPLIT(B1563,""T"")"),42479.0)</f>
        <v>42479</v>
      </c>
      <c r="F1563" s="4" t="str">
        <f>IFERROR(__xludf.DUMMYFUNCTION("""COMPUTED_VALUE"""),"15:30:00Z")</f>
        <v>15:30:00Z</v>
      </c>
      <c r="G1563" s="11" t="str">
        <f t="shared" si="76"/>
        <v>15:30:00</v>
      </c>
      <c r="H1563" s="10">
        <f>IFERROR(__xludf.DUMMYFUNCTION("SPLIT(D1563,""T"")"),42479.0)</f>
        <v>42479</v>
      </c>
      <c r="I1563" s="4" t="str">
        <f>IFERROR(__xludf.DUMMYFUNCTION("""COMPUTED_VALUE"""),"13:09:00Z")</f>
        <v>13:09:00Z</v>
      </c>
      <c r="J1563" s="4" t="str">
        <f t="shared" si="77"/>
        <v>13:09:00</v>
      </c>
      <c r="K1563" s="4">
        <f t="shared" si="78"/>
        <v>0</v>
      </c>
      <c r="L1563" s="4">
        <f t="shared" si="79"/>
        <v>0.09791666667</v>
      </c>
      <c r="M1563" s="4">
        <f t="shared" si="80"/>
        <v>0.09791666667</v>
      </c>
    </row>
    <row r="1564">
      <c r="A1564" s="4" t="s">
        <v>46</v>
      </c>
      <c r="B1564" s="4" t="s">
        <v>398</v>
      </c>
      <c r="C1564" s="4" t="s">
        <v>399</v>
      </c>
      <c r="D1564" s="4" t="s">
        <v>400</v>
      </c>
      <c r="E1564" s="10">
        <f>IFERROR(__xludf.DUMMYFUNCTION("SPLIT(B1564,""T"")"),41501.0)</f>
        <v>41501</v>
      </c>
      <c r="F1564" s="4" t="str">
        <f>IFERROR(__xludf.DUMMYFUNCTION("""COMPUTED_VALUE"""),"17:00:00Z")</f>
        <v>17:00:00Z</v>
      </c>
      <c r="G1564" s="11" t="str">
        <f t="shared" si="76"/>
        <v>17:00:00</v>
      </c>
      <c r="H1564" s="10">
        <f>IFERROR(__xludf.DUMMYFUNCTION("SPLIT(D1564,""T"")"),41501.0)</f>
        <v>41501</v>
      </c>
      <c r="I1564" s="4" t="str">
        <f>IFERROR(__xludf.DUMMYFUNCTION("""COMPUTED_VALUE"""),"14:40:00Z")</f>
        <v>14:40:00Z</v>
      </c>
      <c r="J1564" s="4" t="str">
        <f t="shared" si="77"/>
        <v>14:40:00</v>
      </c>
      <c r="K1564" s="4">
        <f t="shared" si="78"/>
        <v>0</v>
      </c>
      <c r="L1564" s="4">
        <f t="shared" si="79"/>
        <v>0.09722222222</v>
      </c>
      <c r="M1564" s="4">
        <f t="shared" si="80"/>
        <v>0.09722222222</v>
      </c>
    </row>
    <row r="1565">
      <c r="A1565" s="4" t="s">
        <v>278</v>
      </c>
      <c r="B1565" s="4" t="s">
        <v>3610</v>
      </c>
      <c r="C1565" s="4" t="s">
        <v>2200</v>
      </c>
      <c r="D1565" s="4" t="s">
        <v>3611</v>
      </c>
      <c r="E1565" s="10">
        <f>IFERROR(__xludf.DUMMYFUNCTION("SPLIT(B1565,""T"")"),43690.0)</f>
        <v>43690</v>
      </c>
      <c r="F1565" s="4" t="str">
        <f>IFERROR(__xludf.DUMMYFUNCTION("""COMPUTED_VALUE"""),"18:00:00Z")</f>
        <v>18:00:00Z</v>
      </c>
      <c r="G1565" s="11" t="str">
        <f t="shared" si="76"/>
        <v>18:00:00</v>
      </c>
      <c r="H1565" s="10">
        <f>IFERROR(__xludf.DUMMYFUNCTION("SPLIT(D1565,""T"")"),43690.0)</f>
        <v>43690</v>
      </c>
      <c r="I1565" s="4" t="str">
        <f>IFERROR(__xludf.DUMMYFUNCTION("""COMPUTED_VALUE"""),"15:41:24Z")</f>
        <v>15:41:24Z</v>
      </c>
      <c r="J1565" s="4" t="str">
        <f t="shared" si="77"/>
        <v>15:41:24</v>
      </c>
      <c r="K1565" s="4">
        <f t="shared" si="78"/>
        <v>0</v>
      </c>
      <c r="L1565" s="4">
        <f t="shared" si="79"/>
        <v>0.09625</v>
      </c>
      <c r="M1565" s="4">
        <f t="shared" si="80"/>
        <v>0.09625</v>
      </c>
    </row>
    <row r="1566" hidden="1">
      <c r="A1566" s="4" t="s">
        <v>186</v>
      </c>
      <c r="C1566" s="4" t="s">
        <v>3752</v>
      </c>
      <c r="D1566" s="4" t="s">
        <v>3753</v>
      </c>
      <c r="E1566" s="4" t="str">
        <f>IFERROR(__xludf.DUMMYFUNCTION("SPLIT(B1566,""T"")"),"#VALUE!")</f>
        <v>#VALUE!</v>
      </c>
    </row>
    <row r="1567" hidden="1">
      <c r="A1567" s="4" t="s">
        <v>39</v>
      </c>
      <c r="C1567" s="4" t="s">
        <v>1471</v>
      </c>
      <c r="D1567" s="4" t="s">
        <v>3754</v>
      </c>
      <c r="E1567" s="4" t="str">
        <f>IFERROR(__xludf.DUMMYFUNCTION("SPLIT(B1567,""T"")"),"#VALUE!")</f>
        <v>#VALUE!</v>
      </c>
    </row>
    <row r="1568">
      <c r="A1568" s="4" t="s">
        <v>247</v>
      </c>
      <c r="B1568" s="4" t="s">
        <v>1059</v>
      </c>
      <c r="C1568" s="4" t="s">
        <v>1060</v>
      </c>
      <c r="D1568" s="4" t="s">
        <v>1061</v>
      </c>
      <c r="E1568" s="10">
        <f>IFERROR(__xludf.DUMMYFUNCTION("SPLIT(B1568,""T"")"),42250.0)</f>
        <v>42250</v>
      </c>
      <c r="F1568" s="4" t="str">
        <f>IFERROR(__xludf.DUMMYFUNCTION("""COMPUTED_VALUE"""),"14:30:00Z")</f>
        <v>14:30:00Z</v>
      </c>
      <c r="G1568" s="11" t="str">
        <f t="shared" ref="G1568:G1605" si="81">MID(F1568,1,LEN(F1568)-1)</f>
        <v>14:30:00</v>
      </c>
      <c r="H1568" s="10">
        <f>IFERROR(__xludf.DUMMYFUNCTION("SPLIT(D1568,""T"")"),42250.0)</f>
        <v>42250</v>
      </c>
      <c r="I1568" s="4" t="str">
        <f>IFERROR(__xludf.DUMMYFUNCTION("""COMPUTED_VALUE"""),"12:12:00Z")</f>
        <v>12:12:00Z</v>
      </c>
      <c r="J1568" s="4" t="str">
        <f t="shared" ref="J1568:J1605" si="82">MID(I1568,1,LEN(I1568)-1)</f>
        <v>12:12:00</v>
      </c>
      <c r="K1568" s="4">
        <f t="shared" ref="K1568:K1605" si="83">E1568-H1568</f>
        <v>0</v>
      </c>
      <c r="L1568" s="4">
        <f t="shared" ref="L1568:L1605" si="84">G1568-J1568</f>
        <v>0.09583333333</v>
      </c>
      <c r="M1568" s="4">
        <f t="shared" ref="M1568:M1605" si="85">K1568+L1568</f>
        <v>0.09583333333</v>
      </c>
    </row>
    <row r="1569">
      <c r="A1569" s="4" t="s">
        <v>247</v>
      </c>
      <c r="B1569" s="4" t="s">
        <v>3677</v>
      </c>
      <c r="C1569" s="4" t="s">
        <v>1109</v>
      </c>
      <c r="D1569" s="4" t="s">
        <v>3678</v>
      </c>
      <c r="E1569" s="10">
        <f>IFERROR(__xludf.DUMMYFUNCTION("SPLIT(B1569,""T"")"),43679.0)</f>
        <v>43679</v>
      </c>
      <c r="F1569" s="4" t="str">
        <f>IFERROR(__xludf.DUMMYFUNCTION("""COMPUTED_VALUE"""),"17:00:00Z")</f>
        <v>17:00:00Z</v>
      </c>
      <c r="G1569" s="11" t="str">
        <f t="shared" si="81"/>
        <v>17:00:00</v>
      </c>
      <c r="H1569" s="10">
        <f>IFERROR(__xludf.DUMMYFUNCTION("SPLIT(D1569,""T"")"),43679.0)</f>
        <v>43679</v>
      </c>
      <c r="I1569" s="4" t="str">
        <f>IFERROR(__xludf.DUMMYFUNCTION("""COMPUTED_VALUE"""),"14:45:00Z")</f>
        <v>14:45:00Z</v>
      </c>
      <c r="J1569" s="4" t="str">
        <f t="shared" si="82"/>
        <v>14:45:00</v>
      </c>
      <c r="K1569" s="4">
        <f t="shared" si="83"/>
        <v>0</v>
      </c>
      <c r="L1569" s="4">
        <f t="shared" si="84"/>
        <v>0.09375</v>
      </c>
      <c r="M1569" s="4">
        <f t="shared" si="85"/>
        <v>0.09375</v>
      </c>
    </row>
    <row r="1570" hidden="1">
      <c r="A1570" s="4" t="s">
        <v>205</v>
      </c>
      <c r="B1570" s="4" t="s">
        <v>3758</v>
      </c>
      <c r="C1570" s="4" t="s">
        <v>3759</v>
      </c>
      <c r="D1570" s="4" t="s">
        <v>3760</v>
      </c>
      <c r="E1570" s="10">
        <f>IFERROR(__xludf.DUMMYFUNCTION("SPLIT(B1570,""T"")"),43651.0)</f>
        <v>43651</v>
      </c>
      <c r="F1570" s="4" t="str">
        <f>IFERROR(__xludf.DUMMYFUNCTION("""COMPUTED_VALUE"""),"03:20:00Z")</f>
        <v>03:20:00Z</v>
      </c>
      <c r="G1570" s="11" t="str">
        <f t="shared" si="81"/>
        <v>03:20:00</v>
      </c>
      <c r="H1570" s="10">
        <f>IFERROR(__xludf.DUMMYFUNCTION("SPLIT(D1570,""T"")"),43651.0)</f>
        <v>43651</v>
      </c>
      <c r="I1570" s="4" t="str">
        <f>IFERROR(__xludf.DUMMYFUNCTION("""COMPUTED_VALUE"""),"09:46:01.973Z")</f>
        <v>09:46:01.973Z</v>
      </c>
      <c r="J1570" s="4" t="str">
        <f t="shared" si="82"/>
        <v>09:46:01.973</v>
      </c>
      <c r="K1570" s="4">
        <f t="shared" si="83"/>
        <v>0</v>
      </c>
      <c r="L1570" s="4">
        <f t="shared" si="84"/>
        <v>-0.2680783912</v>
      </c>
      <c r="M1570" s="4">
        <f t="shared" si="85"/>
        <v>-0.2680783912</v>
      </c>
    </row>
    <row r="1571">
      <c r="A1571" s="4" t="s">
        <v>130</v>
      </c>
      <c r="B1571" s="4" t="s">
        <v>801</v>
      </c>
      <c r="C1571" s="4" t="s">
        <v>802</v>
      </c>
      <c r="D1571" s="4" t="s">
        <v>803</v>
      </c>
      <c r="E1571" s="10">
        <f>IFERROR(__xludf.DUMMYFUNCTION("SPLIT(B1571,""T"")"),41829.0)</f>
        <v>41829</v>
      </c>
      <c r="F1571" s="4" t="str">
        <f>IFERROR(__xludf.DUMMYFUNCTION("""COMPUTED_VALUE"""),"16:45:00Z")</f>
        <v>16:45:00Z</v>
      </c>
      <c r="G1571" s="11" t="str">
        <f t="shared" si="81"/>
        <v>16:45:00</v>
      </c>
      <c r="H1571" s="10">
        <f>IFERROR(__xludf.DUMMYFUNCTION("SPLIT(D1571,""T"")"),41829.0)</f>
        <v>41829</v>
      </c>
      <c r="I1571" s="4" t="str">
        <f>IFERROR(__xludf.DUMMYFUNCTION("""COMPUTED_VALUE"""),"14:34:00Z")</f>
        <v>14:34:00Z</v>
      </c>
      <c r="J1571" s="4" t="str">
        <f t="shared" si="82"/>
        <v>14:34:00</v>
      </c>
      <c r="K1571" s="4">
        <f t="shared" si="83"/>
        <v>0</v>
      </c>
      <c r="L1571" s="4">
        <f t="shared" si="84"/>
        <v>0.09097222222</v>
      </c>
      <c r="M1571" s="4">
        <f t="shared" si="85"/>
        <v>0.09097222222</v>
      </c>
    </row>
    <row r="1572">
      <c r="A1572" s="4" t="s">
        <v>170</v>
      </c>
      <c r="B1572" s="4" t="s">
        <v>1211</v>
      </c>
      <c r="C1572" s="4" t="s">
        <v>1212</v>
      </c>
      <c r="D1572" s="4" t="s">
        <v>1213</v>
      </c>
      <c r="E1572" s="10">
        <f>IFERROR(__xludf.DUMMYFUNCTION("SPLIT(B1572,""T"")"),42205.0)</f>
        <v>42205</v>
      </c>
      <c r="F1572" s="4" t="str">
        <f>IFERROR(__xludf.DUMMYFUNCTION("""COMPUTED_VALUE"""),"15:30:00Z")</f>
        <v>15:30:00Z</v>
      </c>
      <c r="G1572" s="11" t="str">
        <f t="shared" si="81"/>
        <v>15:30:00</v>
      </c>
      <c r="H1572" s="10">
        <f>IFERROR(__xludf.DUMMYFUNCTION("SPLIT(D1572,""T"")"),42205.0)</f>
        <v>42205</v>
      </c>
      <c r="I1572" s="4" t="str">
        <f>IFERROR(__xludf.DUMMYFUNCTION("""COMPUTED_VALUE"""),"13:23:00Z")</f>
        <v>13:23:00Z</v>
      </c>
      <c r="J1572" s="4" t="str">
        <f t="shared" si="82"/>
        <v>13:23:00</v>
      </c>
      <c r="K1572" s="4">
        <f t="shared" si="83"/>
        <v>0</v>
      </c>
      <c r="L1572" s="4">
        <f t="shared" si="84"/>
        <v>0.08819444444</v>
      </c>
      <c r="M1572" s="4">
        <f t="shared" si="85"/>
        <v>0.08819444444</v>
      </c>
    </row>
    <row r="1573">
      <c r="A1573" s="4" t="s">
        <v>179</v>
      </c>
      <c r="B1573" s="4" t="s">
        <v>180</v>
      </c>
      <c r="C1573" s="4" t="s">
        <v>181</v>
      </c>
      <c r="D1573" s="4" t="s">
        <v>182</v>
      </c>
      <c r="E1573" s="10">
        <f>IFERROR(__xludf.DUMMYFUNCTION("SPLIT(B1573,""T"")"),41424.0)</f>
        <v>41424</v>
      </c>
      <c r="F1573" s="4" t="str">
        <f>IFERROR(__xludf.DUMMYFUNCTION("""COMPUTED_VALUE"""),"13:25:00Z")</f>
        <v>13:25:00Z</v>
      </c>
      <c r="G1573" s="11" t="str">
        <f t="shared" si="81"/>
        <v>13:25:00</v>
      </c>
      <c r="H1573" s="10">
        <f>IFERROR(__xludf.DUMMYFUNCTION("SPLIT(D1573,""T"")"),41424.0)</f>
        <v>41424</v>
      </c>
      <c r="I1573" s="4" t="str">
        <f>IFERROR(__xludf.DUMMYFUNCTION("""COMPUTED_VALUE"""),"11:20:00Z")</f>
        <v>11:20:00Z</v>
      </c>
      <c r="J1573" s="4" t="str">
        <f t="shared" si="82"/>
        <v>11:20:00</v>
      </c>
      <c r="K1573" s="4">
        <f t="shared" si="83"/>
        <v>0</v>
      </c>
      <c r="L1573" s="4">
        <f t="shared" si="84"/>
        <v>0.08680555556</v>
      </c>
      <c r="M1573" s="4">
        <f t="shared" si="85"/>
        <v>0.08680555556</v>
      </c>
    </row>
    <row r="1574">
      <c r="A1574" s="4" t="s">
        <v>27</v>
      </c>
      <c r="B1574" s="4" t="s">
        <v>3618</v>
      </c>
      <c r="C1574" s="4" t="s">
        <v>3619</v>
      </c>
      <c r="D1574" s="4" t="s">
        <v>3620</v>
      </c>
      <c r="E1574" s="10">
        <f>IFERROR(__xludf.DUMMYFUNCTION("SPLIT(B1574,""T"")"),43702.0)</f>
        <v>43702</v>
      </c>
      <c r="F1574" s="4" t="str">
        <f>IFERROR(__xludf.DUMMYFUNCTION("""COMPUTED_VALUE"""),"13:00:00Z")</f>
        <v>13:00:00Z</v>
      </c>
      <c r="G1574" s="11" t="str">
        <f t="shared" si="81"/>
        <v>13:00:00</v>
      </c>
      <c r="H1574" s="10">
        <f>IFERROR(__xludf.DUMMYFUNCTION("SPLIT(D1574,""T"")"),43702.0)</f>
        <v>43702</v>
      </c>
      <c r="I1574" s="4" t="str">
        <f>IFERROR(__xludf.DUMMYFUNCTION("""COMPUTED_VALUE"""),"10:58:28Z")</f>
        <v>10:58:28Z</v>
      </c>
      <c r="J1574" s="4" t="str">
        <f t="shared" si="82"/>
        <v>10:58:28</v>
      </c>
      <c r="K1574" s="4">
        <f t="shared" si="83"/>
        <v>0</v>
      </c>
      <c r="L1574" s="4">
        <f t="shared" si="84"/>
        <v>0.08439814815</v>
      </c>
      <c r="M1574" s="4">
        <f t="shared" si="85"/>
        <v>0.08439814815</v>
      </c>
    </row>
    <row r="1575">
      <c r="A1575" s="4" t="s">
        <v>27</v>
      </c>
      <c r="B1575" s="4" t="s">
        <v>508</v>
      </c>
      <c r="C1575" s="4" t="s">
        <v>509</v>
      </c>
      <c r="D1575" s="4" t="s">
        <v>510</v>
      </c>
      <c r="E1575" s="10">
        <f>IFERROR(__xludf.DUMMYFUNCTION("SPLIT(B1575,""T"")"),41474.0)</f>
        <v>41474</v>
      </c>
      <c r="F1575" s="4" t="str">
        <f>IFERROR(__xludf.DUMMYFUNCTION("""COMPUTED_VALUE"""),"19:30:00Z")</f>
        <v>19:30:00Z</v>
      </c>
      <c r="G1575" s="11" t="str">
        <f t="shared" si="81"/>
        <v>19:30:00</v>
      </c>
      <c r="H1575" s="10">
        <f>IFERROR(__xludf.DUMMYFUNCTION("SPLIT(D1575,""T"")"),41474.0)</f>
        <v>41474</v>
      </c>
      <c r="I1575" s="4" t="str">
        <f>IFERROR(__xludf.DUMMYFUNCTION("""COMPUTED_VALUE"""),"17:31:00Z")</f>
        <v>17:31:00Z</v>
      </c>
      <c r="J1575" s="4" t="str">
        <f t="shared" si="82"/>
        <v>17:31:00</v>
      </c>
      <c r="K1575" s="4">
        <f t="shared" si="83"/>
        <v>0</v>
      </c>
      <c r="L1575" s="4">
        <f t="shared" si="84"/>
        <v>0.08263888889</v>
      </c>
      <c r="M1575" s="4">
        <f t="shared" si="85"/>
        <v>0.08263888889</v>
      </c>
    </row>
    <row r="1576">
      <c r="A1576" s="4" t="s">
        <v>27</v>
      </c>
      <c r="B1576" s="4" t="s">
        <v>3787</v>
      </c>
      <c r="C1576" s="4" t="s">
        <v>3788</v>
      </c>
      <c r="D1576" s="4" t="s">
        <v>3789</v>
      </c>
      <c r="E1576" s="10">
        <f>IFERROR(__xludf.DUMMYFUNCTION("SPLIT(B1576,""T"")"),43738.0)</f>
        <v>43738</v>
      </c>
      <c r="F1576" s="4" t="str">
        <f>IFERROR(__xludf.DUMMYFUNCTION("""COMPUTED_VALUE"""),"09:05:00Z")</f>
        <v>09:05:00Z</v>
      </c>
      <c r="G1576" s="11" t="str">
        <f t="shared" si="81"/>
        <v>09:05:00</v>
      </c>
      <c r="H1576" s="10">
        <f>IFERROR(__xludf.DUMMYFUNCTION("SPLIT(D1576,""T"")"),43738.0)</f>
        <v>43738</v>
      </c>
      <c r="I1576" s="4" t="str">
        <f>IFERROR(__xludf.DUMMYFUNCTION("""COMPUTED_VALUE"""),"07:07:00Z")</f>
        <v>07:07:00Z</v>
      </c>
      <c r="J1576" s="4" t="str">
        <f t="shared" si="82"/>
        <v>07:07:00</v>
      </c>
      <c r="K1576" s="4">
        <f t="shared" si="83"/>
        <v>0</v>
      </c>
      <c r="L1576" s="4">
        <f t="shared" si="84"/>
        <v>0.08194444444</v>
      </c>
      <c r="M1576" s="4">
        <f t="shared" si="85"/>
        <v>0.08194444444</v>
      </c>
    </row>
    <row r="1577">
      <c r="A1577" s="4" t="s">
        <v>282</v>
      </c>
      <c r="B1577" s="4" t="s">
        <v>969</v>
      </c>
      <c r="C1577" s="4" t="s">
        <v>970</v>
      </c>
      <c r="D1577" s="4" t="s">
        <v>971</v>
      </c>
      <c r="E1577" s="10">
        <f>IFERROR(__xludf.DUMMYFUNCTION("SPLIT(B1577,""T"")"),42135.0)</f>
        <v>42135</v>
      </c>
      <c r="F1577" s="4" t="str">
        <f>IFERROR(__xludf.DUMMYFUNCTION("""COMPUTED_VALUE"""),"12:15:00Z")</f>
        <v>12:15:00Z</v>
      </c>
      <c r="G1577" s="11" t="str">
        <f t="shared" si="81"/>
        <v>12:15:00</v>
      </c>
      <c r="H1577" s="10">
        <f>IFERROR(__xludf.DUMMYFUNCTION("SPLIT(D1577,""T"")"),42135.0)</f>
        <v>42135</v>
      </c>
      <c r="I1577" s="4" t="str">
        <f>IFERROR(__xludf.DUMMYFUNCTION("""COMPUTED_VALUE"""),"10:26:00Z")</f>
        <v>10:26:00Z</v>
      </c>
      <c r="J1577" s="4" t="str">
        <f t="shared" si="82"/>
        <v>10:26:00</v>
      </c>
      <c r="K1577" s="4">
        <f t="shared" si="83"/>
        <v>0</v>
      </c>
      <c r="L1577" s="4">
        <f t="shared" si="84"/>
        <v>0.07569444444</v>
      </c>
      <c r="M1577" s="4">
        <f t="shared" si="85"/>
        <v>0.07569444444</v>
      </c>
    </row>
    <row r="1578" hidden="1">
      <c r="A1578" s="4" t="s">
        <v>27</v>
      </c>
      <c r="B1578" s="4" t="s">
        <v>3774</v>
      </c>
      <c r="C1578" s="4" t="s">
        <v>3775</v>
      </c>
      <c r="D1578" s="4" t="s">
        <v>3776</v>
      </c>
      <c r="E1578" s="10">
        <f>IFERROR(__xludf.DUMMYFUNCTION("SPLIT(B1578,""T"")"),43689.0)</f>
        <v>43689</v>
      </c>
      <c r="F1578" s="4" t="str">
        <f>IFERROR(__xludf.DUMMYFUNCTION("""COMPUTED_VALUE"""),"08:21:00Z")</f>
        <v>08:21:00Z</v>
      </c>
      <c r="G1578" s="11" t="str">
        <f t="shared" si="81"/>
        <v>08:21:00</v>
      </c>
      <c r="H1578" s="10">
        <f>IFERROR(__xludf.DUMMYFUNCTION("SPLIT(D1578,""T"")"),43689.0)</f>
        <v>43689</v>
      </c>
      <c r="I1578" s="4" t="str">
        <f>IFERROR(__xludf.DUMMYFUNCTION("""COMPUTED_VALUE"""),"10:53:10Z")</f>
        <v>10:53:10Z</v>
      </c>
      <c r="J1578" s="4" t="str">
        <f t="shared" si="82"/>
        <v>10:53:10</v>
      </c>
      <c r="K1578" s="4">
        <f t="shared" si="83"/>
        <v>0</v>
      </c>
      <c r="L1578" s="4">
        <f t="shared" si="84"/>
        <v>-0.1056712963</v>
      </c>
      <c r="M1578" s="4">
        <f t="shared" si="85"/>
        <v>-0.1056712963</v>
      </c>
    </row>
    <row r="1579">
      <c r="A1579" s="4" t="s">
        <v>54</v>
      </c>
      <c r="B1579" s="4" t="s">
        <v>1561</v>
      </c>
      <c r="C1579" s="4" t="s">
        <v>1562</v>
      </c>
      <c r="D1579" s="4" t="s">
        <v>1563</v>
      </c>
      <c r="E1579" s="10">
        <f>IFERROR(__xludf.DUMMYFUNCTION("SPLIT(B1579,""T"")"),42532.0)</f>
        <v>42532</v>
      </c>
      <c r="F1579" s="4" t="str">
        <f>IFERROR(__xludf.DUMMYFUNCTION("""COMPUTED_VALUE"""),"16:15:00Z")</f>
        <v>16:15:00Z</v>
      </c>
      <c r="G1579" s="11" t="str">
        <f t="shared" si="81"/>
        <v>16:15:00</v>
      </c>
      <c r="H1579" s="10">
        <f>IFERROR(__xludf.DUMMYFUNCTION("SPLIT(D1579,""T"")"),42532.0)</f>
        <v>42532</v>
      </c>
      <c r="I1579" s="4" t="str">
        <f>IFERROR(__xludf.DUMMYFUNCTION("""COMPUTED_VALUE"""),"14:30:00Z")</f>
        <v>14:30:00Z</v>
      </c>
      <c r="J1579" s="4" t="str">
        <f t="shared" si="82"/>
        <v>14:30:00</v>
      </c>
      <c r="K1579" s="4">
        <f t="shared" si="83"/>
        <v>0</v>
      </c>
      <c r="L1579" s="4">
        <f t="shared" si="84"/>
        <v>0.07291666667</v>
      </c>
      <c r="M1579" s="4">
        <f t="shared" si="85"/>
        <v>0.07291666667</v>
      </c>
    </row>
    <row r="1580" hidden="1">
      <c r="A1580" s="4" t="s">
        <v>27</v>
      </c>
      <c r="B1580" s="4" t="s">
        <v>3780</v>
      </c>
      <c r="C1580" s="4" t="s">
        <v>3781</v>
      </c>
      <c r="D1580" s="4" t="s">
        <v>3782</v>
      </c>
      <c r="E1580" s="10">
        <f>IFERROR(__xludf.DUMMYFUNCTION("SPLIT(B1580,""T"")"),43657.0)</f>
        <v>43657</v>
      </c>
      <c r="F1580" s="4" t="str">
        <f>IFERROR(__xludf.DUMMYFUNCTION("""COMPUTED_VALUE"""),"08:26:00Z")</f>
        <v>08:26:00Z</v>
      </c>
      <c r="G1580" s="11" t="str">
        <f t="shared" si="81"/>
        <v>08:26:00</v>
      </c>
      <c r="H1580" s="10">
        <f>IFERROR(__xludf.DUMMYFUNCTION("SPLIT(D1580,""T"")"),43657.0)</f>
        <v>43657</v>
      </c>
      <c r="I1580" s="4" t="str">
        <f>IFERROR(__xludf.DUMMYFUNCTION("""COMPUTED_VALUE"""),"16:27:17Z")</f>
        <v>16:27:17Z</v>
      </c>
      <c r="J1580" s="4" t="str">
        <f t="shared" si="82"/>
        <v>16:27:17</v>
      </c>
      <c r="K1580" s="4">
        <f t="shared" si="83"/>
        <v>0</v>
      </c>
      <c r="L1580" s="4">
        <f t="shared" si="84"/>
        <v>-0.334224537</v>
      </c>
      <c r="M1580" s="4">
        <f t="shared" si="85"/>
        <v>-0.334224537</v>
      </c>
    </row>
    <row r="1581">
      <c r="A1581" s="4" t="s">
        <v>260</v>
      </c>
      <c r="B1581" s="4" t="s">
        <v>3832</v>
      </c>
      <c r="C1581" s="4" t="s">
        <v>667</v>
      </c>
      <c r="D1581" s="4" t="s">
        <v>3833</v>
      </c>
      <c r="E1581" s="10">
        <f>IFERROR(__xludf.DUMMYFUNCTION("SPLIT(B1581,""T"")"),43721.0)</f>
        <v>43721</v>
      </c>
      <c r="F1581" s="4" t="str">
        <f>IFERROR(__xludf.DUMMYFUNCTION("""COMPUTED_VALUE"""),"21:43:00Z")</f>
        <v>21:43:00Z</v>
      </c>
      <c r="G1581" s="11" t="str">
        <f t="shared" si="81"/>
        <v>21:43:00</v>
      </c>
      <c r="H1581" s="10">
        <f>IFERROR(__xludf.DUMMYFUNCTION("SPLIT(D1581,""T"")"),43721.0)</f>
        <v>43721</v>
      </c>
      <c r="I1581" s="4" t="str">
        <f>IFERROR(__xludf.DUMMYFUNCTION("""COMPUTED_VALUE"""),"20:00:29Z")</f>
        <v>20:00:29Z</v>
      </c>
      <c r="J1581" s="4" t="str">
        <f t="shared" si="82"/>
        <v>20:00:29</v>
      </c>
      <c r="K1581" s="4">
        <f t="shared" si="83"/>
        <v>0</v>
      </c>
      <c r="L1581" s="4">
        <f t="shared" si="84"/>
        <v>0.07119212963</v>
      </c>
      <c r="M1581" s="4">
        <f t="shared" si="85"/>
        <v>0.07119212963</v>
      </c>
    </row>
    <row r="1582" hidden="1">
      <c r="A1582" s="4" t="s">
        <v>27</v>
      </c>
      <c r="B1582" s="4" t="s">
        <v>3785</v>
      </c>
      <c r="C1582" s="4" t="s">
        <v>3120</v>
      </c>
      <c r="D1582" s="4" t="s">
        <v>3786</v>
      </c>
      <c r="E1582" s="10">
        <f>IFERROR(__xludf.DUMMYFUNCTION("SPLIT(B1582,""T"")"),43770.0)</f>
        <v>43770</v>
      </c>
      <c r="F1582" s="4" t="str">
        <f>IFERROR(__xludf.DUMMYFUNCTION("""COMPUTED_VALUE"""),"08:55:00Z")</f>
        <v>08:55:00Z</v>
      </c>
      <c r="G1582" s="11" t="str">
        <f t="shared" si="81"/>
        <v>08:55:00</v>
      </c>
      <c r="H1582" s="10">
        <f>IFERROR(__xludf.DUMMYFUNCTION("SPLIT(D1582,""T"")"),43770.0)</f>
        <v>43770</v>
      </c>
      <c r="I1582" s="4" t="str">
        <f>IFERROR(__xludf.DUMMYFUNCTION("""COMPUTED_VALUE"""),"13:04:34Z")</f>
        <v>13:04:34Z</v>
      </c>
      <c r="J1582" s="4" t="str">
        <f t="shared" si="82"/>
        <v>13:04:34</v>
      </c>
      <c r="K1582" s="4">
        <f t="shared" si="83"/>
        <v>0</v>
      </c>
      <c r="L1582" s="4">
        <f t="shared" si="84"/>
        <v>-0.1733101852</v>
      </c>
      <c r="M1582" s="4">
        <f t="shared" si="85"/>
        <v>-0.1733101852</v>
      </c>
    </row>
    <row r="1583">
      <c r="A1583" s="4" t="s">
        <v>240</v>
      </c>
      <c r="B1583" s="4" t="s">
        <v>1548</v>
      </c>
      <c r="C1583" s="4" t="s">
        <v>1549</v>
      </c>
      <c r="D1583" s="4" t="s">
        <v>1550</v>
      </c>
      <c r="E1583" s="10">
        <f>IFERROR(__xludf.DUMMYFUNCTION("SPLIT(B1583,""T"")"),42566.0)</f>
        <v>42566</v>
      </c>
      <c r="F1583" s="4" t="str">
        <f>IFERROR(__xludf.DUMMYFUNCTION("""COMPUTED_VALUE"""),"15:40:00Z")</f>
        <v>15:40:00Z</v>
      </c>
      <c r="G1583" s="11" t="str">
        <f t="shared" si="81"/>
        <v>15:40:00</v>
      </c>
      <c r="H1583" s="10">
        <f>IFERROR(__xludf.DUMMYFUNCTION("SPLIT(D1583,""T"")"),42566.0)</f>
        <v>42566</v>
      </c>
      <c r="I1583" s="4" t="str">
        <f>IFERROR(__xludf.DUMMYFUNCTION("""COMPUTED_VALUE"""),"14:00:00Z")</f>
        <v>14:00:00Z</v>
      </c>
      <c r="J1583" s="4" t="str">
        <f t="shared" si="82"/>
        <v>14:00:00</v>
      </c>
      <c r="K1583" s="4">
        <f t="shared" si="83"/>
        <v>0</v>
      </c>
      <c r="L1583" s="4">
        <f t="shared" si="84"/>
        <v>0.06944444444</v>
      </c>
      <c r="M1583" s="4">
        <f t="shared" si="85"/>
        <v>0.06944444444</v>
      </c>
    </row>
    <row r="1584" hidden="1">
      <c r="A1584" s="4" t="s">
        <v>205</v>
      </c>
      <c r="B1584" s="4" t="s">
        <v>3790</v>
      </c>
      <c r="C1584" s="4" t="s">
        <v>3791</v>
      </c>
      <c r="D1584" s="4" t="s">
        <v>3792</v>
      </c>
      <c r="E1584" s="10">
        <f>IFERROR(__xludf.DUMMYFUNCTION("SPLIT(B1584,""T"")"),43708.0)</f>
        <v>43708</v>
      </c>
      <c r="F1584" s="4" t="str">
        <f>IFERROR(__xludf.DUMMYFUNCTION("""COMPUTED_VALUE"""),"12:50:00Z")</f>
        <v>12:50:00Z</v>
      </c>
      <c r="G1584" s="11" t="str">
        <f t="shared" si="81"/>
        <v>12:50:00</v>
      </c>
      <c r="H1584" s="10">
        <f>IFERROR(__xludf.DUMMYFUNCTION("SPLIT(D1584,""T"")"),43708.0)</f>
        <v>43708</v>
      </c>
      <c r="I1584" s="4" t="str">
        <f>IFERROR(__xludf.DUMMYFUNCTION("""COMPUTED_VALUE"""),"12:55:15Z")</f>
        <v>12:55:15Z</v>
      </c>
      <c r="J1584" s="4" t="str">
        <f t="shared" si="82"/>
        <v>12:55:15</v>
      </c>
      <c r="K1584" s="4">
        <f t="shared" si="83"/>
        <v>0</v>
      </c>
      <c r="L1584" s="4">
        <f t="shared" si="84"/>
        <v>-0.003645833333</v>
      </c>
      <c r="M1584" s="4">
        <f t="shared" si="85"/>
        <v>-0.003645833333</v>
      </c>
    </row>
    <row r="1585">
      <c r="A1585" s="4" t="s">
        <v>31</v>
      </c>
      <c r="B1585" s="4" t="s">
        <v>1205</v>
      </c>
      <c r="C1585" s="4" t="s">
        <v>1206</v>
      </c>
      <c r="D1585" s="4" t="s">
        <v>1207</v>
      </c>
      <c r="E1585" s="10">
        <f>IFERROR(__xludf.DUMMYFUNCTION("SPLIT(B1585,""T"")"),42207.0)</f>
        <v>42207</v>
      </c>
      <c r="F1585" s="4" t="str">
        <f>IFERROR(__xludf.DUMMYFUNCTION("""COMPUTED_VALUE"""),"19:50:00Z")</f>
        <v>19:50:00Z</v>
      </c>
      <c r="G1585" s="11" t="str">
        <f t="shared" si="81"/>
        <v>19:50:00</v>
      </c>
      <c r="H1585" s="10">
        <f>IFERROR(__xludf.DUMMYFUNCTION("SPLIT(D1585,""T"")"),42207.0)</f>
        <v>42207</v>
      </c>
      <c r="I1585" s="4" t="str">
        <f>IFERROR(__xludf.DUMMYFUNCTION("""COMPUTED_VALUE"""),"18:17:00Z")</f>
        <v>18:17:00Z</v>
      </c>
      <c r="J1585" s="4" t="str">
        <f t="shared" si="82"/>
        <v>18:17:00</v>
      </c>
      <c r="K1585" s="4">
        <f t="shared" si="83"/>
        <v>0</v>
      </c>
      <c r="L1585" s="4">
        <f t="shared" si="84"/>
        <v>0.06458333333</v>
      </c>
      <c r="M1585" s="4">
        <f t="shared" si="85"/>
        <v>0.06458333333</v>
      </c>
    </row>
    <row r="1586" hidden="1">
      <c r="A1586" s="4" t="s">
        <v>170</v>
      </c>
      <c r="B1586" s="4" t="s">
        <v>3796</v>
      </c>
      <c r="C1586" s="4" t="s">
        <v>3797</v>
      </c>
      <c r="D1586" s="4" t="s">
        <v>3798</v>
      </c>
      <c r="E1586" s="10">
        <f>IFERROR(__xludf.DUMMYFUNCTION("SPLIT(B1586,""T"")"),43712.0)</f>
        <v>43712</v>
      </c>
      <c r="F1586" s="4" t="str">
        <f>IFERROR(__xludf.DUMMYFUNCTION("""COMPUTED_VALUE"""),"20:33:00Z")</f>
        <v>20:33:00Z</v>
      </c>
      <c r="G1586" s="11" t="str">
        <f t="shared" si="81"/>
        <v>20:33:00</v>
      </c>
      <c r="H1586" s="10">
        <f>IFERROR(__xludf.DUMMYFUNCTION("SPLIT(D1586,""T"")"),43712.0)</f>
        <v>43712</v>
      </c>
      <c r="I1586" s="4" t="str">
        <f>IFERROR(__xludf.DUMMYFUNCTION("""COMPUTED_VALUE"""),"20:33:59Z")</f>
        <v>20:33:59Z</v>
      </c>
      <c r="J1586" s="4" t="str">
        <f t="shared" si="82"/>
        <v>20:33:59</v>
      </c>
      <c r="K1586" s="4">
        <f t="shared" si="83"/>
        <v>0</v>
      </c>
      <c r="L1586" s="4">
        <f t="shared" si="84"/>
        <v>-0.0006828703704</v>
      </c>
      <c r="M1586" s="4">
        <f t="shared" si="85"/>
        <v>-0.0006828703704</v>
      </c>
    </row>
    <row r="1587">
      <c r="A1587" s="4" t="s">
        <v>27</v>
      </c>
      <c r="B1587" s="4" t="s">
        <v>385</v>
      </c>
      <c r="C1587" s="4" t="s">
        <v>386</v>
      </c>
      <c r="D1587" s="4" t="s">
        <v>387</v>
      </c>
      <c r="E1587" s="10">
        <f>IFERROR(__xludf.DUMMYFUNCTION("SPLIT(B1587,""T"")"),41490.0)</f>
        <v>41490</v>
      </c>
      <c r="F1587" s="4" t="str">
        <f>IFERROR(__xludf.DUMMYFUNCTION("""COMPUTED_VALUE"""),"18:00:00Z")</f>
        <v>18:00:00Z</v>
      </c>
      <c r="G1587" s="11" t="str">
        <f t="shared" si="81"/>
        <v>18:00:00</v>
      </c>
      <c r="H1587" s="10">
        <f>IFERROR(__xludf.DUMMYFUNCTION("SPLIT(D1587,""T"")"),41490.0)</f>
        <v>41490</v>
      </c>
      <c r="I1587" s="4" t="str">
        <f>IFERROR(__xludf.DUMMYFUNCTION("""COMPUTED_VALUE"""),"16:29:00Z")</f>
        <v>16:29:00Z</v>
      </c>
      <c r="J1587" s="4" t="str">
        <f t="shared" si="82"/>
        <v>16:29:00</v>
      </c>
      <c r="K1587" s="4">
        <f t="shared" si="83"/>
        <v>0</v>
      </c>
      <c r="L1587" s="4">
        <f t="shared" si="84"/>
        <v>0.06319444444</v>
      </c>
      <c r="M1587" s="4">
        <f t="shared" si="85"/>
        <v>0.06319444444</v>
      </c>
    </row>
    <row r="1588">
      <c r="A1588" s="4" t="s">
        <v>205</v>
      </c>
      <c r="B1588" s="4" t="s">
        <v>405</v>
      </c>
      <c r="C1588" s="4" t="s">
        <v>406</v>
      </c>
      <c r="D1588" s="4" t="s">
        <v>407</v>
      </c>
      <c r="E1588" s="10">
        <f>IFERROR(__xludf.DUMMYFUNCTION("SPLIT(B1588,""T"")"),41459.0)</f>
        <v>41459</v>
      </c>
      <c r="F1588" s="4" t="str">
        <f>IFERROR(__xludf.DUMMYFUNCTION("""COMPUTED_VALUE"""),"11:30:00Z")</f>
        <v>11:30:00Z</v>
      </c>
      <c r="G1588" s="11" t="str">
        <f t="shared" si="81"/>
        <v>11:30:00</v>
      </c>
      <c r="H1588" s="10">
        <f>IFERROR(__xludf.DUMMYFUNCTION("SPLIT(D1588,""T"")"),41459.0)</f>
        <v>41459</v>
      </c>
      <c r="I1588" s="4" t="str">
        <f>IFERROR(__xludf.DUMMYFUNCTION("""COMPUTED_VALUE"""),"10:00:00Z")</f>
        <v>10:00:00Z</v>
      </c>
      <c r="J1588" s="4" t="str">
        <f t="shared" si="82"/>
        <v>10:00:00</v>
      </c>
      <c r="K1588" s="4">
        <f t="shared" si="83"/>
        <v>0</v>
      </c>
      <c r="L1588" s="4">
        <f t="shared" si="84"/>
        <v>0.0625</v>
      </c>
      <c r="M1588" s="4">
        <f t="shared" si="85"/>
        <v>0.0625</v>
      </c>
    </row>
    <row r="1589">
      <c r="A1589" s="4" t="s">
        <v>54</v>
      </c>
      <c r="B1589" s="4" t="s">
        <v>231</v>
      </c>
      <c r="C1589" s="4" t="s">
        <v>232</v>
      </c>
      <c r="D1589" s="4" t="s">
        <v>233</v>
      </c>
      <c r="E1589" s="10">
        <f>IFERROR(__xludf.DUMMYFUNCTION("SPLIT(B1589,""T"")"),41474.0)</f>
        <v>41474</v>
      </c>
      <c r="F1589" s="4" t="str">
        <f>IFERROR(__xludf.DUMMYFUNCTION("""COMPUTED_VALUE"""),"15:00:00Z")</f>
        <v>15:00:00Z</v>
      </c>
      <c r="G1589" s="11" t="str">
        <f t="shared" si="81"/>
        <v>15:00:00</v>
      </c>
      <c r="H1589" s="10">
        <f>IFERROR(__xludf.DUMMYFUNCTION("SPLIT(D1589,""T"")"),41474.0)</f>
        <v>41474</v>
      </c>
      <c r="I1589" s="4" t="str">
        <f>IFERROR(__xludf.DUMMYFUNCTION("""COMPUTED_VALUE"""),"13:32:00Z")</f>
        <v>13:32:00Z</v>
      </c>
      <c r="J1589" s="4" t="str">
        <f t="shared" si="82"/>
        <v>13:32:00</v>
      </c>
      <c r="K1589" s="4">
        <f t="shared" si="83"/>
        <v>0</v>
      </c>
      <c r="L1589" s="4">
        <f t="shared" si="84"/>
        <v>0.06111111111</v>
      </c>
      <c r="M1589" s="4">
        <f t="shared" si="85"/>
        <v>0.06111111111</v>
      </c>
    </row>
    <row r="1590">
      <c r="A1590" s="4" t="s">
        <v>54</v>
      </c>
      <c r="B1590" s="4" t="s">
        <v>681</v>
      </c>
      <c r="C1590" s="4" t="s">
        <v>351</v>
      </c>
      <c r="D1590" s="4" t="s">
        <v>682</v>
      </c>
      <c r="E1590" s="10">
        <f>IFERROR(__xludf.DUMMYFUNCTION("SPLIT(B1590,""T"")"),41803.0)</f>
        <v>41803</v>
      </c>
      <c r="F1590" s="4" t="str">
        <f>IFERROR(__xludf.DUMMYFUNCTION("""COMPUTED_VALUE"""),"13:50:00Z")</f>
        <v>13:50:00Z</v>
      </c>
      <c r="G1590" s="11" t="str">
        <f t="shared" si="81"/>
        <v>13:50:00</v>
      </c>
      <c r="H1590" s="10">
        <f>IFERROR(__xludf.DUMMYFUNCTION("SPLIT(D1590,""T"")"),41803.0)</f>
        <v>41803</v>
      </c>
      <c r="I1590" s="4" t="str">
        <f>IFERROR(__xludf.DUMMYFUNCTION("""COMPUTED_VALUE"""),"12:23:00Z")</f>
        <v>12:23:00Z</v>
      </c>
      <c r="J1590" s="4" t="str">
        <f t="shared" si="82"/>
        <v>12:23:00</v>
      </c>
      <c r="K1590" s="4">
        <f t="shared" si="83"/>
        <v>0</v>
      </c>
      <c r="L1590" s="4">
        <f t="shared" si="84"/>
        <v>0.06041666667</v>
      </c>
      <c r="M1590" s="4">
        <f t="shared" si="85"/>
        <v>0.06041666667</v>
      </c>
    </row>
    <row r="1591">
      <c r="A1591" s="4" t="s">
        <v>80</v>
      </c>
      <c r="B1591" s="4" t="s">
        <v>3761</v>
      </c>
      <c r="C1591" s="4" t="s">
        <v>3762</v>
      </c>
      <c r="D1591" s="4" t="s">
        <v>3763</v>
      </c>
      <c r="E1591" s="10">
        <f>IFERROR(__xludf.DUMMYFUNCTION("SPLIT(B1591,""T"")"),43651.0)</f>
        <v>43651</v>
      </c>
      <c r="F1591" s="4" t="str">
        <f>IFERROR(__xludf.DUMMYFUNCTION("""COMPUTED_VALUE"""),"14:58:00Z")</f>
        <v>14:58:00Z</v>
      </c>
      <c r="G1591" s="11" t="str">
        <f t="shared" si="81"/>
        <v>14:58:00</v>
      </c>
      <c r="H1591" s="10">
        <f>IFERROR(__xludf.DUMMYFUNCTION("SPLIT(D1591,""T"")"),43651.0)</f>
        <v>43651</v>
      </c>
      <c r="I1591" s="4" t="str">
        <f>IFERROR(__xludf.DUMMYFUNCTION("""COMPUTED_VALUE"""),"13:33:56Z")</f>
        <v>13:33:56Z</v>
      </c>
      <c r="J1591" s="4" t="str">
        <f t="shared" si="82"/>
        <v>13:33:56</v>
      </c>
      <c r="K1591" s="4">
        <f t="shared" si="83"/>
        <v>0</v>
      </c>
      <c r="L1591" s="4">
        <f t="shared" si="84"/>
        <v>0.05837962963</v>
      </c>
      <c r="M1591" s="4">
        <f t="shared" si="85"/>
        <v>0.05837962963</v>
      </c>
    </row>
    <row r="1592">
      <c r="A1592" s="4" t="s">
        <v>27</v>
      </c>
      <c r="B1592" s="4" t="s">
        <v>3783</v>
      </c>
      <c r="C1592" s="4" t="s">
        <v>2456</v>
      </c>
      <c r="D1592" s="4" t="s">
        <v>3784</v>
      </c>
      <c r="E1592" s="10">
        <f>IFERROR(__xludf.DUMMYFUNCTION("SPLIT(B1592,""T"")"),43643.0)</f>
        <v>43643</v>
      </c>
      <c r="F1592" s="4" t="str">
        <f>IFERROR(__xludf.DUMMYFUNCTION("""COMPUTED_VALUE"""),"17:36:00Z")</f>
        <v>17:36:00Z</v>
      </c>
      <c r="G1592" s="11" t="str">
        <f t="shared" si="81"/>
        <v>17:36:00</v>
      </c>
      <c r="H1592" s="10">
        <f>IFERROR(__xludf.DUMMYFUNCTION("SPLIT(D1592,""T"")"),43643.0)</f>
        <v>43643</v>
      </c>
      <c r="I1592" s="4" t="str">
        <f>IFERROR(__xludf.DUMMYFUNCTION("""COMPUTED_VALUE"""),"16:14:25Z")</f>
        <v>16:14:25Z</v>
      </c>
      <c r="J1592" s="4" t="str">
        <f t="shared" si="82"/>
        <v>16:14:25</v>
      </c>
      <c r="K1592" s="4">
        <f t="shared" si="83"/>
        <v>0</v>
      </c>
      <c r="L1592" s="4">
        <f t="shared" si="84"/>
        <v>0.05665509259</v>
      </c>
      <c r="M1592" s="4">
        <f t="shared" si="85"/>
        <v>0.05665509259</v>
      </c>
    </row>
    <row r="1593">
      <c r="A1593" s="4" t="s">
        <v>260</v>
      </c>
      <c r="B1593" s="4" t="s">
        <v>3284</v>
      </c>
      <c r="C1593" s="4" t="s">
        <v>3285</v>
      </c>
      <c r="D1593" s="4" t="s">
        <v>3286</v>
      </c>
      <c r="E1593" s="10">
        <f>IFERROR(__xludf.DUMMYFUNCTION("SPLIT(B1593,""T"")"),43664.0)</f>
        <v>43664</v>
      </c>
      <c r="F1593" s="4" t="str">
        <f>IFERROR(__xludf.DUMMYFUNCTION("""COMPUTED_VALUE"""),"10:29:00Z")</f>
        <v>10:29:00Z</v>
      </c>
      <c r="G1593" s="11" t="str">
        <f t="shared" si="81"/>
        <v>10:29:00</v>
      </c>
      <c r="H1593" s="10">
        <f>IFERROR(__xludf.DUMMYFUNCTION("SPLIT(D1593,""T"")"),43664.0)</f>
        <v>43664</v>
      </c>
      <c r="I1593" s="4" t="str">
        <f>IFERROR(__xludf.DUMMYFUNCTION("""COMPUTED_VALUE"""),"09:07:57Z")</f>
        <v>09:07:57Z</v>
      </c>
      <c r="J1593" s="4" t="str">
        <f t="shared" si="82"/>
        <v>09:07:57</v>
      </c>
      <c r="K1593" s="4">
        <f t="shared" si="83"/>
        <v>0</v>
      </c>
      <c r="L1593" s="4">
        <f t="shared" si="84"/>
        <v>0.05628472222</v>
      </c>
      <c r="M1593" s="4">
        <f t="shared" si="85"/>
        <v>0.05628472222</v>
      </c>
    </row>
    <row r="1594">
      <c r="A1594" s="4" t="s">
        <v>87</v>
      </c>
      <c r="B1594" s="4" t="s">
        <v>1606</v>
      </c>
      <c r="C1594" s="4" t="s">
        <v>1607</v>
      </c>
      <c r="D1594" s="4" t="s">
        <v>1608</v>
      </c>
      <c r="E1594" s="10">
        <f>IFERROR(__xludf.DUMMYFUNCTION("SPLIT(B1594,""T"")"),42542.0)</f>
        <v>42542</v>
      </c>
      <c r="F1594" s="4" t="str">
        <f>IFERROR(__xludf.DUMMYFUNCTION("""COMPUTED_VALUE"""),"16:30:00Z")</f>
        <v>16:30:00Z</v>
      </c>
      <c r="G1594" s="11" t="str">
        <f t="shared" si="81"/>
        <v>16:30:00</v>
      </c>
      <c r="H1594" s="10">
        <f>IFERROR(__xludf.DUMMYFUNCTION("SPLIT(D1594,""T"")"),42542.0)</f>
        <v>42542</v>
      </c>
      <c r="I1594" s="4" t="str">
        <f>IFERROR(__xludf.DUMMYFUNCTION("""COMPUTED_VALUE"""),"15:09:00Z")</f>
        <v>15:09:00Z</v>
      </c>
      <c r="J1594" s="4" t="str">
        <f t="shared" si="82"/>
        <v>15:09:00</v>
      </c>
      <c r="K1594" s="4">
        <f t="shared" si="83"/>
        <v>0</v>
      </c>
      <c r="L1594" s="4">
        <f t="shared" si="84"/>
        <v>0.05625</v>
      </c>
      <c r="M1594" s="4">
        <f t="shared" si="85"/>
        <v>0.05625</v>
      </c>
    </row>
    <row r="1595">
      <c r="A1595" s="4" t="s">
        <v>54</v>
      </c>
      <c r="B1595" s="4" t="s">
        <v>350</v>
      </c>
      <c r="C1595" s="4" t="s">
        <v>351</v>
      </c>
      <c r="D1595" s="4" t="s">
        <v>352</v>
      </c>
      <c r="E1595" s="10">
        <f>IFERROR(__xludf.DUMMYFUNCTION("SPLIT(B1595,""T"")"),41532.0)</f>
        <v>41532</v>
      </c>
      <c r="F1595" s="4" t="str">
        <f>IFERROR(__xludf.DUMMYFUNCTION("""COMPUTED_VALUE"""),"19:00:00Z")</f>
        <v>19:00:00Z</v>
      </c>
      <c r="G1595" s="11" t="str">
        <f t="shared" si="81"/>
        <v>19:00:00</v>
      </c>
      <c r="H1595" s="10">
        <f>IFERROR(__xludf.DUMMYFUNCTION("SPLIT(D1595,""T"")"),41532.0)</f>
        <v>41532</v>
      </c>
      <c r="I1595" s="4" t="str">
        <f>IFERROR(__xludf.DUMMYFUNCTION("""COMPUTED_VALUE"""),"17:39:00Z")</f>
        <v>17:39:00Z</v>
      </c>
      <c r="J1595" s="4" t="str">
        <f t="shared" si="82"/>
        <v>17:39:00</v>
      </c>
      <c r="K1595" s="4">
        <f t="shared" si="83"/>
        <v>0</v>
      </c>
      <c r="L1595" s="4">
        <f t="shared" si="84"/>
        <v>0.05625</v>
      </c>
      <c r="M1595" s="4">
        <f t="shared" si="85"/>
        <v>0.05625</v>
      </c>
    </row>
    <row r="1596">
      <c r="A1596" s="4" t="s">
        <v>205</v>
      </c>
      <c r="B1596" s="4" t="s">
        <v>463</v>
      </c>
      <c r="C1596" s="4" t="s">
        <v>464</v>
      </c>
      <c r="D1596" s="4" t="s">
        <v>465</v>
      </c>
      <c r="E1596" s="10">
        <f>IFERROR(__xludf.DUMMYFUNCTION("SPLIT(B1596,""T"")"),41461.0)</f>
        <v>41461</v>
      </c>
      <c r="F1596" s="4" t="str">
        <f>IFERROR(__xludf.DUMMYFUNCTION("""COMPUTED_VALUE"""),"14:30:00Z")</f>
        <v>14:30:00Z</v>
      </c>
      <c r="G1596" s="11" t="str">
        <f t="shared" si="81"/>
        <v>14:30:00</v>
      </c>
      <c r="H1596" s="10">
        <f>IFERROR(__xludf.DUMMYFUNCTION("SPLIT(D1596,""T"")"),41461.0)</f>
        <v>41461</v>
      </c>
      <c r="I1596" s="4" t="str">
        <f>IFERROR(__xludf.DUMMYFUNCTION("""COMPUTED_VALUE"""),"13:09:00Z")</f>
        <v>13:09:00Z</v>
      </c>
      <c r="J1596" s="4" t="str">
        <f t="shared" si="82"/>
        <v>13:09:00</v>
      </c>
      <c r="K1596" s="4">
        <f t="shared" si="83"/>
        <v>0</v>
      </c>
      <c r="L1596" s="4">
        <f t="shared" si="84"/>
        <v>0.05625</v>
      </c>
      <c r="M1596" s="4">
        <f t="shared" si="85"/>
        <v>0.05625</v>
      </c>
    </row>
    <row r="1597" hidden="1">
      <c r="A1597" s="4" t="s">
        <v>87</v>
      </c>
      <c r="B1597" s="4" t="s">
        <v>3823</v>
      </c>
      <c r="C1597" s="4" t="s">
        <v>3824</v>
      </c>
      <c r="D1597" s="4" t="s">
        <v>3825</v>
      </c>
      <c r="E1597" s="10">
        <f>IFERROR(__xludf.DUMMYFUNCTION("SPLIT(B1597,""T"")"),43645.0)</f>
        <v>43645</v>
      </c>
      <c r="F1597" s="4" t="str">
        <f>IFERROR(__xludf.DUMMYFUNCTION("""COMPUTED_VALUE"""),"18:20:00Z")</f>
        <v>18:20:00Z</v>
      </c>
      <c r="G1597" s="11" t="str">
        <f t="shared" si="81"/>
        <v>18:20:00</v>
      </c>
      <c r="H1597" s="10">
        <f>IFERROR(__xludf.DUMMYFUNCTION("SPLIT(D1597,""T"")"),43645.0)</f>
        <v>43645</v>
      </c>
      <c r="I1597" s="4" t="str">
        <f>IFERROR(__xludf.DUMMYFUNCTION("""COMPUTED_VALUE"""),"22:07:59Z")</f>
        <v>22:07:59Z</v>
      </c>
      <c r="J1597" s="4" t="str">
        <f t="shared" si="82"/>
        <v>22:07:59</v>
      </c>
      <c r="K1597" s="4">
        <f t="shared" si="83"/>
        <v>0</v>
      </c>
      <c r="L1597" s="4">
        <f t="shared" si="84"/>
        <v>-0.1583217593</v>
      </c>
      <c r="M1597" s="4">
        <f t="shared" si="85"/>
        <v>-0.1583217593</v>
      </c>
    </row>
    <row r="1598">
      <c r="A1598" s="4" t="s">
        <v>27</v>
      </c>
      <c r="B1598" s="4" t="s">
        <v>831</v>
      </c>
      <c r="C1598" s="4" t="s">
        <v>832</v>
      </c>
      <c r="D1598" s="4" t="s">
        <v>833</v>
      </c>
      <c r="E1598" s="10">
        <f>IFERROR(__xludf.DUMMYFUNCTION("SPLIT(B1598,""T"")"),41794.0)</f>
        <v>41794</v>
      </c>
      <c r="F1598" s="4" t="str">
        <f>IFERROR(__xludf.DUMMYFUNCTION("""COMPUTED_VALUE"""),"16:30:00Z")</f>
        <v>16:30:00Z</v>
      </c>
      <c r="G1598" s="11" t="str">
        <f t="shared" si="81"/>
        <v>16:30:00</v>
      </c>
      <c r="H1598" s="10">
        <f>IFERROR(__xludf.DUMMYFUNCTION("SPLIT(D1598,""T"")"),41794.0)</f>
        <v>41794</v>
      </c>
      <c r="I1598" s="4" t="str">
        <f>IFERROR(__xludf.DUMMYFUNCTION("""COMPUTED_VALUE"""),"15:18:00Z")</f>
        <v>15:18:00Z</v>
      </c>
      <c r="J1598" s="4" t="str">
        <f t="shared" si="82"/>
        <v>15:18:00</v>
      </c>
      <c r="K1598" s="4">
        <f t="shared" si="83"/>
        <v>0</v>
      </c>
      <c r="L1598" s="4">
        <f t="shared" si="84"/>
        <v>0.05</v>
      </c>
      <c r="M1598" s="4">
        <f t="shared" si="85"/>
        <v>0.05</v>
      </c>
    </row>
    <row r="1599" hidden="1">
      <c r="A1599" s="4" t="s">
        <v>54</v>
      </c>
      <c r="B1599" s="4" t="s">
        <v>3829</v>
      </c>
      <c r="C1599" s="4" t="s">
        <v>3830</v>
      </c>
      <c r="D1599" s="4" t="s">
        <v>3831</v>
      </c>
      <c r="E1599" s="10">
        <f>IFERROR(__xludf.DUMMYFUNCTION("SPLIT(B1599,""T"")"),43745.0)</f>
        <v>43745</v>
      </c>
      <c r="F1599" s="4" t="str">
        <f>IFERROR(__xludf.DUMMYFUNCTION("""COMPUTED_VALUE"""),"11:03:00Z")</f>
        <v>11:03:00Z</v>
      </c>
      <c r="G1599" s="11" t="str">
        <f t="shared" si="81"/>
        <v>11:03:00</v>
      </c>
      <c r="H1599" s="10">
        <f>IFERROR(__xludf.DUMMYFUNCTION("SPLIT(D1599,""T"")"),43745.0)</f>
        <v>43745</v>
      </c>
      <c r="I1599" s="4" t="str">
        <f>IFERROR(__xludf.DUMMYFUNCTION("""COMPUTED_VALUE"""),"11:03:29.963Z")</f>
        <v>11:03:29.963Z</v>
      </c>
      <c r="J1599" s="4" t="str">
        <f t="shared" si="82"/>
        <v>11:03:29.963</v>
      </c>
      <c r="K1599" s="4">
        <f t="shared" si="83"/>
        <v>0</v>
      </c>
      <c r="L1599" s="4">
        <f t="shared" si="84"/>
        <v>-0.0003467939815</v>
      </c>
      <c r="M1599" s="4">
        <f t="shared" si="85"/>
        <v>-0.0003467939815</v>
      </c>
    </row>
    <row r="1600">
      <c r="A1600" s="4" t="s">
        <v>31</v>
      </c>
      <c r="B1600" s="4" t="s">
        <v>1065</v>
      </c>
      <c r="C1600" s="4" t="s">
        <v>1066</v>
      </c>
      <c r="D1600" s="4" t="s">
        <v>1067</v>
      </c>
      <c r="E1600" s="10">
        <f>IFERROR(__xludf.DUMMYFUNCTION("SPLIT(B1600,""T"")"),42163.0)</f>
        <v>42163</v>
      </c>
      <c r="F1600" s="4" t="str">
        <f>IFERROR(__xludf.DUMMYFUNCTION("""COMPUTED_VALUE"""),"11:45:00Z")</f>
        <v>11:45:00Z</v>
      </c>
      <c r="G1600" s="11" t="str">
        <f t="shared" si="81"/>
        <v>11:45:00</v>
      </c>
      <c r="H1600" s="10">
        <f>IFERROR(__xludf.DUMMYFUNCTION("SPLIT(D1600,""T"")"),42163.0)</f>
        <v>42163</v>
      </c>
      <c r="I1600" s="4" t="str">
        <f>IFERROR(__xludf.DUMMYFUNCTION("""COMPUTED_VALUE"""),"10:33:00Z")</f>
        <v>10:33:00Z</v>
      </c>
      <c r="J1600" s="4" t="str">
        <f t="shared" si="82"/>
        <v>10:33:00</v>
      </c>
      <c r="K1600" s="4">
        <f t="shared" si="83"/>
        <v>0</v>
      </c>
      <c r="L1600" s="4">
        <f t="shared" si="84"/>
        <v>0.05</v>
      </c>
      <c r="M1600" s="4">
        <f t="shared" si="85"/>
        <v>0.05</v>
      </c>
    </row>
    <row r="1601">
      <c r="A1601" s="4" t="s">
        <v>149</v>
      </c>
      <c r="B1601" s="4" t="s">
        <v>408</v>
      </c>
      <c r="C1601" s="4" t="s">
        <v>409</v>
      </c>
      <c r="D1601" s="4" t="s">
        <v>410</v>
      </c>
      <c r="E1601" s="10">
        <f>IFERROR(__xludf.DUMMYFUNCTION("SPLIT(B1601,""T"")"),41419.0)</f>
        <v>41419</v>
      </c>
      <c r="F1601" s="4" t="str">
        <f>IFERROR(__xludf.DUMMYFUNCTION("""COMPUTED_VALUE"""),"18:45:00Z")</f>
        <v>18:45:00Z</v>
      </c>
      <c r="G1601" s="11" t="str">
        <f t="shared" si="81"/>
        <v>18:45:00</v>
      </c>
      <c r="H1601" s="10">
        <f>IFERROR(__xludf.DUMMYFUNCTION("SPLIT(D1601,""T"")"),41419.0)</f>
        <v>41419</v>
      </c>
      <c r="I1601" s="4" t="str">
        <f>IFERROR(__xludf.DUMMYFUNCTION("""COMPUTED_VALUE"""),"17:35:00Z")</f>
        <v>17:35:00Z</v>
      </c>
      <c r="J1601" s="4" t="str">
        <f t="shared" si="82"/>
        <v>17:35:00</v>
      </c>
      <c r="K1601" s="4">
        <f t="shared" si="83"/>
        <v>0</v>
      </c>
      <c r="L1601" s="4">
        <f t="shared" si="84"/>
        <v>0.04861111111</v>
      </c>
      <c r="M1601" s="4">
        <f t="shared" si="85"/>
        <v>0.04861111111</v>
      </c>
    </row>
    <row r="1602">
      <c r="A1602" s="4" t="s">
        <v>19</v>
      </c>
      <c r="B1602" s="4" t="s">
        <v>3769</v>
      </c>
      <c r="C1602" s="4" t="s">
        <v>3770</v>
      </c>
      <c r="D1602" s="4" t="s">
        <v>3771</v>
      </c>
      <c r="E1602" s="10">
        <f>IFERROR(__xludf.DUMMYFUNCTION("SPLIT(B1602,""T"")"),43685.0)</f>
        <v>43685</v>
      </c>
      <c r="F1602" s="4" t="str">
        <f>IFERROR(__xludf.DUMMYFUNCTION("""COMPUTED_VALUE"""),"17:12:00Z")</f>
        <v>17:12:00Z</v>
      </c>
      <c r="G1602" s="11" t="str">
        <f t="shared" si="81"/>
        <v>17:12:00</v>
      </c>
      <c r="H1602" s="10">
        <f>IFERROR(__xludf.DUMMYFUNCTION("SPLIT(D1602,""T"")"),43685.0)</f>
        <v>43685</v>
      </c>
      <c r="I1602" s="4" t="str">
        <f>IFERROR(__xludf.DUMMYFUNCTION("""COMPUTED_VALUE"""),"16:16:40Z")</f>
        <v>16:16:40Z</v>
      </c>
      <c r="J1602" s="4" t="str">
        <f t="shared" si="82"/>
        <v>16:16:40</v>
      </c>
      <c r="K1602" s="4">
        <f t="shared" si="83"/>
        <v>0</v>
      </c>
      <c r="L1602" s="4">
        <f t="shared" si="84"/>
        <v>0.03842592593</v>
      </c>
      <c r="M1602" s="4">
        <f t="shared" si="85"/>
        <v>0.03842592593</v>
      </c>
    </row>
    <row r="1603" hidden="1">
      <c r="A1603" s="4" t="s">
        <v>54</v>
      </c>
      <c r="B1603" s="4" t="s">
        <v>3839</v>
      </c>
      <c r="C1603" s="4" t="s">
        <v>3840</v>
      </c>
      <c r="D1603" s="4" t="s">
        <v>3841</v>
      </c>
      <c r="E1603" s="10">
        <f>IFERROR(__xludf.DUMMYFUNCTION("SPLIT(B1603,""T"")"),43746.0)</f>
        <v>43746</v>
      </c>
      <c r="F1603" s="4" t="str">
        <f>IFERROR(__xludf.DUMMYFUNCTION("""COMPUTED_VALUE"""),"09:52:00Z")</f>
        <v>09:52:00Z</v>
      </c>
      <c r="G1603" s="11" t="str">
        <f t="shared" si="81"/>
        <v>09:52:00</v>
      </c>
      <c r="H1603" s="10">
        <f>IFERROR(__xludf.DUMMYFUNCTION("SPLIT(D1603,""T"")"),43747.0)</f>
        <v>43747</v>
      </c>
      <c r="I1603" s="4" t="str">
        <f>IFERROR(__xludf.DUMMYFUNCTION("""COMPUTED_VALUE"""),"09:52:52.477Z")</f>
        <v>09:52:52.477Z</v>
      </c>
      <c r="J1603" s="4" t="str">
        <f t="shared" si="82"/>
        <v>09:52:52.477</v>
      </c>
      <c r="K1603" s="4">
        <f t="shared" si="83"/>
        <v>-1</v>
      </c>
      <c r="L1603" s="4">
        <f t="shared" si="84"/>
        <v>-0.0006073726852</v>
      </c>
      <c r="M1603" s="4">
        <f t="shared" si="85"/>
        <v>-1.000607373</v>
      </c>
    </row>
    <row r="1604">
      <c r="A1604" s="4" t="s">
        <v>58</v>
      </c>
      <c r="B1604" s="4" t="s">
        <v>813</v>
      </c>
      <c r="C1604" s="4" t="s">
        <v>814</v>
      </c>
      <c r="D1604" s="4" t="s">
        <v>815</v>
      </c>
      <c r="E1604" s="10">
        <f>IFERROR(__xludf.DUMMYFUNCTION("SPLIT(B1604,""T"")"),41880.0)</f>
        <v>41880</v>
      </c>
      <c r="F1604" s="4" t="str">
        <f>IFERROR(__xludf.DUMMYFUNCTION("""COMPUTED_VALUE"""),"13:15:00Z")</f>
        <v>13:15:00Z</v>
      </c>
      <c r="G1604" s="11" t="str">
        <f t="shared" si="81"/>
        <v>13:15:00</v>
      </c>
      <c r="H1604" s="10">
        <f>IFERROR(__xludf.DUMMYFUNCTION("SPLIT(D1604,""T"")"),41880.0)</f>
        <v>41880</v>
      </c>
      <c r="I1604" s="4" t="str">
        <f>IFERROR(__xludf.DUMMYFUNCTION("""COMPUTED_VALUE"""),"12:21:00Z")</f>
        <v>12:21:00Z</v>
      </c>
      <c r="J1604" s="4" t="str">
        <f t="shared" si="82"/>
        <v>12:21:00</v>
      </c>
      <c r="K1604" s="4">
        <f t="shared" si="83"/>
        <v>0</v>
      </c>
      <c r="L1604" s="4">
        <f t="shared" si="84"/>
        <v>0.0375</v>
      </c>
      <c r="M1604" s="4">
        <f t="shared" si="85"/>
        <v>0.0375</v>
      </c>
    </row>
    <row r="1605">
      <c r="A1605" s="4" t="s">
        <v>87</v>
      </c>
      <c r="B1605" s="4" t="s">
        <v>3433</v>
      </c>
      <c r="C1605" s="4" t="s">
        <v>3434</v>
      </c>
      <c r="D1605" s="4" t="s">
        <v>3435</v>
      </c>
      <c r="E1605" s="10">
        <f>IFERROR(__xludf.DUMMYFUNCTION("SPLIT(B1605,""T"")"),43736.0)</f>
        <v>43736</v>
      </c>
      <c r="F1605" s="4" t="str">
        <f>IFERROR(__xludf.DUMMYFUNCTION("""COMPUTED_VALUE"""),"18:40:00Z")</f>
        <v>18:40:00Z</v>
      </c>
      <c r="G1605" s="11" t="str">
        <f t="shared" si="81"/>
        <v>18:40:00</v>
      </c>
      <c r="H1605" s="10">
        <f>IFERROR(__xludf.DUMMYFUNCTION("SPLIT(D1605,""T"")"),43736.0)</f>
        <v>43736</v>
      </c>
      <c r="I1605" s="4" t="str">
        <f>IFERROR(__xludf.DUMMYFUNCTION("""COMPUTED_VALUE"""),"17:48:10Z")</f>
        <v>17:48:10Z</v>
      </c>
      <c r="J1605" s="4" t="str">
        <f t="shared" si="82"/>
        <v>17:48:10</v>
      </c>
      <c r="K1605" s="4">
        <f t="shared" si="83"/>
        <v>0</v>
      </c>
      <c r="L1605" s="4">
        <f t="shared" si="84"/>
        <v>0.03599537037</v>
      </c>
      <c r="M1605" s="4">
        <f t="shared" si="85"/>
        <v>0.03599537037</v>
      </c>
    </row>
    <row r="1606" hidden="1">
      <c r="A1606" s="4" t="s">
        <v>87</v>
      </c>
      <c r="C1606" s="4" t="s">
        <v>3847</v>
      </c>
      <c r="D1606" s="4" t="s">
        <v>3848</v>
      </c>
      <c r="E1606" s="4" t="str">
        <f>IFERROR(__xludf.DUMMYFUNCTION("SPLIT(B1606,""T"")"),"#VALUE!")</f>
        <v>#VALUE!</v>
      </c>
    </row>
    <row r="1607">
      <c r="A1607" s="4" t="s">
        <v>205</v>
      </c>
      <c r="B1607" s="4" t="s">
        <v>3299</v>
      </c>
      <c r="C1607" s="4" t="s">
        <v>3300</v>
      </c>
      <c r="D1607" s="4" t="s">
        <v>3301</v>
      </c>
      <c r="E1607" s="10">
        <f>IFERROR(__xludf.DUMMYFUNCTION("SPLIT(B1607,""T"")"),43658.0)</f>
        <v>43658</v>
      </c>
      <c r="F1607" s="4" t="str">
        <f>IFERROR(__xludf.DUMMYFUNCTION("""COMPUTED_VALUE"""),"19:20:00Z")</f>
        <v>19:20:00Z</v>
      </c>
      <c r="G1607" s="11" t="str">
        <f t="shared" ref="G1607:G1610" si="86">MID(F1607,1,LEN(F1607)-1)</f>
        <v>19:20:00</v>
      </c>
      <c r="H1607" s="10">
        <f>IFERROR(__xludf.DUMMYFUNCTION("SPLIT(D1607,""T"")"),43658.0)</f>
        <v>43658</v>
      </c>
      <c r="I1607" s="4" t="str">
        <f>IFERROR(__xludf.DUMMYFUNCTION("""COMPUTED_VALUE"""),"18:40:09Z")</f>
        <v>18:40:09Z</v>
      </c>
      <c r="J1607" s="4" t="str">
        <f t="shared" ref="J1607:J1610" si="87">MID(I1607,1,LEN(I1607)-1)</f>
        <v>18:40:09</v>
      </c>
      <c r="K1607" s="4">
        <f t="shared" ref="K1607:K1610" si="88">E1607-H1607</f>
        <v>0</v>
      </c>
      <c r="L1607" s="4">
        <f t="shared" ref="L1607:L1610" si="89">G1607-J1607</f>
        <v>0.02767361111</v>
      </c>
      <c r="M1607" s="4">
        <f t="shared" ref="M1607:M1610" si="90">K1607+L1607</f>
        <v>0.02767361111</v>
      </c>
    </row>
    <row r="1608">
      <c r="A1608" s="4" t="s">
        <v>205</v>
      </c>
      <c r="B1608" s="4" t="s">
        <v>3546</v>
      </c>
      <c r="C1608" s="4" t="s">
        <v>2761</v>
      </c>
      <c r="D1608" s="4" t="s">
        <v>3547</v>
      </c>
      <c r="E1608" s="10">
        <f>IFERROR(__xludf.DUMMYFUNCTION("SPLIT(B1608,""T"")"),43698.0)</f>
        <v>43698</v>
      </c>
      <c r="F1608" s="4" t="str">
        <f>IFERROR(__xludf.DUMMYFUNCTION("""COMPUTED_VALUE"""),"18:27:00Z")</f>
        <v>18:27:00Z</v>
      </c>
      <c r="G1608" s="11" t="str">
        <f t="shared" si="86"/>
        <v>18:27:00</v>
      </c>
      <c r="H1608" s="10">
        <f>IFERROR(__xludf.DUMMYFUNCTION("SPLIT(D1608,""T"")"),43698.0)</f>
        <v>43698</v>
      </c>
      <c r="I1608" s="4" t="str">
        <f>IFERROR(__xludf.DUMMYFUNCTION("""COMPUTED_VALUE"""),"17:56:05Z")</f>
        <v>17:56:05Z</v>
      </c>
      <c r="J1608" s="4" t="str">
        <f t="shared" si="87"/>
        <v>17:56:05</v>
      </c>
      <c r="K1608" s="4">
        <f t="shared" si="88"/>
        <v>0</v>
      </c>
      <c r="L1608" s="4">
        <f t="shared" si="89"/>
        <v>0.02146990741</v>
      </c>
      <c r="M1608" s="4">
        <f t="shared" si="90"/>
        <v>0.02146990741</v>
      </c>
    </row>
    <row r="1609">
      <c r="A1609" s="4" t="s">
        <v>205</v>
      </c>
      <c r="B1609" s="4" t="s">
        <v>3821</v>
      </c>
      <c r="C1609" s="4" t="s">
        <v>318</v>
      </c>
      <c r="D1609" s="4" t="s">
        <v>3822</v>
      </c>
      <c r="E1609" s="10">
        <f>IFERROR(__xludf.DUMMYFUNCTION("SPLIT(B1609,""T"")"),43746.0)</f>
        <v>43746</v>
      </c>
      <c r="F1609" s="4" t="str">
        <f>IFERROR(__xludf.DUMMYFUNCTION("""COMPUTED_VALUE"""),"17:51:00Z")</f>
        <v>17:51:00Z</v>
      </c>
      <c r="G1609" s="11" t="str">
        <f t="shared" si="86"/>
        <v>17:51:00</v>
      </c>
      <c r="H1609" s="10">
        <f>IFERROR(__xludf.DUMMYFUNCTION("SPLIT(D1609,""T"")"),43746.0)</f>
        <v>43746</v>
      </c>
      <c r="I1609" s="4" t="str">
        <f>IFERROR(__xludf.DUMMYFUNCTION("""COMPUTED_VALUE"""),"17:25:12Z")</f>
        <v>17:25:12Z</v>
      </c>
      <c r="J1609" s="4" t="str">
        <f t="shared" si="87"/>
        <v>17:25:12</v>
      </c>
      <c r="K1609" s="4">
        <f t="shared" si="88"/>
        <v>0</v>
      </c>
      <c r="L1609" s="4">
        <f t="shared" si="89"/>
        <v>0.01791666667</v>
      </c>
      <c r="M1609" s="4">
        <f t="shared" si="90"/>
        <v>0.01791666667</v>
      </c>
    </row>
    <row r="1610">
      <c r="A1610" s="4" t="s">
        <v>27</v>
      </c>
      <c r="B1610" s="4" t="s">
        <v>3845</v>
      </c>
      <c r="C1610" s="4" t="s">
        <v>1509</v>
      </c>
      <c r="D1610" s="4" t="s">
        <v>3846</v>
      </c>
      <c r="E1610" s="10">
        <f>IFERROR(__xludf.DUMMYFUNCTION("SPLIT(B1610,""T"")"),43718.0)</f>
        <v>43718</v>
      </c>
      <c r="F1610" s="4" t="str">
        <f>IFERROR(__xludf.DUMMYFUNCTION("""COMPUTED_VALUE"""),"10:45:00Z")</f>
        <v>10:45:00Z</v>
      </c>
      <c r="G1610" s="11" t="str">
        <f t="shared" si="86"/>
        <v>10:45:00</v>
      </c>
      <c r="H1610" s="10">
        <f>IFERROR(__xludf.DUMMYFUNCTION("SPLIT(D1610,""T"")"),43718.0)</f>
        <v>43718</v>
      </c>
      <c r="I1610" s="4" t="str">
        <f>IFERROR(__xludf.DUMMYFUNCTION("""COMPUTED_VALUE"""),"10:43:58Z")</f>
        <v>10:43:58Z</v>
      </c>
      <c r="J1610" s="4" t="str">
        <f t="shared" si="87"/>
        <v>10:43:58</v>
      </c>
      <c r="K1610" s="4">
        <f t="shared" si="88"/>
        <v>0</v>
      </c>
      <c r="L1610" s="4">
        <f t="shared" si="89"/>
        <v>0.0007175925926</v>
      </c>
      <c r="M1610" s="4">
        <f t="shared" si="90"/>
        <v>0.0007175925926</v>
      </c>
    </row>
    <row r="1611" hidden="1">
      <c r="A1611" s="4" t="s">
        <v>240</v>
      </c>
      <c r="C1611" s="4" t="s">
        <v>3858</v>
      </c>
      <c r="D1611" s="4" t="s">
        <v>3859</v>
      </c>
      <c r="E1611" s="4" t="str">
        <f>IFERROR(__xludf.DUMMYFUNCTION("SPLIT(B1611,""T"")"),"#VALUE!")</f>
        <v>#VALUE!</v>
      </c>
    </row>
    <row r="1612" hidden="1">
      <c r="A1612" s="4" t="s">
        <v>62</v>
      </c>
      <c r="C1612" s="4" t="s">
        <v>730</v>
      </c>
      <c r="D1612" s="4" t="s">
        <v>3860</v>
      </c>
      <c r="E1612" s="4" t="str">
        <f>IFERROR(__xludf.DUMMYFUNCTION("SPLIT(B1612,""T"")"),"#VALUE!")</f>
        <v>#VALUE!</v>
      </c>
    </row>
    <row r="1613" hidden="1">
      <c r="A1613" s="4" t="s">
        <v>27</v>
      </c>
      <c r="C1613" s="4" t="s">
        <v>3168</v>
      </c>
      <c r="D1613" s="4" t="s">
        <v>3861</v>
      </c>
      <c r="E1613" s="4" t="str">
        <f>IFERROR(__xludf.DUMMYFUNCTION("SPLIT(B1613,""T"")"),"#VALUE!")</f>
        <v>#VALUE!</v>
      </c>
    </row>
    <row r="1614" hidden="1"/>
    <row r="1615" hidden="1"/>
  </sheetData>
  <autoFilter ref="$A$1:$Z$1615">
    <filterColumn colId="1">
      <filters>
        <filter val="2018-02-09T09:52:00Z"/>
        <filter val="2014-12-12T14:00:00Z"/>
        <filter val="2015-08-01T15:25:00Z"/>
        <filter val="2018-01-09T12:28:00Z"/>
        <filter val="2019-01-04T08:58:00Z"/>
        <filter val="2014-07-25T09:15:00Z"/>
        <filter val="2018-01-09T12:36:00Z"/>
        <filter val="2015-07-31T20:00:00Z"/>
        <filter val="2019-07-06T20:03:00Z"/>
        <filter val="2013-09-14T17:30:00Z"/>
        <filter val="2014-07-22T18:00:00Z"/>
        <filter val="2014-09-17T18:45:00Z"/>
        <filter val="2016-08-14T19:50:00Z"/>
        <filter val="2016-08-30T18:40:00Z"/>
        <filter val="2015-07-08T16:30:00Z"/>
        <filter val="2015-04-18T23:50:00Z"/>
        <filter val="2013-11-04T15:35:00Z"/>
        <filter val="2013-08-11T19:15:00Z"/>
        <filter val="2015-06-25T18:45:00Z"/>
        <filter val="2018-01-09T12:44:00Z"/>
        <filter val="2018-03-28T11:36:00Z"/>
        <filter val="2019-11-02T18:57:00Z"/>
        <filter val="2016-07-13T19:00:00Z"/>
        <filter val="2019-07-12T19:20:00Z"/>
        <filter val="2013-07-04T10:30:00Z"/>
        <filter val="2015-08-21T18:45:00Z"/>
        <filter val="2015-09-03T14:30:00Z"/>
        <filter val="2019-08-12T08:20:00Z"/>
        <filter val="2013-11-10T18:30:00Z"/>
        <filter val="2014-08-28T19:00:00Z"/>
        <filter val="2018-01-09T10:08:00Z"/>
        <filter val="2015-06-26T17:00:00Z"/>
        <filter val="2013-10-05T22:00:00Z"/>
        <filter val="2019-01-04T10:08:00Z"/>
        <filter val="2019-06-30T15:51:00Z"/>
        <filter val="2015-11-07T16:45:00Z"/>
        <filter val="2014-08-13T07:00:00Z"/>
        <filter val="2019-05-08T08:47:00Z"/>
        <filter val="2019-01-04T10:24:00Z"/>
        <filter val="2019-01-04T09:36:00Z"/>
        <filter val="2013-08-04T14:45:00Z"/>
        <filter val="2013-07-19T19:30:00Z"/>
        <filter val="2016-09-14T18:00:00Z"/>
        <filter val="2013-10-09T08:00:00Z"/>
        <filter val="2013-06-08T19:00:00Z"/>
        <filter val="2018-01-09T11:49:00Z"/>
        <filter val="2019-11-21T16:09:00Z"/>
        <filter val="2014-08-15T14:00:00Z"/>
        <filter val="2018-01-09T10:32:00Z"/>
        <filter val="2019-09-10T19:27:00Z"/>
        <filter val="2019-01-04T10:16:00Z"/>
        <filter val="2019-01-04T09:53:00Z"/>
        <filter val="2014-05-29T08:45:00Z"/>
        <filter val="2013-09-05T21:00:00Z"/>
        <filter val="2018-01-09T09:52:00Z"/>
        <filter val="2013-05-04T18:30:00Z"/>
        <filter val="2016-06-27T06:15:00Z"/>
        <filter val="2017-09-19T10:30:00Z"/>
        <filter val="2018-01-09T13:22:00Z"/>
        <filter val="2019-01-04T09:45:00Z"/>
        <filter val="2019-06-17T08:46:00Z"/>
        <filter val="2013-06-13T21:30:00Z"/>
        <filter val="2018-01-09T11:57:00Z"/>
        <filter val="2019-01-04T09:28:00Z"/>
        <filter val="2015-07-03T18:00:00Z"/>
        <filter val="2019-06-04T16:03:00Z"/>
        <filter val="2019-10-16T13:50:00Z"/>
        <filter val="2015-08-27T15:15:00Z"/>
        <filter val="2018-01-09T10:17:00Z"/>
        <filter val="2016-08-28T18:50:00Z"/>
        <filter val="2018-01-09T13:30:00Z"/>
        <filter val="2016-08-29T10:30:00Z"/>
        <filter val="2019-09-04T20:33:00Z"/>
        <filter val="2013-05-15T08:15:00Z"/>
        <filter val="2013-06-09T16:45:00Z"/>
        <filter val="2015-05-11T12:15:00Z"/>
        <filter val="2019-05-08T08:48:00Z"/>
        <filter val="2018-01-09T12:19:00Z"/>
        <filter val="2019-01-04T08:57:00Z"/>
        <filter val="2019-06-24T11:06:00Z"/>
        <filter val="2016-07-23T18:00:00Z"/>
        <filter val="2019-11-01T08:55:00Z"/>
        <filter val="2019-08-11T10:28:00Z"/>
        <filter val="2014-09-22T15:00:00Z"/>
        <filter val="2016-08-30T06:45:00Z"/>
        <filter val="2013-10-09T19:00:00Z"/>
        <filter val="2019-10-08T09:52:00Z"/>
        <filter val="2014-07-03T10:30:00Z"/>
        <filter val="2018-01-09T12:43:00Z"/>
        <filter val="2014-10-09T17:20:00Z"/>
        <filter val="2015-08-14T18:15:00Z"/>
        <filter val="2016-08-20T18:45:00Z"/>
        <filter val="2019-10-28T16:28:00Z"/>
        <filter val="2019-09-27T18:00:00Z"/>
        <filter val="2016-05-20T18:00:00Z"/>
        <filter val="2013-06-08T18:30:00Z"/>
        <filter val="2013-07-23T15:10:00Z"/>
        <filter val="2019-10-27T18:05:00Z"/>
        <filter val="2016-05-25T20:00:00Z"/>
        <filter val="2014-12-12T13:30:00Z"/>
        <filter val="2019-01-04T09:44:00Z"/>
        <filter val="2015-08-04T09:00:00Z"/>
        <filter val="2018-01-09T13:23:00Z"/>
        <filter val="2019-10-03T12:03:00Z"/>
        <filter val="2019-01-04T09:27:00Z"/>
        <filter val="2016-09-24T20:00:00Z"/>
        <filter val="2013-06-03T20:00:00Z"/>
        <filter val="2015-07-21T07:00:00Z"/>
        <filter val="2016-08-19T08:30:00Z"/>
        <filter val="2019-01-04T09:54:00Z"/>
        <filter val="2015-06-05T19:00:00Z"/>
        <filter val="2019-01-04T10:23:00Z"/>
        <filter val="2019-11-06T18:00:00Z"/>
        <filter val="2019-10-07T09:58:00Z"/>
        <filter val="2018-01-09T13:40:00Z"/>
        <filter val="2019-08-12T08:21:00Z"/>
        <filter val="2014-09-16T09:30:00Z"/>
        <filter val="2019-01-04T09:37:00Z"/>
        <filter val="2015-02-20T19:00:00Z"/>
        <filter val="2019-06-11T17:14:00Z"/>
        <filter val="2018-01-09T09:53:00Z"/>
        <filter val="2015-07-08T20:45:00Z"/>
        <filter val="2014-08-31T18:00:00Z"/>
        <filter val="2014-08-18T09:45:00Z"/>
        <filter val="2018-01-09T11:56:00Z"/>
        <filter val="2019-01-04T10:17:00Z"/>
        <filter val="2019-11-03T18:52:00Z"/>
        <filter val="2018-01-09T10:33:00Z"/>
        <filter val="2016-10-06T17:15:00Z"/>
        <filter val="2019-07-15T17:10:00Z"/>
        <filter val="2015-08-29T18:45:00Z"/>
        <filter val="2014-06-09T19:15:00Z"/>
        <filter val="2018-02-09T09:29:00Z"/>
        <filter val="2018-01-09T10:16:00Z"/>
        <filter val="2019-06-27T08:26:00Z"/>
        <filter val="2013-05-30T13:25:00Z"/>
        <filter val="2015-06-19T20:05:00Z"/>
        <filter val="2019-10-27T13:55:00Z"/>
        <filter val="2013-05-29T10:30:00Z"/>
        <filter val="2016-06-29T07:30:00Z"/>
        <filter val="2014-11-14T13:00:00Z"/>
        <filter val="2013-08-05T08:17:00Z"/>
        <filter val="2013-09-01T18:00:00Z"/>
        <filter val="2015-10-10T18:45:00Z"/>
        <filter val="2014-07-16T08:00:00Z"/>
        <filter val="2015-06-18T21:15:00Z"/>
        <filter val="2016-06-29T17:00:00Z"/>
        <filter val="2018-04-03T10:46:00Z"/>
        <filter val="2014-08-31T08:15:00Z"/>
        <filter val="2016-05-25T18:15:00Z"/>
        <filter val="2013-09-07T20:00:00Z"/>
        <filter val="2014-01-26T18:00:00Z"/>
        <filter val="2016-07-25T19:20:00Z"/>
        <filter val="2015-06-29T09:00:00Z"/>
        <filter val="2014-10-15T07:50:00Z"/>
        <filter val="2014-08-20T19:00:00Z"/>
        <filter val="2013-05-21T19:30:00Z"/>
        <filter val="2016-10-01T06:00:00Z"/>
        <filter val="2018-01-09T10:26:00Z"/>
        <filter val="2019-05-24T14:23:00Z"/>
        <filter val="2018-01-09T12:26:00Z"/>
        <filter val="2018-01-09T13:21:00Z"/>
        <filter val="2016-06-28T20:00:00Z"/>
        <filter val="2013-07-12T17:45:00Z"/>
        <filter val="2015-08-01T19:00:00Z"/>
        <filter val="2018-04-23T15:07:00Z"/>
        <filter val="2014-10-11T18:50:00Z"/>
        <filter val="2019-01-04T09:38:00Z"/>
        <filter val="2019-09-25T17:00:00Z"/>
        <filter val="2014-09-09T19:30:00Z"/>
        <filter val="2016-07-10T19:37:00Z"/>
        <filter val="2015-07-10T17:00:00Z"/>
        <filter val="2019-01-04T10:26:00Z"/>
        <filter val="2015-06-28T18:00:00Z"/>
        <filter val="2016-06-07T18:15:00Z"/>
        <filter val="2018-01-09T12:42:00Z"/>
        <filter val="2015-08-05T17:45:00Z"/>
        <filter val="2018-01-09T10:23:00Z"/>
        <filter val="2019-01-04T09:19:00Z"/>
        <filter val="2013-06-06T07:00:00Z"/>
        <filter val="2016-06-29T18:30:00Z"/>
        <filter val="2014-06-07T19:00:00Z"/>
        <filter val="2016-06-20T08:30:00Z"/>
        <filter val="2015-08-15T17:30:00Z"/>
        <filter val="2019-10-28T19:31:00Z"/>
        <filter val="2019-01-03T13:09:00Z"/>
        <filter val="2015-04-24T07:30:00Z"/>
        <filter val="2016-07-22T18:15:00Z"/>
        <filter val="2019-01-04T10:18:00Z"/>
        <filter val="2019-01-04T09:47:00Z"/>
        <filter val="2014-08-13T06:15:00Z"/>
        <filter val="2015-06-20T19:35:00Z"/>
        <filter val="2019-10-16T13:44:00Z"/>
        <filter val="2018-01-09T09:50:00Z"/>
        <filter val="2016-11-08T10:15:00Z"/>
        <filter val="2015-07-31T18:40:00Z"/>
        <filter val="2018-01-09T13:41:00Z"/>
        <filter val="2016-07-20T13:45:00Z"/>
        <filter val="2019-01-04T09:51:00Z"/>
        <filter val="2019-08-31T12:50:00Z"/>
        <filter val="2013-06-29T18:30:00Z"/>
        <filter val="2013-08-23T19:15:00Z"/>
        <filter val="2019-10-07T18:34:00Z"/>
        <filter val="2019-08-06T18:43:00Z"/>
        <filter val="2016-10-13T11:30:00Z"/>
        <filter val="2016-08-31T07:15:00Z"/>
        <filter val="2018-02-09T08:56:00Z"/>
        <filter val="2015-09-13T10:15:00Z"/>
        <filter val="2018-02-09T09:51:00Z"/>
        <filter val="2015-07-29T14:15:00Z"/>
        <filter val="2016-07-08T19:00:00Z"/>
        <filter val="2018-01-09T11:10:00Z"/>
        <filter val="2016-08-18T19:50:00Z"/>
        <filter val="2013-12-11T17:30:00Z"/>
        <filter val="2019-11-14T18:02:00Z"/>
        <filter val="2013-07-06T14:30:00Z"/>
        <filter val="2018-01-09T12:35:00Z"/>
        <filter val="2019-01-04T08:59:00Z"/>
        <filter val="2015-08-12T19:15:00Z"/>
        <filter val="2019-01-04T10:19:00Z"/>
        <filter val="2018-01-09T12:27:00Z"/>
        <filter val="2018-01-09T11:47:00Z"/>
        <filter val="2013-09-29T18:15:00Z"/>
        <filter val="2018-01-09T13:20:00Z"/>
        <filter val="2014-06-21T19:00:00Z"/>
        <filter val="2018-01-09T10:30:00Z"/>
        <filter val="2018-02-09T09:37:00Z"/>
        <filter val="2014-08-25T08:25:00Z"/>
        <filter val="2019-01-04T10:25:00Z"/>
        <filter val="2016-07-22T19:00:00Z"/>
        <filter val="2014-08-02T08:00:00Z"/>
        <filter val="2016-06-19T08:30:00Z"/>
        <filter val="2016-09-25T17:45:00Z"/>
        <filter val="2015-06-25T07:00:00Z"/>
        <filter val="2018-01-09T10:25:00Z"/>
        <filter val="2019-07-15T18:19:00Z"/>
        <filter val="2019-01-03T09:46:00Z"/>
        <filter val="2019-01-04T09:39:00Z"/>
        <filter val="2016-07-31T18:30:00Z"/>
        <filter val="2016-09-15T09:10:00Z"/>
        <filter val="2018-01-09T10:24:00Z"/>
        <filter val="2016-06-12T15:45:00Z"/>
        <filter val="2014-07-01T08:30:00Z"/>
        <filter val="2018-01-09T11:48:00Z"/>
        <filter val="2019-01-04T09:46:00Z"/>
        <filter val="2018-01-09T10:31:00Z"/>
        <filter val="2016-05-12T20:45:00Z"/>
        <filter val="2013-08-15T17:00:00Z"/>
        <filter val="2019-09-12T10:08:00Z"/>
        <filter val="2015-08-05T07:30:00Z"/>
        <filter val="2019-09-05T10:03:00Z"/>
        <filter val="2019-08-06T18:42:00Z"/>
        <filter val="2016-10-20T07:00:00Z"/>
        <filter val="2015-07-22T17:00:00Z"/>
        <filter val="2013-09-30T08:30:00Z"/>
        <filter val="2014-05-15T18:30:00Z"/>
        <filter val="2018-02-09T09:50:00Z"/>
        <filter val="2016-09-13T18:30:00Z"/>
        <filter val="2015-06-29T17:05:00Z"/>
        <filter val="2018-01-09T11:11:00Z"/>
        <filter val="2019-08-18T16:33:00Z"/>
        <filter val="2013-07-20T19:30:00Z"/>
        <filter val="2016-07-16T18:30:00Z"/>
        <filter val="2019-01-04T09:18:00Z"/>
        <filter val="2019-01-04T09:52:00Z"/>
        <filter val="2018-01-09T09:51:00Z"/>
        <filter val="2019-08-14T18:52:00Z"/>
        <filter val="2018-01-09T13:42:00Z"/>
        <filter val="2018-01-09T10:28:00Z"/>
        <filter val="2015-08-10T15:05:00Z"/>
        <filter val="2013-07-26T17:45:00Z"/>
        <filter val="2014-06-08T19:45:00Z"/>
        <filter val="2016-05-25T08:00:00Z"/>
        <filter val="2018-01-09T09:56:00Z"/>
        <filter val="2019-08-11T11:35:00Z"/>
        <filter val="2014-06-13T13:50:00Z"/>
        <filter val="2018-04-12T14:52:00Z"/>
        <filter val="2019-01-04T09:41:00Z"/>
        <filter val="2015-09-10T18:50:00Z"/>
        <filter val="2013-06-18T22:30:00Z"/>
        <filter val="2013-10-04T10:30:00Z"/>
        <filter val="2016-10-04T22:00:00Z"/>
        <filter val="2013-08-24T13:45:00Z"/>
        <filter val="2018-01-09T12:01:00Z"/>
        <filter val="2014-05-26T08:45:00Z"/>
        <filter val="2015-06-06T06:45:00Z"/>
        <filter val="2016-05-29T19:53:00Z"/>
        <filter val="2013-02-28T20:00:00Z"/>
        <filter val="2018-01-09T09:41:00Z"/>
        <filter val="2016-08-01T19:40:00Z"/>
        <filter val="2016-08-06T19:50:00Z"/>
        <filter val="2018-11-25T08:00:00Z"/>
        <filter val="2014-10-17T18:15:00Z"/>
        <filter val="2019-01-03T09:45:00Z"/>
        <filter val="2019-01-04T09:25:00Z"/>
        <filter val="2019-09-10T10:45:00Z"/>
        <filter val="2019-01-04T09:56:00Z"/>
        <filter val="2013-08-03T15:00:00Z"/>
        <filter val="2019-10-10T18:11:00Z"/>
        <filter val="2019-01-04T10:13:00Z"/>
        <filter val="2019-09-08T18:00:00Z"/>
        <filter val="2015-07-31T18:30:00Z"/>
        <filter val="2016-08-03T08:00:00Z"/>
        <filter val="2016-09-29T17:00:00Z"/>
        <filter val="2016-06-03T19:55:00Z"/>
        <filter val="2014-07-07T07:00:00Z"/>
        <filter val="2015-09-17T19:30:00Z"/>
        <filter val="2019-07-06T07:49:00Z"/>
        <filter val="2019-08-16T10:35:00Z"/>
        <filter val="2016-07-12T14:30:00Z"/>
        <filter val="2016-07-26T19:25:00Z"/>
        <filter val="2019-01-04T09:10:00Z"/>
        <filter val="2016-08-12T15:00:00Z"/>
        <filter val="2016-09-02T18:10:00Z"/>
        <filter val="2014-07-09T18:00:00Z"/>
        <filter val="2018-01-09T12:48:00Z"/>
        <filter val="2016-05-21T19:00:00Z"/>
        <filter val="2018-02-09T09:32:00Z"/>
        <filter val="2019-10-10T19:05:00Z"/>
        <filter val="2016-09-17T18:00:00Z"/>
        <filter val="2016-05-25T18:45:00Z"/>
        <filter val="2019-06-11T14:49:00Z"/>
        <filter val="2019-01-04T09:02:00Z"/>
        <filter val="2014-09-22T16:30:00Z"/>
        <filter val="2016-07-31T18:55:00Z"/>
        <filter val="2016-08-04T20:00:00Z"/>
        <filter val="2019-01-04T09:17:00Z"/>
        <filter val="2018-01-09T13:26:00Z"/>
        <filter val="2016-08-07T19:14:00Z"/>
        <filter val="2013-06-18T19:30:00Z"/>
        <filter val="2015-09-15T19:15:00Z"/>
        <filter val="2016-06-04T17:00:00Z"/>
        <filter val="2019-06-17T10:40:00Z"/>
        <filter val="2013-06-03T18:30:00Z"/>
        <filter val="2015-06-17T18:30:00Z"/>
        <filter val="2018-01-09T12:16:00Z"/>
        <filter val="2016-06-19T18:00:00Z"/>
        <filter val="2014-09-05T18:30:00Z"/>
        <filter val="2018-01-09T09:57:00Z"/>
        <filter val="2016-07-16T12:00:00Z"/>
        <filter val="2015-06-05T16:32:00Z"/>
        <filter val="2015-06-23T18:25:00Z"/>
        <filter val="2019-01-04T09:40:00Z"/>
        <filter val="2019-09-02T10:08:00Z"/>
        <filter val="2013-08-14T08:30:00Z"/>
        <filter val="2016-09-20T18:00:00Z"/>
        <filter val="2018-01-09T10:27:00Z"/>
        <filter val="2015-08-04T10:37:00Z"/>
        <filter val="2019-01-04T09:16:00Z"/>
        <filter val="2014-08-25T10:00:00Z"/>
        <filter val="2019-09-05T08:14:00Z"/>
        <filter val="2019-01-03T09:44:00Z"/>
        <filter val="2018-01-09T13:27:00Z"/>
        <filter val="2016-07-09T08:30:00Z"/>
        <filter val="2019-01-04T08:47:00Z"/>
        <filter val="2019-09-25T20:00:00Z"/>
        <filter val="2019-01-04T09:55:00Z"/>
        <filter val="2014-05-21T17:00:00Z"/>
        <filter val="2019-01-04T10:27:00Z"/>
        <filter val="2015-07-14T08:30:00Z"/>
        <filter val="2013-05-31T06:15:00Z"/>
        <filter val="2019-07-17T10:00:00Z"/>
        <filter val="2013-07-05T18:30:00Z"/>
        <filter val="2019-01-04T10:12:00Z"/>
        <filter val="2015-08-16T19:20:00Z"/>
        <filter val="2019-08-27T10:44:00Z"/>
        <filter val="2019-07-15T14:10:00Z"/>
        <filter val="2019-01-04T09:26:00Z"/>
        <filter val="2013-08-31T06:45:00Z"/>
        <filter val="2019-01-04T09:01:00Z"/>
        <filter val="2019-11-03T16:15:00Z"/>
        <filter val="2018-01-09T12:15:00Z"/>
        <filter val="2014-03-29T17:15:00Z"/>
        <filter val="2019-01-04T08:46:00Z"/>
        <filter val="2014-07-12T18:00:00Z"/>
        <filter val="2015-09-11T15:00:00Z"/>
        <filter val="2015-07-05T09:00:00Z"/>
        <filter val="2015-09-03T19:35:00Z"/>
        <filter val="2015-07-30T16:00:00Z"/>
        <filter val="2016-06-20T19:50:00Z"/>
        <filter val="2019-01-04T09:11:00Z"/>
        <filter val="2015-08-03T17:00:00Z"/>
        <filter val="2015-09-11T19:17:00Z"/>
        <filter val="2018-01-09T12:47:00Z"/>
        <filter val="2013-09-28T08:00:00Z"/>
        <filter val="2016-09-04T18:55:00Z"/>
        <filter val="2016-06-09T17:10:00Z"/>
        <filter val="2018-01-09T11:07:00Z"/>
        <filter val="2019-07-18T10:29:00Z"/>
        <filter val="2018-01-09T10:59:00Z"/>
        <filter val="2013-08-22T18:00:00Z"/>
        <filter val="2013-05-22T09:30:00Z"/>
        <filter val="2013-05-25T23:00:00Z"/>
        <filter val="2016-09-25T13:15:00Z"/>
        <filter val="2016-07-18T09:50:00Z"/>
        <filter val="2016-06-21T15:45:00Z"/>
        <filter val="2019-01-04T09:58:00Z"/>
        <filter val="2019-07-11T08:26:00Z"/>
        <filter val="2013-08-16T17:55:00Z"/>
        <filter val="2019-01-03T09:43:00Z"/>
        <filter val="2019-07-16T06:48:00Z"/>
        <filter val="2015-11-09T12:00:00Z"/>
        <filter val="2013-09-06T18:30:00Z"/>
        <filter val="2019-09-29T21:35:00Z"/>
        <filter val="2019-06-11T17:18:00Z"/>
        <filter val="2016-04-24T15:30:00Z"/>
        <filter val="2016-07-11T09:40:00Z"/>
        <filter val="2014-07-21T14:45:00Z"/>
        <filter val="2015-08-04T08:15:00Z"/>
        <filter val="2014-09-01T22:00:00Z"/>
        <filter val="2019-01-04T09:15:00Z"/>
        <filter val="2016-07-10T19:30:00Z"/>
        <filter val="2018-01-09T12:18:00Z"/>
        <filter val="2016-07-01T19:50:00Z"/>
        <filter val="2015-08-24T10:00:00Z"/>
        <filter val="2013-05-01T17:15:00Z"/>
        <filter val="2015-08-23T17:45:00Z"/>
        <filter val="2016-10-12T18:00:00Z"/>
        <filter val="2015-06-22T12:05:00Z"/>
        <filter val="2019-08-25T13:00:00Z"/>
        <filter val="2018-01-09T09:54:00Z"/>
        <filter val="2013-04-09T15:30:00Z"/>
        <filter val="2019-09-26T08:00:00Z"/>
        <filter val="2019-01-04T09:00:00Z"/>
        <filter val="2019-01-04T09:43:00Z"/>
        <filter val="2013-07-19T15:00:00Z"/>
        <filter val="2016-09-15T15:20:00Z"/>
        <filter val="2015-08-18T07:15:00Z"/>
        <filter val="2015-07-04T13:00:00Z"/>
        <filter val="2019-09-22T17:00:00Z"/>
        <filter val="2016-07-14T12:00:00Z"/>
        <filter val="2016-06-26T18:50:00Z"/>
        <filter val="2019-06-11T14:47:00Z"/>
        <filter val="2019-07-16T09:00:00Z"/>
        <filter val="2015-07-02T06:36:00Z"/>
        <filter val="2013-08-31T21:30:00Z"/>
        <filter val="2013-08-12T12:00:00Z"/>
        <filter val="2013-08-25T13:15:00Z"/>
        <filter val="2014-05-20T23:30:00Z"/>
        <filter val="2018-01-09T12:31:00Z"/>
        <filter val="2019-06-24T11:44:00Z"/>
        <filter val="2019-10-22T13:30:00Z"/>
        <filter val="2016-08-09T18:30:00Z"/>
        <filter val="2015-08-25T06:45:00Z"/>
        <filter val="2016-07-15T14:00:00Z"/>
        <filter val="2013-05-03T06:15:00Z"/>
        <filter val="2013-07-04T11:30:00Z"/>
        <filter val="2013-09-12T18:15:00Z"/>
        <filter val="2019-07-05T14:58:00Z"/>
        <filter val="2018-01-09T13:24:00Z"/>
        <filter val="2018-01-09T11:08:00Z"/>
        <filter val="2019-08-11T12:16:00Z"/>
        <filter val="2013-06-08T13:25:00Z"/>
        <filter val="2013-05-26T17:45:00Z"/>
        <filter val="2013-08-18T20:55:00Z"/>
        <filter val="2018-01-09T12:46:00Z"/>
        <filter val="2014-01-27T10:00:00Z"/>
        <filter val="2018-01-09T12:03:00Z"/>
        <filter val="2019-01-15T10:38:00Z"/>
        <filter val="2019-10-10T12:00:00Z"/>
        <filter val="2016-09-22T07:00:00Z"/>
        <filter val="2019-08-27T09:01:00Z"/>
        <filter val="2018-01-09T12:02:00Z"/>
        <filter val="2019-01-04T09:57:00Z"/>
        <filter val="2018-01-09T12:45:00Z"/>
        <filter val="2019-01-04T09:14:00Z"/>
        <filter val="2016-09-12T19:00:00Z"/>
        <filter val="2019-01-04T08:49:00Z"/>
        <filter val="2013-05-04T19:00:00Z"/>
        <filter val="2019-06-11T17:17:00Z"/>
        <filter val="2014-05-06T10:20:00Z"/>
        <filter val="2018-01-09T09:40:00Z"/>
        <filter val="2013-11-24T08:45:00Z"/>
        <filter val="2014-08-17T07:45:00Z"/>
        <filter val="2019-11-06T18:30:00Z"/>
        <filter val="2015-06-15T18:45:00Z"/>
        <filter val="2013-07-07T22:00:00Z"/>
        <filter val="2019-10-28T16:26:00Z"/>
        <filter val="2019-07-16T06:49:00Z"/>
        <filter val="2014-01-08T19:15:00Z"/>
        <filter val="2019-01-04T10:00:00Z"/>
        <filter val="2019-01-04T09:42:00Z"/>
        <filter val="2015-07-21T07:20:00Z"/>
        <filter val="2019-07-02T15:51:00Z"/>
        <filter val="2013-06-02T16:55:00Z"/>
        <filter val="2015-09-27T18:15:00Z"/>
        <filter val="2019-07-18T15:58:00Z"/>
        <filter val="2019-01-04T10:14:00Z"/>
        <filter val="2019-06-24T18:30:00Z"/>
        <filter val="2018-01-23T08:11:00Z"/>
        <filter val="2019-06-17T10:39:00Z"/>
        <filter val="2019-09-08T07:00:00Z"/>
        <filter val="2019-06-26T18:02:00Z"/>
        <filter val="2018-01-09T09:55:00Z"/>
        <filter val="2014-03-11T11:00:00Z"/>
        <filter val="2016-04-19T15:30:00Z"/>
        <filter val="2019-06-24T11:43:00Z"/>
        <filter val="2014-07-26T20:00:00Z"/>
        <filter val="2018-02-09T09:48:00Z"/>
        <filter val="2014-05-01T19:00:00Z"/>
        <filter val="2016-08-31T07:05:00Z"/>
        <filter val="2015-10-16T18:00:00Z"/>
        <filter val="2018-01-09T10:41:00Z"/>
        <filter val="2016-09-19T18:30:00Z"/>
        <filter val="2019-01-04T09:29:00Z"/>
        <filter val="2014-08-10T08:15:00Z"/>
        <filter val="2019-06-11T14:48:00Z"/>
        <filter val="2019-06-27T17:36:00Z"/>
        <filter val="2016-07-08T19:32:00Z"/>
        <filter val="2016-07-15T08:00:00Z"/>
        <filter val="2019-01-04T10:15:00Z"/>
        <filter val="2014-08-01T17:30:00Z"/>
        <filter val="2016-06-01T19:45:00Z"/>
        <filter val="2016-04-29T17:15:00Z"/>
        <filter val="2018-01-09T11:09:00Z"/>
        <filter val="2019-09-02T19:13:00Z"/>
        <filter val="2013-05-30T19:30:00Z"/>
        <filter val="2018-01-09T13:25:00Z"/>
        <filter val="2013-08-20T13:32:00Z"/>
        <filter val="2016-11-14T14:00:00Z"/>
        <filter val="2018-01-09T12:17:00Z"/>
        <filter val="2016-06-11T16:15:00Z"/>
        <filter val="2015-07-31T20:25:00Z"/>
        <filter val="2019-09-18T12:17:00Z"/>
        <filter val="2019-11-21T16:08:00Z"/>
        <filter val="2018-01-09T10:29:00Z"/>
        <filter val="2014-06-13T08:00:00Z"/>
        <filter val="2014-08-29T13:15:00Z"/>
        <filter val="2013-08-16T21:00:00Z"/>
        <filter val="1969-12-31T16:00:00Z"/>
        <filter val="2019-06-24T16:56:00Z"/>
        <filter val="2014-07-28T14:30:00Z"/>
        <filter val="2013-07-17T19:30:00Z"/>
        <filter val="2014-04-21T19:15:00Z"/>
        <filter val="2019-05-09T09:37:00Z"/>
        <filter val="2016-08-10T17:00:00Z"/>
        <filter val="2014-09-17T16:10:00Z"/>
        <filter val="2013-06-15T08:00:00Z"/>
        <filter val="2014-12-12T13:45:00Z"/>
        <filter val="2018-01-09T10:01:00Z"/>
        <filter val="2014-08-06T10:00:00Z"/>
        <filter val="2016-06-21T13:00:00Z"/>
        <filter val="2016-09-18T08:10:00Z"/>
        <filter val="2013-08-24T11:45:00Z"/>
        <filter val="2019-08-17T18:43:00Z"/>
        <filter val="2013-07-11T18:30:00Z"/>
        <filter val="2016-08-07T19:18:00Z"/>
        <filter val="2019-01-04T08:51:00Z"/>
        <filter val="2018-01-09T11:50:00Z"/>
        <filter val="2015-07-12T19:48:00Z"/>
        <filter val="2019-01-03T15:23:00Z"/>
        <filter val="2019-01-04T10:01:00Z"/>
        <filter val="2014-05-19T09:20:00Z"/>
        <filter val="2015-07-21T07:15:00Z"/>
        <filter val="2015-07-26T10:10:00Z"/>
        <filter val="2018-01-09T13:46:00Z"/>
        <filter val="2019-06-24T11:46:00Z"/>
        <filter val="2019-01-04T09:13:00Z"/>
        <filter val="2014-09-22T07:15:00Z"/>
        <filter val="2016-08-04T07:45:00Z"/>
        <filter val="2013-08-12T09:30:00Z"/>
        <filter val="2018-04-05T10:47:00Z"/>
        <filter val="2015-07-25T22:00:00Z"/>
        <filter val="2019-10-31T14:16:00Z"/>
        <filter val="2018-01-09T12:05:00Z"/>
        <filter val="2013-06-25T17:15:00Z"/>
        <filter val="2019-07-16T08:50:00Z"/>
        <filter val="2018-01-09T09:59:00Z"/>
        <filter val="2019-01-04T09:21:00Z"/>
        <filter val="2014-09-12T09:00:00Z"/>
        <filter val="2014-09-05T09:15:00Z"/>
        <filter val="2016-06-12T12:30:00Z"/>
        <filter val="2019-09-30T09:05:00Z"/>
        <filter val="2019-01-04T08:43:00Z"/>
        <filter val="2018-01-09T13:37:00Z"/>
        <filter val="2018-01-09T12:20:00Z"/>
        <filter val="2015-09-10T17:05:00Z"/>
        <filter val="2015-09-21T14:36:00Z"/>
        <filter val="2013-06-26T11:15:00Z"/>
        <filter val="2018-01-09T11:42:00Z"/>
        <filter val="2015-06-06T20:00:00Z"/>
        <filter val="2015-10-04T18:40:00Z"/>
        <filter val="2014-07-03T10:45:00Z"/>
        <filter val="2019-01-04T09:06:00Z"/>
        <filter val="2019-06-21T08:51:41Z"/>
        <filter val="2018-01-09T13:45:00Z"/>
        <filter val="2016-07-16T18:00:00Z"/>
        <filter val="2014-10-12T18:00:00Z"/>
        <filter val="2016-08-18T21:30:00Z"/>
        <filter val="2018-03-26T10:49:00Z"/>
        <filter val="2014-07-08T18:30:00Z"/>
        <filter val="2019-01-04T09:59:00Z"/>
        <filter val="2013-07-22T18:45:00Z"/>
        <filter val="2019-01-04T10:02:00Z"/>
        <filter val="2019-01-04T09:12:00Z"/>
        <filter val="2016-06-20T18:15:00Z"/>
        <filter val="2013-11-07T19:45:00Z"/>
        <filter val="2014-06-04T16:30:00Z"/>
        <filter val="2013-07-30T18:00:00Z"/>
        <filter val="2014-07-10T07:30:00Z"/>
        <filter val="2019-01-03T13:10:00Z"/>
        <filter val="2016-09-21T09:30:00Z"/>
        <filter val="2019-06-24T11:45:00Z"/>
        <filter val="2013-08-18T18:30:00Z"/>
        <filter val="2014-05-22T18:15:00Z"/>
        <filter val="2014-07-09T16:45:00Z"/>
        <filter val="2016-07-11T06:35:00Z"/>
        <filter val="2018-01-09T11:17:00Z"/>
        <filter val="2019-09-11T18:30:00Z"/>
        <filter val="2015-06-22T11:45:00Z"/>
        <filter val="2015-09-15T19:10:00Z"/>
        <filter val="2013-07-13T21:45:00Z"/>
        <filter val="2019-10-11T16:21:00Z"/>
        <filter val="2016-08-11T18:30:00Z"/>
        <filter val="2018-01-09T11:51:00Z"/>
        <filter val="2019-01-04T08:52:00Z"/>
        <filter val="2019-09-12T18:49:00Z"/>
        <filter val="2016-07-22T12:00:00Z"/>
        <filter val="2013-07-01T06:00:00Z"/>
        <filter val="2019-06-28T17:33:00Z"/>
        <filter val="2019-09-05T19:56:00Z"/>
        <filter val="2019-09-13T21:43:00Z"/>
        <filter val="2013-11-22T17:30:00Z"/>
        <filter val="2016-08-06T10:06:00Z"/>
        <filter val="2015-06-17T13:10:00Z"/>
        <filter val="2013-10-05T07:45:00Z"/>
        <filter val="2015-02-12T07:35:00Z"/>
        <filter val="2015-08-30T08:00:00Z"/>
        <filter val="2016-09-09T06:00:00Z"/>
        <filter val="2019-08-05T12:27:00Z"/>
        <filter val="2015-08-03T14:00:00Z"/>
        <filter val="2016-07-29T15:10:00Z"/>
        <filter val="2019-10-09T12:39:00Z"/>
        <filter val="2015-06-08T11:45:00Z"/>
        <filter val="2019-01-04T08:42:00Z"/>
        <filter val="2016-09-23T10:30:00Z"/>
        <filter val="2019-12-14T08:22:00Z"/>
        <filter val="2018-01-09T12:21:00Z"/>
        <filter val="2018-01-09T13:38:00Z"/>
        <filter val="2016-07-22T16:07:00Z"/>
        <filter val="2016-09-13T14:30:00Z"/>
        <filter val="2018-01-09T12:04:00Z"/>
        <filter val="2018-01-09T11:41:00Z"/>
        <filter val="2015-06-29T07:15:00Z"/>
        <filter val="2019-01-04T09:05:00Z"/>
        <filter val="2018-04-05T10:48:00Z"/>
        <filter val="2015-07-01T20:20:00Z"/>
        <filter val="2019-01-04T09:22:00Z"/>
        <filter val="2014-09-21T09:00:00Z"/>
        <filter val="2018-01-09T13:36:00Z"/>
        <filter val="2019-10-28T07:22:00Z"/>
        <filter val="2019-07-02T18:32:00Z"/>
        <filter val="2019-01-04T10:11:00Z"/>
        <filter val="2019-07-17T21:29:00Z"/>
        <filter val="2019-01-04T09:31:00Z"/>
        <filter val="2019-01-04T10:03:00Z"/>
        <filter val="2018-01-09T13:28:00Z"/>
        <filter val="2019-01-04T09:23:00Z"/>
        <filter val="2013-10-04T16:55:00Z"/>
        <filter val="2018-01-09T09:58:00Z"/>
        <filter val="2016-08-18T19:00:00Z"/>
        <filter val="2018-01-09T11:52:00Z"/>
        <filter val="2014-08-27T18:00:00Z"/>
        <filter val="2019-08-26T17:00:00Z"/>
        <filter val="2015-09-05T18:00:00Z"/>
        <filter val="2013-05-23T08:30:00Z"/>
        <filter val="2013-06-14T15:45:00Z"/>
        <filter val="2015-06-21T07:25:00Z"/>
        <filter val="2016-05-13T22:30:00Z"/>
        <filter val="2013-09-24T20:15:00Z"/>
        <filter val="2015-08-22T18:00:00Z"/>
        <filter val="2019-08-17T14:30:00Z"/>
        <filter val="2015-09-21T18:20:00Z"/>
        <filter val="2013-09-15T07:30:00Z"/>
        <filter val="2015-06-19T17:45:00Z"/>
        <filter val="2014-06-13T18:30:00Z"/>
        <filter val="2016-06-03T17:30:00Z"/>
        <filter val="2019-08-13T16:15:00Z"/>
        <filter val="2019-06-27T08:48:00Z"/>
        <filter val="2014-09-02T13:00:00Z"/>
        <filter val="2013-05-21T19:45:00Z"/>
        <filter val="2013-08-14T20:35:00Z"/>
        <filter val="2018-02-09T09:30:00Z"/>
        <filter val="2019-01-04T08:45:00Z"/>
        <filter val="2016-07-15T15:40:00Z"/>
        <filter val="2016-06-16T10:00:00Z"/>
        <filter val="2014-09-15T14:20:00Z"/>
        <filter val="2015-07-04T20:15:00Z"/>
        <filter val="2013-07-19T17:15:00Z"/>
        <filter val="2014-08-14T09:30:00Z"/>
        <filter val="2018-01-09T12:14:00Z"/>
        <filter val="2014-06-06T09:30:00Z"/>
        <filter val="2015-07-03T20:00:00Z"/>
        <filter val="2019-01-04T09:04:00Z"/>
        <filter val="2019-09-13T07:19:00Z"/>
        <filter val="2014-03-21T18:00:00Z"/>
        <filter val="2013-06-05T08:30:00Z"/>
        <filter val="2016-07-31T18:50:00Z"/>
        <filter val="2014-09-09T19:45:00Z"/>
        <filter val="2019-08-08T17:12:00Z"/>
        <filter val="2016-07-24T19:00:00Z"/>
        <filter val="2014-08-18T10:00:00Z"/>
        <filter val="2019-08-28T08:54:00Z"/>
        <filter val="2019-05-19T09:26:00Z"/>
        <filter val="2016-08-07T20:15:00Z"/>
        <filter val="2018-01-09T11:53:00Z"/>
        <filter val="2018-01-09T10:10:00Z"/>
        <filter val="2016-06-20T06:00:00Z"/>
        <filter val="2016-06-24T18:20:00Z"/>
        <filter val="2013-08-08T09:00:00Z"/>
        <filter val="2016-09-05T06:55:00Z"/>
        <filter val="2019-01-04T10:10:00Z"/>
        <filter val="2019-08-14T18:51:00Z"/>
        <filter val="2019-06-30T16:50:00Z"/>
        <filter val="2019-01-04T09:24:00Z"/>
        <filter val="2013-06-19T08:45:00Z"/>
        <filter val="2013-07-31T19:25:00Z"/>
        <filter val="2018-01-09T13:35:00Z"/>
        <filter val="2014-08-02T19:15:00Z"/>
        <filter val="2015-08-20T08:10:00Z"/>
        <filter val="2019-08-27T08:54:00Z"/>
        <filter val="2019-01-04T08:50:00Z"/>
        <filter val="2018-01-09T12:12:00Z"/>
        <filter val="2016-07-13T17:30:00Z"/>
        <filter val="2016-08-16T08:45:00Z"/>
        <filter val="2013-12-20T20:00:00Z"/>
        <filter val="2015-08-01T21:45:00Z"/>
        <filter val="2018-01-09T09:24:00Z"/>
        <filter val="2013-05-20T19:10:00Z"/>
        <filter val="2019-11-05T09:03:00Z"/>
        <filter val="2016-09-04T06:55:00Z"/>
        <filter val="2019-09-06T08:00:00Z"/>
        <filter val="2018-01-09T13:29:00Z"/>
        <filter val="2013-08-13T23:45:00Z"/>
        <filter val="2013-07-28T17:50:00Z"/>
        <filter val="2013-06-13T14:15:00Z"/>
        <filter val="2016-08-04T07:50:00Z"/>
        <filter val="2019-01-04T09:30:00Z"/>
        <filter val="2013-06-14T16:30:00Z"/>
        <filter val="2013-07-17T07:45:00Z"/>
        <filter val="2018-01-09T12:07:00Z"/>
        <filter val="2014-07-06T09:15:00Z"/>
        <filter val="2016-08-01T08:05:00Z"/>
        <filter val="2016-07-04T07:45:00Z"/>
        <filter val="2018-01-09T12:49:00Z"/>
        <filter val="2019-01-04T08:44:00Z"/>
        <filter val="2018-01-09T12:06:00Z"/>
        <filter val="2013-03-02T19:00:00Z"/>
        <filter val="2019-07-05T07:50:00Z"/>
        <filter val="2019-11-02T18:44:00Z"/>
        <filter val="2013-09-15T17:14:00Z"/>
        <filter val="2019-08-16T18:44:00Z"/>
        <filter val="2015-07-25T16:05:00Z"/>
        <filter val="2019-11-06T19:00:00Z"/>
        <filter val="2013-08-04T18:00:00Z"/>
        <filter val="2015-07-17T15:15:00Z"/>
        <filter val="2018-01-09T12:40:00Z"/>
        <filter val="2014-01-10T18:30:00Z"/>
        <filter val="2019-08-02T17:00:00Z"/>
        <filter val="2019-07-10T16:04:00Z"/>
        <filter val="2015-08-13T10:30:00Z"/>
        <filter val="2016-07-01T17:45:00Z"/>
        <filter val="2016-08-31T18:50:00Z"/>
        <filter val="2019-01-04T09:03:00Z"/>
        <filter val="2019-12-02T16:12:00Z"/>
        <filter val="2018-01-09T10:46:00Z"/>
        <filter val="2015-08-03T08:55:00Z"/>
        <filter val="2015-08-09T20:30:00Z"/>
        <filter val="2013-09-24T17:30:00Z"/>
        <filter val="2019-01-04T10:04:00Z"/>
        <filter val="2019-09-24T10:21:00Z"/>
        <filter val="2018-01-09T10:03:00Z"/>
        <filter val="2015-08-12T08:00:00Z"/>
        <filter val="2014-07-24T09:00:00Z"/>
        <filter val="2015-06-26T22:15:00Z"/>
        <filter val="2013-05-29T15:30:00Z"/>
        <filter val="2019-06-11T14:50:00Z"/>
        <filter val="2019-06-03T08:48:00Z"/>
        <filter val="2018-01-09T11:54:00Z"/>
        <filter val="2013-11-27T18:15:00Z"/>
        <filter val="2015-06-24T18:30:00Z"/>
        <filter val="2016-06-13T12:30:00Z"/>
        <filter val="2019-01-04T09:33:00Z"/>
        <filter val="2019-06-27T19:06:00Z"/>
        <filter val="2013-05-20T18:50:00Z"/>
        <filter val="2018-01-09T13:18:00Z"/>
        <filter val="2019-08-23T23:00:00Z"/>
        <filter val="2014-07-06T08:30:00Z"/>
        <filter val="2016-07-02T20:00:00Z"/>
        <filter val="2019-06-21T14:22:00Z"/>
        <filter val="2018-01-09T12:08:00Z"/>
        <filter val="2018-01-09T13:34:00Z"/>
        <filter val="2015-07-15T18:45:00Z"/>
        <filter val="2019-08-03T09:10:00Z"/>
        <filter val="2015-08-22T18:30:00Z"/>
        <filter val="2019-10-07T11:03:00Z"/>
        <filter val="2013-12-30T20:30:00Z"/>
        <filter val="2018-01-09T11:46:00Z"/>
        <filter val="2015-05-28T10:30:00Z"/>
        <filter val="2019-06-24T10:25:00Z"/>
        <filter val="2019-09-24T18:00:00Z"/>
        <filter val="2013-07-01T18:30:00Z"/>
        <filter val="2019-06-29T18:20:00Z"/>
        <filter val="2018-04-05T12:01:00Z"/>
        <filter val="2019-10-13T07:30:00Z"/>
        <filter val="2019-01-04T09:09:00Z"/>
        <filter val="2013-07-15T06:15:00Z"/>
        <filter val="2015-06-11T18:15:00Z"/>
        <filter val="2014-08-19T16:45:00Z"/>
        <filter val="2013-05-01T07:00:00Z"/>
        <filter val="2019-08-05T12:25:00Z"/>
        <filter val="2019-08-17T18:15:00Z"/>
        <filter val="2013-01-23T10:15:00Z"/>
        <filter val="2015-10-02T17:50:00Z"/>
        <filter val="2019-08-10T15:07:00Z"/>
        <filter val="2019-01-04T08:54:00Z"/>
        <filter val="2019-10-08T17:51:00Z"/>
        <filter val="2016-06-21T18:30:00Z"/>
        <filter val="2016-07-07T19:00:00Z"/>
        <filter val="2019-07-31T06:47:00Z"/>
        <filter val="2019-01-04T10:05:00Z"/>
        <filter val="2015-07-26T10:30:00Z"/>
        <filter val="2013-05-13T09:00:00Z"/>
        <filter val="2018-01-09T10:21:00Z"/>
        <filter val="2016-08-26T18:00:00Z"/>
        <filter val="2019-08-04T06:39:00Z"/>
        <filter val="2013-05-25T18:45:00Z"/>
        <filter val="2018-08-30T15:27:00Z"/>
        <filter val="2014-06-02T18:30:00Z"/>
        <filter val="2016-07-12T10:30:00Z"/>
        <filter val="2019-03-14T11:24:00Z"/>
        <filter val="2018-01-09T10:04:00Z"/>
        <filter val="2019-10-31T09:10:00Z"/>
        <filter val="2019-10-11T07:30:00Z"/>
        <filter val="2013-05-05T18:45:00Z"/>
        <filter val="2015-07-28T15:00:00Z"/>
        <filter val="2013-04-22T09:00:00Z"/>
        <filter val="2019-06-05T15:07:00Z"/>
        <filter val="2019-09-22T18:00:00Z"/>
        <filter val="2013-08-30T08:00:00Z"/>
        <filter val="2019-07-20T09:05:00Z"/>
        <filter val="2013-07-08T17:30:00Z"/>
        <filter val="2019-08-02T14:03:00Z"/>
        <filter val="2014-09-30T15:00:00Z"/>
        <filter val="2019-01-04T09:49:00Z"/>
        <filter val="2014-01-22T16:35:00Z"/>
        <filter val="2013-11-15T16:00:00Z"/>
        <filter val="2015-07-15T07:00:00Z"/>
        <filter val="2019-09-14T08:00:00Z"/>
        <filter val="2018-01-09T11:45:00Z"/>
        <filter val="2016-09-06T18:15:00Z"/>
        <filter val="2014-06-20T08:30:00Z"/>
        <filter val="2019-01-04T09:32:00Z"/>
        <filter val="2013-05-03T18:45:00Z"/>
        <filter val="2019-10-27T12:11:00Z"/>
        <filter val="2015-07-22T10:00:00Z"/>
        <filter val="2015-08-05T09:00:00Z"/>
        <filter val="2013-06-20T13:15:00Z"/>
        <filter val="2014-05-17T00:00:00Z"/>
        <filter val="2015-06-17T06:45:00Z"/>
        <filter val="2015-07-05T11:30:00Z"/>
        <filter val="2019-01-04T09:50:00Z"/>
        <filter val="2015-06-19T08:15:00Z"/>
        <filter val="2013-07-09T15:00:00Z"/>
        <filter val="2018-01-09T12:09:00Z"/>
        <filter val="2019-06-17T08:34:00Z"/>
        <filter val="2013-05-05T18:00:00Z"/>
        <filter val="2016-06-30T18:30:00Z"/>
        <filter val="2016-04-30T07:00:00Z"/>
        <filter val="2018-02-09T09:39:00Z"/>
        <filter val="2019-06-21T14:23:00Z"/>
        <filter val="2014-06-05T20:00:00Z"/>
        <filter val="2019-06-17T08:49:00Z"/>
        <filter val="2016-06-12T15:00:00Z"/>
        <filter val="2016-05-10T18:45:00Z"/>
        <filter val="2015-09-10T07:49:00Z"/>
        <filter val="2016-07-06T20:00:00Z"/>
        <filter val="2018-01-09T13:33:00Z"/>
        <filter val="2016-08-16T08:00:00Z"/>
        <filter val="2013-09-12T08:45:00Z"/>
        <filter val="2019-01-04T08:53:00Z"/>
        <filter val="2019-10-21T06:00:00Z"/>
        <filter val="2018-01-09T13:49:00Z"/>
        <filter val="2016-05-17T19:10:00Z"/>
        <filter val="2013-06-13T09:45:00Z"/>
        <filter val="2014-06-11T07:30:00Z"/>
        <filter val="2014-05-15T11:30:00Z"/>
        <filter val="2019-07-13T15:13:00Z"/>
        <filter val="2019-01-04T10:06:00Z"/>
        <filter val="2013-11-24T18:45:00Z"/>
        <filter val="2018-01-09T10:22:00Z"/>
        <filter val="2019-06-25T13:50:00Z"/>
        <filter val="2018-01-09T10:05:00Z"/>
        <filter val="2015-08-16T20:00:00Z"/>
        <filter val="2013-07-01T18:40:00Z"/>
        <filter val="2019-08-21T18:27:00Z"/>
        <filter val="2014-09-18T18:45:00Z"/>
        <filter val="2016-11-14T18:00:00Z"/>
        <filter val="2019-01-04T09:48:00Z"/>
        <filter val="2015-07-03T17:55:00Z"/>
        <filter val="2016-09-02T06:55:00Z"/>
        <filter val="2015-11-12T18:00:00Z"/>
        <filter val="2016-05-19T18:00:00Z"/>
        <filter val="2016-08-28T18:15:00Z"/>
        <filter val="2015-07-31T19:00:00Z"/>
        <filter val="2016-07-23T08:45:00Z"/>
        <filter val="2013-08-09T18:45:00Z"/>
        <filter val="2015-07-26T06:45:00Z"/>
        <filter val="2013-07-25T18:30:00Z"/>
        <filter val="2019-09-28T18:40:00Z"/>
        <filter val="2015-08-16T12:00:00Z"/>
        <filter val="2019-10-04T10:39:00Z"/>
        <filter val="2019-01-04T09:07:00Z"/>
        <filter val="2018-01-09T11:01:00Z"/>
        <filter val="2018-01-09T11:44:00Z"/>
        <filter val="2018-03-22T16:34:00Z"/>
        <filter val="2013-09-15T19:00:00Z"/>
        <filter val="2019-06-11T14:40:00Z"/>
        <filter val="2013-11-23T18:30:00Z"/>
        <filter val="2019-10-12T17:22:00Z"/>
        <filter val="2019-07-09T18:22:00Z"/>
        <filter val="2018-01-09T11:16:00Z"/>
        <filter val="2018-01-09T11:59:00Z"/>
        <filter val="2016-06-30T07:00:00Z"/>
        <filter val="2016-07-24T14:30:00Z"/>
        <filter val="2018-01-09T12:38:00Z"/>
        <filter val="2013-08-19T07:10:00Z"/>
        <filter val="2014-06-24T19:00:00Z"/>
        <filter val="2015-07-22T19:50:00Z"/>
        <filter val="2015-03-02T09:00:00Z"/>
        <filter val="2018-01-18T09:58:00Z"/>
        <filter val="2019-10-28T16:30:00Z"/>
        <filter val="2018-08-06T10:52:00Z"/>
        <filter val="2016-06-30T16:55:00Z"/>
        <filter val="2019-09-14T19:00:00Z"/>
        <filter val="2019-01-04T10:07:00Z"/>
        <filter val="2014-03-16T08:30:00Z"/>
        <filter val="2018-01-09T10:06:00Z"/>
        <filter val="2018-01-09T13:32:00Z"/>
        <filter val="2016-07-20T09:00:00Z"/>
        <filter val="2016-07-12T07:00:00Z"/>
        <filter val="2019-10-19T15:00:00Z"/>
        <filter val="2013-06-17T09:00:00Z"/>
        <filter val="2013-05-17T08:30:00Z"/>
        <filter val="2016-06-26T07:00:00Z"/>
        <filter val="2019-06-17T15:16:00Z"/>
        <filter val="2013-11-09T17:00:00Z"/>
        <filter val="2014-09-25T07:27:00Z"/>
        <filter val="2018-01-09T10:34:00Z"/>
        <filter val="2015-08-07T21:00:00Z"/>
        <filter val="2018-01-09T12:50:00Z"/>
        <filter val="2015-06-10T09:45:00Z"/>
        <filter val="2019-01-04T10:22:00Z"/>
        <filter val="2014-01-04T18:30:00Z"/>
        <filter val="2016-07-30T14:15:00Z"/>
        <filter val="2015-08-01T22:15:00Z"/>
        <filter val="2013-05-09T09:00:00Z"/>
        <filter val="2019-08-13T18:00:00Z"/>
        <filter val="2019-01-04T09:34:00Z"/>
        <filter val="2015-09-08T19:28:00Z"/>
        <filter val="2019-09-06T19:48:00Z"/>
        <filter val="2019-09-24T14:52:00Z"/>
        <filter val="2016-06-07T06:45:00Z"/>
        <filter val="2015-08-04T18:00:00Z"/>
        <filter val="2018-02-09T09:27:00Z"/>
        <filter val="2016-05-27T17:00:00Z"/>
        <filter val="2016-08-23T07:45:00Z"/>
        <filter val="2016-08-07T19:33:00Z"/>
        <filter val="2014-08-02T11:00:00Z"/>
        <filter val="2014-09-15T11:00:00Z"/>
        <filter val="2016-08-29T15:00:00Z"/>
        <filter val="2019-07-20T08:56:00Z"/>
        <filter val="2018-01-09T13:19:00Z"/>
        <filter val="2016-07-05T07:05:00Z"/>
        <filter val="2018-01-09T10:35:00Z"/>
        <filter val="2013-07-23T16:00:00Z"/>
        <filter val="2019-01-04T10:20:00Z"/>
        <filter val="2015-08-28T18:15:00Z"/>
        <filter val="2015-08-29T07:00:00Z"/>
        <filter val="2015-08-18T19:00:00Z"/>
        <filter val="2014-05-20T11:30:00Z"/>
        <filter val="2016-12-19T13:30:00Z"/>
        <filter val="2016-09-12T14:51:00Z"/>
        <filter val="2013-08-29T16:45:00Z"/>
        <filter val="2014-07-08T06:56:00Z"/>
        <filter val="2018-01-09T13:47:00Z"/>
        <filter val="2015-09-11T11:00:00Z"/>
        <filter val="2018-01-09T12:39:00Z"/>
        <filter val="2015-07-20T15:30:00Z"/>
        <filter val="2019-01-04T09:08:00Z"/>
        <filter val="2014-05-17T20:14:00Z"/>
        <filter val="2015-07-13T11:00:00Z"/>
        <filter val="2019-09-13T19:00:00Z"/>
        <filter val="2016-07-16T07:40:00Z"/>
        <filter val="2015-08-19T19:15:00Z"/>
        <filter val="2015-08-25T18:30:00Z"/>
        <filter val="2016-09-27T14:00:00Z"/>
        <filter val="2019-01-04T10:09:00Z"/>
        <filter val="2016-08-09T17:15:00Z"/>
        <filter val="2015-06-09T09:00:00Z"/>
        <filter val="2013-07-26T18:15:00Z"/>
        <filter val="2018-01-09T10:07:00Z"/>
        <filter val="2016-10-17T11:45:00Z"/>
        <filter val="2019-11-05T17:30:00Z"/>
        <filter val="2014-05-05T17:30:00Z"/>
        <filter val="2018-01-09T11:58:00Z"/>
        <filter val="2018-01-09T13:31:00Z"/>
        <filter val="2013-09-28T09:15:00Z"/>
        <filter val="2018-01-09T12:23:00Z"/>
        <filter val="2019-09-06T07:24:00Z"/>
        <filter val="2016-08-30T12:05:00Z"/>
        <filter val="2013-08-12T18:00:00Z"/>
        <filter val="2016-09-06T07:30:00Z"/>
        <filter val="2019-06-03T08:44:00Z"/>
        <filter val="2019-06-26T06:00:00Z"/>
        <filter val="2019-08-02T21:39:00Z"/>
        <filter val="2019-10-12T18:00:00Z"/>
        <filter val="2016-06-21T16:30:00Z"/>
        <filter val="2019-10-24T17:15:00Z"/>
        <filter val="2013-05-18T19:00:00Z"/>
        <filter val="2019-09-03T07:11:00Z"/>
        <filter val="2013-08-07T18:30:00Z"/>
        <filter val="2013-12-31T16:00:00Z"/>
        <filter val="2015-06-06T07:15:00Z"/>
        <filter val="2019-01-04T09:20:00Z"/>
        <filter val="2019-01-04T08:55:00Z"/>
        <filter val="2019-05-24T14:28:00Z"/>
        <filter val="2019-01-04T10:21:00Z"/>
        <filter val="2013-05-11T06:30:00Z"/>
        <filter val="2019-09-04T16:22:00Z"/>
        <filter val="2014-01-02T07:30:00Z"/>
        <filter val="2016-06-04T15:30:00Z"/>
        <filter val="2018-01-09T11:00:00Z"/>
        <filter val="2018-01-09T11:43:00Z"/>
        <filter val="2019-01-04T09:35:00Z"/>
        <filter val="2019-04-10T10:23:00Z"/>
        <filter val="2019-07-05T03:20:00Z"/>
        <filter val="2018-01-09T12:51:00Z"/>
      </filters>
    </filterColumn>
    <filterColumn colId="12">
      <customFilters>
        <customFilter operator="greaterThan" val="0"/>
      </customFilters>
    </filterColumn>
    <filterColumn colId="7">
      <filters blank="1">
        <filter val="2014-07-01"/>
        <filter val="2014-07-04"/>
        <filter val="2014-07-05"/>
        <filter val="2014-07-03"/>
        <filter val="2019-07-13"/>
        <filter val="2019-07-12"/>
        <filter val="2019-07-15"/>
        <filter val="2019-07-14"/>
        <filter val="2019-07-17"/>
        <filter val="2019-07-16"/>
        <filter val="2019-07-18"/>
        <filter val="2016-04-28"/>
        <filter val="2016-04-24"/>
        <filter val="2014-07-11"/>
        <filter val="2019-07-30"/>
        <filter val="2014-07-14"/>
        <filter val="2014-07-09"/>
        <filter val="2014-07-07"/>
        <filter val="2019-07-28"/>
        <filter val="2017-08-27"/>
        <filter val="2017-08-26"/>
        <filter val="2017-08-29"/>
        <filter val="2017-08-28"/>
        <filter val="2014-07-23"/>
        <filter val="2014-07-21"/>
        <filter val="2014-07-26"/>
        <filter val="2018-03-27"/>
        <filter val="2014-07-24"/>
        <filter val="2014-07-25"/>
        <filter val="2014-07-17"/>
        <filter val="2017-08-30"/>
        <filter val="2017-08-31"/>
        <filter val="2014-07-30"/>
        <filter val="2014-07-31"/>
        <filter val="2014-07-28"/>
        <filter val="2014-07-29"/>
        <filter val="2016-04-19"/>
        <filter val="2016-06-12"/>
        <filter val="2016-06-11"/>
        <filter val="2015-10-29"/>
        <filter val="2019-09-01"/>
        <filter val="2019-09-02"/>
        <filter val="2014-05-25"/>
        <filter val="2014-05-16"/>
        <filter val="2014-05-15"/>
        <filter val="2017-11-13"/>
        <filter val="2017-11-14"/>
        <filter val="2016-06-07"/>
        <filter val="2016-06-03"/>
        <filter val="2016-06-04"/>
        <filter val="2016-06-23"/>
        <filter val="2016-06-21"/>
        <filter val="2016-06-20"/>
        <filter val="2019-09-13"/>
        <filter val="2019-09-10"/>
        <filter val="2019-09-05"/>
        <filter val="2014-05-27"/>
        <filter val="2019-09-06"/>
        <filter val="2014-05-26"/>
        <filter val="2019-09-03"/>
        <filter val="2019-09-04"/>
        <filter val="2019-09-09"/>
        <filter val="2019-09-07"/>
        <filter val="2017-11-25"/>
        <filter val="2016-06-18"/>
        <filter val="2017-11-29"/>
        <filter val="2016-06-19"/>
        <filter val="2016-06-17"/>
        <filter val="2016-06-15"/>
        <filter val="2018-05-09"/>
        <filter val="2018-05-02"/>
        <filter val="2019-10-09"/>
        <filter val="2019-09-23"/>
        <filter val="2019-09-24"/>
        <filter val="2018-05-04"/>
        <filter val="2019-09-21"/>
        <filter val="2019-10-06"/>
        <filter val="2019-10-07"/>
        <filter val="2019-09-15"/>
        <filter val="2019-10-08"/>
        <filter val="2018-05-10"/>
        <filter val="2019-10-03"/>
        <filter val="2019-10-04"/>
        <filter val="2016-06-01"/>
        <filter val="2019-09-30"/>
        <filter val="2019-10-17"/>
        <filter val="2019-09-28"/>
        <filter val="2019-10-18"/>
        <filter val="2019-09-25"/>
        <filter val="2019-10-13"/>
        <filter val="2017-11-02"/>
        <filter val="2013-01-22"/>
        <filter val="2019-09-29"/>
        <filter val="2019-10-15"/>
        <filter val="2019-10-10"/>
        <filter val="2019-10-11"/>
        <filter val="2019-10-27"/>
        <filter val="2019-10-28"/>
        <filter val="2019-10-23"/>
        <filter val="2013-05-15"/>
        <filter val="2019-10-24"/>
        <filter val="2019-10-25"/>
        <filter val="2013-05-13"/>
        <filter val="2013-05-12"/>
        <filter val="2018-11-29"/>
        <filter val="2019-10-21"/>
        <filter val="2018-11-12"/>
        <filter val="2018-11-13"/>
        <filter val="2015-02-24"/>
        <filter val="2013-05-04"/>
        <filter val="2013-05-03"/>
        <filter val="2013-05-02"/>
        <filter val="2013-05-01"/>
        <filter val="2019-10-30"/>
        <filter val="2019-10-31"/>
        <filter val="2018-11-16"/>
        <filter val="2018-11-14"/>
        <filter val="2018-11-15"/>
        <filter val="2018-01-09"/>
        <filter val="2013-05-28"/>
        <filter val="2013-05-27"/>
        <filter val="2013-05-30"/>
        <filter val="2013-05-19"/>
        <filter val="2013-05-17"/>
        <filter val="2013-05-16"/>
        <filter val="2014-05-14"/>
        <filter val="2014-05-13"/>
        <filter val="2015-02-06"/>
        <filter val="2014-05-05"/>
        <filter val="2013-05-22"/>
        <filter val="2013-05-21"/>
        <filter val="2013-05-20"/>
        <filter val="2013-05-26"/>
        <filter val="2013-05-25"/>
        <filter val="2013-05-23"/>
        <filter val="2015-04-18"/>
        <filter val="2015-04-13"/>
        <filter val="2014-03-08"/>
        <filter val="2014-03-15"/>
        <filter val="2014-03-19"/>
        <filter val="2014-03-28"/>
        <filter val="2015-06-01"/>
        <filter val="2017-04-03"/>
        <filter val="2018-08-18"/>
        <filter val="2018-08-19"/>
        <filter val="2014-01-16"/>
        <filter val="2018-08-15"/>
        <filter val="2018-08-16"/>
        <filter val="2018-08-17"/>
        <filter val="2013-08-04"/>
        <filter val="2018-08-22"/>
        <filter val="2013-08-05"/>
        <filter val="2018-08-23"/>
        <filter val="2013-08-06"/>
        <filter val="2013-08-07"/>
        <filter val="2013-08-01"/>
        <filter val="2013-08-03"/>
        <filter val="2017-04-13"/>
        <filter val="2018-08-07"/>
        <filter val="2018-08-09"/>
        <filter val="2018-08-03"/>
        <filter val="2014-01-25"/>
        <filter val="2018-08-04"/>
        <filter val="2018-08-05"/>
        <filter val="2018-08-06"/>
        <filter val="2014-01-22"/>
        <filter val="2018-08-10"/>
        <filter val="2018-08-11"/>
        <filter val="2018-08-12"/>
        <filter val="2018-08-13"/>
        <filter val="2017-04-20"/>
        <filter val="2013-08-19"/>
        <filter val="2013-08-23"/>
        <filter val="2013-08-24"/>
        <filter val="2013-08-20"/>
        <filter val="2018-08-25"/>
        <filter val="2013-08-08"/>
        <filter val="2018-08-26"/>
        <filter val="2013-08-09"/>
        <filter val="2018-08-27"/>
        <filter val="2013-08-15"/>
        <filter val="2013-08-16"/>
        <filter val="2013-08-17"/>
        <filter val="2013-08-18"/>
        <filter val="2018-08-30"/>
        <filter val="2018-08-31"/>
        <filter val="2013-08-14"/>
        <filter val="2013-08-10"/>
        <filter val="2013-06-17"/>
        <filter val="2013-06-18"/>
        <filter val="2013-06-25"/>
        <filter val="2013-06-20"/>
        <filter val="2015-06-30"/>
        <filter val="2013-06-08"/>
        <filter val="2013-06-09"/>
        <filter val="2013-06-13"/>
        <filter val="2013-06-14"/>
        <filter val="2013-06-16"/>
        <filter val="2013-06-10"/>
        <filter val="2013-06-12"/>
        <filter val="2015-06-26"/>
        <filter val="2015-06-27"/>
        <filter val="2015-06-28"/>
        <filter val="2017-06-01"/>
        <filter val="2015-06-29"/>
        <filter val="2017-04-28"/>
        <filter val="2015-06-20"/>
        <filter val="2017-04-29"/>
        <filter val="2015-06-21"/>
        <filter val="2015-06-22"/>
        <filter val="2017-04-24"/>
        <filter val="2015-06-24"/>
        <filter val="2015-06-25"/>
        <filter val="2015-06-15"/>
        <filter val="2017-04-30"/>
        <filter val="2015-06-16"/>
        <filter val="2015-06-17"/>
        <filter val="2018-11-08"/>
        <filter val="2015-06-18"/>
        <filter val="2019-04-09"/>
        <filter val="2018-11-05"/>
        <filter val="2015-06-19"/>
        <filter val="2018-11-03"/>
        <filter val="2015-06-10"/>
        <filter val="2014-01-04"/>
        <filter val="2013-06-28"/>
        <filter val="2014-01-03"/>
        <filter val="2016-11-14"/>
        <filter val="2014-01-02"/>
        <filter val="2013-06-29"/>
        <filter val="2014-01-01"/>
        <filter val="2016-11-13"/>
        <filter val="2015-06-05"/>
        <filter val="2015-06-07"/>
        <filter val="2015-06-08"/>
        <filter val="2015-06-09"/>
        <filter val="2017-06-28"/>
        <filter val="2017-06-29"/>
        <filter val="2015-08-20"/>
        <filter val="2015-08-23"/>
        <filter val="2015-08-22"/>
        <filter val="2017-06-24"/>
        <filter val="2015-08-25"/>
        <filter val="2017-06-25"/>
        <filter val="2015-08-24"/>
        <filter val="2017-06-26"/>
        <filter val="2017-06-27"/>
        <filter val="2019-04-30"/>
        <filter val="2013-11-07"/>
        <filter val="2013-11-04"/>
        <filter val="2019-04-28"/>
        <filter val="2015-08-18"/>
        <filter val="2015-08-19"/>
        <filter val="2017-06-30"/>
        <filter val="2013-11-08"/>
        <filter val="2015-08-10"/>
        <filter val="2016-08-04"/>
        <filter val="2016-08-03"/>
        <filter val="2016-08-02"/>
        <filter val="2015-08-14"/>
        <filter val="2015-08-13"/>
        <filter val="2015-08-16"/>
        <filter val="2015-08-15"/>
        <filter val="2015-08-09"/>
        <filter val="2015-08-08"/>
        <filter val="2017-06-06"/>
        <filter val="2017-06-07"/>
        <filter val="2015-08-01"/>
        <filter val="2017-06-09"/>
        <filter val="2017-06-02"/>
        <filter val="2016-06-30"/>
        <filter val="2015-08-03"/>
        <filter val="2017-06-03"/>
        <filter val="2015-08-02"/>
        <filter val="2017-06-04"/>
        <filter val="2017-06-05"/>
        <filter val="2018-06-15"/>
        <filter val="2018-06-14"/>
        <filter val="2018-06-13"/>
        <filter val="2018-06-12"/>
        <filter val="2018-06-19"/>
        <filter val="2018-06-18"/>
        <filter val="2018-06-17"/>
        <filter val="2018-06-16"/>
        <filter val="2018-06-21"/>
        <filter val="2018-06-20"/>
        <filter val="2013-11-23"/>
        <filter val="2013-11-22"/>
        <filter val="2017-06-10"/>
        <filter val="2017-06-11"/>
        <filter val="2016-06-27"/>
        <filter val="2016-06-28"/>
        <filter val="2016-06-25"/>
        <filter val="2016-06-26"/>
        <filter val="2017-06-17"/>
        <filter val="2017-06-18"/>
        <filter val="2017-06-19"/>
        <filter val="2018-06-09"/>
        <filter val="2017-06-13"/>
        <filter val="2017-06-14"/>
        <filter val="2017-06-15"/>
        <filter val="2017-06-16"/>
        <filter val="2018-06-04"/>
        <filter val="2013-11-21"/>
        <filter val="2018-06-03"/>
        <filter val="2018-06-02"/>
        <filter val="2018-06-01"/>
        <filter val="2018-06-07"/>
        <filter val="2018-06-06"/>
        <filter val="2018-06-05"/>
        <filter val="2018-06-11"/>
        <filter val="2013-11-14"/>
        <filter val="2017-06-21"/>
        <filter val="2017-06-22"/>
        <filter val="2017-06-23"/>
        <filter val="2017-08-08"/>
        <filter val="2017-08-05"/>
        <filter val="2017-08-04"/>
        <filter val="2017-08-07"/>
        <filter val="2016-08-31"/>
        <filter val="2017-08-06"/>
        <filter val="2016-08-30"/>
        <filter val="2014-08-12"/>
        <filter val="2014-08-11"/>
        <filter val="2014-08-17"/>
        <filter val="2014-08-16"/>
        <filter val="2019-06-10"/>
        <filter val="2014-08-14"/>
        <filter val="2019-06-01"/>
        <filter val="2019-06-03"/>
        <filter val="2019-06-02"/>
        <filter val="2019-06-05"/>
        <filter val="2019-06-07"/>
        <filter val="2019-06-06"/>
        <filter val="2019-06-09"/>
        <filter val="2017-08-11"/>
        <filter val="2019-06-08"/>
        <filter val="2017-08-14"/>
        <filter val="2017-08-13"/>
        <filter val="2016-08-28"/>
        <filter val="2017-08-10"/>
        <filter val="2016-08-27"/>
        <filter val="2017-08-19"/>
        <filter val="2017-08-15"/>
        <filter val="2017-08-17"/>
        <filter val="2018-06-26"/>
        <filter val="2014-08-24"/>
        <filter val="2018-06-24"/>
        <filter val="2018-06-23"/>
        <filter val="2014-08-28"/>
        <filter val="2018-06-29"/>
        <filter val="2018-06-28"/>
        <filter val="2014-08-26"/>
        <filter val="2019-06-21"/>
        <filter val="2018-06-27"/>
        <filter val="2019-06-20"/>
        <filter val="2019-06-12"/>
        <filter val="2019-06-14"/>
        <filter val="2014-08-18"/>
        <filter val="2019-06-16"/>
        <filter val="2019-06-15"/>
        <filter val="2018-06-30"/>
        <filter val="2019-06-17"/>
        <filter val="2017-08-23"/>
        <filter val="2017-08-22"/>
        <filter val="2013-08-31"/>
        <filter val="2017-08-24"/>
        <filter val="2017-08-21"/>
        <filter val="2017-08-20"/>
        <filter val="2016-08-13"/>
        <filter val="2016-08-12"/>
        <filter val="2016-08-11"/>
        <filter val="2016-08-10"/>
        <filter val="2019-06-22"/>
        <filter val="2018-08-01"/>
        <filter val="2019-06-25"/>
        <filter val="2019-06-24"/>
        <filter val="2014-08-29"/>
        <filter val="2019-06-27"/>
        <filter val="2019-06-26"/>
        <filter val="2019-06-29"/>
        <filter val="2019-06-28"/>
        <filter val="2016-08-09"/>
        <filter val="2016-08-07"/>
        <filter val="2016-08-06"/>
        <filter val="2016-08-05"/>
        <filter val="2016-08-26"/>
        <filter val="2016-08-24"/>
        <filter val="2016-08-22"/>
        <filter val="2016-08-20"/>
        <filter val="2017-08-01"/>
        <filter val="2015-08-29"/>
        <filter val="2017-08-03"/>
        <filter val="2017-08-02"/>
        <filter val="2016-08-18"/>
        <filter val="2016-08-17"/>
        <filter val="2016-08-16"/>
        <filter val="2017-09-18"/>
        <filter val="2017-09-19"/>
        <filter val="2017-09-17"/>
        <filter val="2014-06-30"/>
        <filter val="2017-10-02"/>
        <filter val="2017-09-25"/>
        <filter val="2017-10-03"/>
        <filter val="2017-09-26"/>
        <filter val="2017-09-23"/>
        <filter val="2017-10-06"/>
        <filter val="2017-10-07"/>
        <filter val="2017-10-08"/>
        <filter val="2017-10-09"/>
        <filter val="2017-09-20"/>
        <filter val="2016-05-12"/>
        <filter val="2016-05-10"/>
        <filter val="2017-09-29"/>
        <filter val="2017-09-27"/>
        <filter val="2017-09-28"/>
        <filter val="2019-08-01"/>
        <filter val="2017-10-10"/>
        <filter val="2017-10-11"/>
        <filter val="2017-10-12"/>
        <filter val="2017-10-13"/>
        <filter val="2017-10-14"/>
        <filter val="2017-10-15"/>
        <filter val="2017-10-16"/>
        <filter val="2017-10-17"/>
        <filter val="2017-10-18"/>
        <filter val="2019-08-12"/>
        <filter val="2019-08-10"/>
        <filter val="2019-08-05"/>
        <filter val="2019-08-02"/>
        <filter val="2019-08-03"/>
        <filter val="2019-08-08"/>
        <filter val="2019-08-09"/>
        <filter val="2017-09-03"/>
        <filter val="2017-09-01"/>
        <filter val="2017-09-02"/>
        <filter val="2017-09-07"/>
        <filter val="2017-09-05"/>
        <filter val="2014-08-02"/>
        <filter val="2014-08-01"/>
        <filter val="2013-02-24"/>
        <filter val="2019-08-22"/>
        <filter val="2013-02-28"/>
        <filter val="2019-08-21"/>
        <filter val="2019-08-15"/>
        <filter val="2019-08-16"/>
        <filter val="2019-08-13"/>
        <filter val="2019-08-14"/>
        <filter val="2017-09-12"/>
        <filter val="2017-09-10"/>
        <filter val="2017-09-11"/>
        <filter val="2018-04-19"/>
        <filter val="2018-04-12"/>
        <filter val="2019-08-31"/>
        <filter val="2018-04-15"/>
        <filter val="2019-08-27"/>
        <filter val="2019-08-24"/>
        <filter val="2019-08-25"/>
        <filter val="2019-08-28"/>
        <filter val="2013-12-16"/>
        <filter val="2018-04-09"/>
        <filter val="2013-12-10"/>
        <filter val="2014-06-04"/>
        <filter val="2015-11-07"/>
        <filter val="2016-05-22"/>
        <filter val="2016-05-23"/>
        <filter val="2015-11-11"/>
        <filter val="2014-06-10"/>
        <filter val="2014-06-11"/>
        <filter val="2014-06-12"/>
        <filter val="2014-06-13"/>
        <filter val="2014-06-05"/>
        <filter val="2017-10-20"/>
        <filter val="2014-06-06"/>
        <filter val="2017-10-21"/>
        <filter val="2017-10-23"/>
        <filter val="2014-06-09"/>
        <filter val="2017-10-24"/>
        <filter val="2016-05-19"/>
        <filter val="2017-10-26"/>
        <filter val="2016-05-17"/>
        <filter val="2016-05-18"/>
        <filter val="2016-05-15"/>
        <filter val="2016-05-31"/>
        <filter val="2013-12-30"/>
        <filter val="2016-05-30"/>
        <filter val="2013-12-31"/>
        <filter val="2018-04-24"/>
        <filter val="2014-06-22"/>
        <filter val="2018-04-22"/>
        <filter val="2014-06-20"/>
        <filter val="2018-04-28"/>
        <filter val="2018-04-26"/>
        <filter val="2014-06-19"/>
        <filter val="2017-10-31"/>
        <filter val="2016-05-29"/>
        <filter val="2016-05-27"/>
        <filter val="2016-05-25"/>
        <filter val="2017-12-21"/>
        <filter val="2017-12-28"/>
        <filter val="2013-04-30"/>
        <filter val="2019-11-03"/>
        <filter val="2014-04-19"/>
        <filter val="2019-11-05"/>
        <filter val="2019-11-01"/>
        <filter val="2014-04-30"/>
        <filter val="2013-06-02"/>
        <filter val="2013-06-03"/>
        <filter val="2013-06-04"/>
        <filter val="2013-06-05"/>
        <filter val="2017-12-04"/>
        <filter val="2013-06-01"/>
        <filter val="2017-12-06"/>
        <filter val="2017-12-05"/>
        <filter val="2017-12-07"/>
        <filter val="2017-12-13"/>
        <filter val="2019-11-25"/>
        <filter val="2017-12-14"/>
        <filter val="2017-12-16"/>
        <filter val="2019-01-01"/>
        <filter val="2018-02-18"/>
        <filter val="2017-02-07"/>
        <filter val="2013-04-20"/>
        <filter val="2018-02-07"/>
        <filter val="2013-04-09"/>
        <filter val="2015-05-28"/>
        <filter val="2013-07-31"/>
        <filter val="2016-10-29"/>
        <filter val="2016-10-20"/>
        <filter val="2013-07-19"/>
        <filter val="2013-07-25"/>
        <filter val="2013-07-26"/>
        <filter val="2013-07-28"/>
        <filter val="2013-07-22"/>
        <filter val="2013-07-23"/>
        <filter val="2015-05-11"/>
        <filter val="2018-09-08"/>
        <filter val="2018-09-09"/>
        <filter val="2016-10-10"/>
        <filter val="2018-09-04"/>
        <filter val="2018-09-05"/>
        <filter val="2016-10-14"/>
        <filter val="2016-10-11"/>
        <filter val="2018-09-12"/>
        <filter val="2018-09-13"/>
        <filter val="2018-09-14"/>
        <filter val="2018-09-10"/>
        <filter val="2016-09-17"/>
        <filter val="2016-09-19"/>
        <filter val="2018-09-01"/>
        <filter val="2018-09-02"/>
        <filter val="2018-09-03"/>
        <filter val="2016-09-20"/>
        <filter val="2016-09-22"/>
        <filter val="2016-09-23"/>
        <filter val="2016-09-25"/>
        <filter val="2016-09-26"/>
        <filter val="2017-05-16"/>
        <filter val="2017-05-17"/>
        <filter val="2017-05-18"/>
        <filter val="2015-07-10"/>
        <filter val="2017-05-19"/>
        <filter val="2017-05-12"/>
        <filter val="2015-07-12"/>
        <filter val="2015-07-13"/>
        <filter val="2017-05-14"/>
        <filter val="2017-05-15"/>
        <filter val="2018-09-26"/>
        <filter val="2018-09-28"/>
        <filter val="2018-09-29"/>
        <filter val="2018-10-12"/>
        <filter val="2018-10-10"/>
        <filter val="2018-10-19"/>
        <filter val="2017-05-20"/>
        <filter val="2015-07-06"/>
        <filter val="2017-05-21"/>
        <filter val="2015-07-07"/>
        <filter val="2017-05-22"/>
        <filter val="2018-10-15"/>
        <filter val="2015-07-09"/>
        <filter val="2018-10-13"/>
        <filter val="2018-10-14"/>
        <filter val="2017-05-28"/>
        <filter val="2017-05-29"/>
        <filter val="2017-05-23"/>
        <filter val="2015-07-01"/>
        <filter val="2017-05-24"/>
        <filter val="2015-07-02"/>
        <filter val="2017-05-25"/>
        <filter val="2015-07-03"/>
        <filter val="2015-07-04"/>
        <filter val="2018-09-16"/>
        <filter val="2018-09-22"/>
        <filter val="2018-09-23"/>
        <filter val="2018-09-24"/>
        <filter val="2018-09-20"/>
        <filter val="2017-05-31"/>
        <filter val="2018-10-07"/>
        <filter val="2018-10-02"/>
        <filter val="2013-07-07"/>
        <filter val="2013-07-08"/>
        <filter val="2013-07-09"/>
        <filter val="2013-07-15"/>
        <filter val="2013-07-16"/>
        <filter val="2013-07-17"/>
        <filter val="2018-10-30"/>
        <filter val="2013-07-12"/>
        <filter val="2017-05-07"/>
        <filter val="2017-05-01"/>
        <filter val="2017-05-02"/>
        <filter val="2013-07-03"/>
        <filter val="2013-07-04"/>
        <filter val="2013-07-06"/>
        <filter val="2013-07-01"/>
        <filter val="2017-05-10"/>
        <filter val="2018-10-24"/>
        <filter val="2016-07-25"/>
        <filter val="2016-07-24"/>
        <filter val="2016-07-22"/>
        <filter val="2016-07-21"/>
        <filter val="2014-09-21"/>
        <filter val="2018-05-24"/>
        <filter val="2014-09-25"/>
        <filter val="2018-05-22"/>
        <filter val="2018-05-23"/>
        <filter val="2018-05-28"/>
        <filter val="2014-09-29"/>
        <filter val="2018-05-29"/>
        <filter val="2018-05-26"/>
        <filter val="2018-05-27"/>
        <filter val="2014-10-07"/>
        <filter val="2018-05-30"/>
        <filter val="2014-10-08"/>
        <filter val="2017-07-02"/>
        <filter val="2017-07-01"/>
        <filter val="2016-07-19"/>
        <filter val="2016-07-18"/>
        <filter val="2016-07-15"/>
        <filter val="2017-07-08"/>
        <filter val="2017-07-07"/>
        <filter val="2018-05-19"/>
        <filter val="2017-07-09"/>
        <filter val="2017-07-04"/>
        <filter val="2017-07-03"/>
        <filter val="2017-07-06"/>
        <filter val="2016-07-30"/>
        <filter val="2017-07-05"/>
        <filter val="2018-05-14"/>
        <filter val="2018-05-17"/>
        <filter val="2018-05-18"/>
        <filter val="2018-05-16"/>
        <filter val="2019-05-01"/>
        <filter val="2018-05-20"/>
        <filter val="2019-05-03"/>
        <filter val="2018-05-21"/>
        <filter val="2017-07-11"/>
        <filter val="2019-05-07"/>
        <filter val="2017-07-10"/>
        <filter val="2017-07-13"/>
        <filter val="2014-10-16"/>
        <filter val="2017-07-12"/>
        <filter val="2016-07-29"/>
        <filter val="2016-07-28"/>
        <filter val="2015-07-30"/>
        <filter val="2015-07-31"/>
        <filter val="2016-07-02"/>
        <filter val="2016-07-01"/>
        <filter val="2015-10-03"/>
        <filter val="2015-10-02"/>
        <filter val="2019-05-20"/>
        <filter val="2019-05-10"/>
        <filter val="2019-05-13"/>
        <filter val="2019-05-18"/>
        <filter val="2015-07-28"/>
        <filter val="2015-07-29"/>
        <filter val="2016-07-13"/>
        <filter val="2015-10-10"/>
        <filter val="2015-07-20"/>
        <filter val="2015-07-21"/>
        <filter val="2016-07-12"/>
        <filter val="2016-07-11"/>
        <filter val="2015-07-22"/>
        <filter val="2015-07-23"/>
        <filter val="2016-07-10"/>
        <filter val="2015-07-24"/>
        <filter val="2015-07-25"/>
        <filter val="2015-10-12"/>
        <filter val="2019-05-30"/>
        <filter val="2019-05-29"/>
        <filter val="2015-07-16"/>
        <filter val="2015-07-17"/>
        <filter val="2016-07-09"/>
        <filter val="2015-07-18"/>
        <filter val="2015-07-19"/>
        <filter val="2016-07-08"/>
        <filter val="2016-07-04"/>
        <filter val="2016-09-07"/>
        <filter val="2018-07-05"/>
        <filter val="2018-07-04"/>
        <filter val="2018-07-02"/>
        <filter val="2018-07-09"/>
        <filter val="2018-07-08"/>
        <filter val="2013-09-09"/>
        <filter val="2018-07-06"/>
        <filter val="2018-07-12"/>
        <filter val="2018-07-11"/>
        <filter val="2013-09-15"/>
        <filter val="2018-07-10"/>
        <filter val="2016-09-10"/>
        <filter val="2016-09-11"/>
        <filter val="2013-09-11"/>
        <filter val="2016-09-12"/>
        <filter val="2016-09-13"/>
        <filter val="2016-09-16"/>
        <filter val="2015-09-22"/>
        <filter val="2013-09-05"/>
        <filter val="2013-09-08"/>
        <filter val="2013-09-07"/>
        <filter val="2018-07-01"/>
        <filter val="2015-09-19"/>
        <filter val="2016-09-01"/>
        <filter val="2016-09-03"/>
        <filter val="2016-09-05"/>
        <filter val="2017-07-19"/>
        <filter val="2015-09-11"/>
        <filter val="2017-07-18"/>
        <filter val="2017-07-15"/>
        <filter val="2017-07-14"/>
        <filter val="2017-07-17"/>
        <filter val="2017-07-16"/>
        <filter val="2018-07-27"/>
        <filter val="2014-09-03"/>
        <filter val="2018-07-26"/>
        <filter val="2018-07-25"/>
        <filter val="2014-09-01"/>
        <filter val="2018-07-24"/>
        <filter val="2014-09-07"/>
        <filter val="2018-07-29"/>
        <filter val="2014-09-05"/>
        <filter val="2018-07-28"/>
        <filter val="2014-09-04"/>
        <filter val="2018-07-31"/>
        <filter val="2017-07-22"/>
        <filter val="2015-09-08"/>
        <filter val="2017-07-21"/>
        <filter val="2015-09-07"/>
        <filter val="2017-07-24"/>
        <filter val="2017-07-23"/>
        <filter val="2015-09-09"/>
        <filter val="2017-07-20"/>
        <filter val="2017-07-29"/>
        <filter val="2015-09-02"/>
        <filter val="2017-07-26"/>
        <filter val="2014-09-10"/>
        <filter val="2017-07-25"/>
        <filter val="2015-09-03"/>
        <filter val="2017-07-28"/>
        <filter val="2017-07-27"/>
        <filter val="2014-09-14"/>
        <filter val="2018-07-15"/>
        <filter val="2014-09-13"/>
        <filter val="2018-07-14"/>
        <filter val="2014-09-12"/>
        <filter val="2018-07-13"/>
        <filter val="2014-09-11"/>
        <filter val="2018-07-19"/>
        <filter val="2018-07-18"/>
        <filter val="2014-09-16"/>
        <filter val="2019-07-11"/>
        <filter val="2018-07-17"/>
        <filter val="2014-09-15"/>
        <filter val="2013-10-06"/>
        <filter val="2013-09-28"/>
        <filter val="2019-07-02"/>
        <filter val="2013-10-05"/>
        <filter val="2013-10-04"/>
        <filter val="2019-07-03"/>
        <filter val="2013-10-03"/>
        <filter val="2018-07-23"/>
        <filter val="2013-09-24"/>
        <filter val="2018-07-22"/>
        <filter val="2013-09-23"/>
        <filter val="2019-07-05"/>
        <filter val="2018-07-21"/>
        <filter val="2013-09-26"/>
        <filter val="2019-07-08"/>
        <filter val="2018-07-20"/>
        <filter val="2019-07-09"/>
        <filter val="2017-07-31"/>
        <filter val="2017-07-30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5" max="5" width="23.14"/>
    <col customWidth="1" min="8" max="8" width="19.14"/>
    <col customWidth="1" min="11" max="11" width="23.14"/>
  </cols>
  <sheetData>
    <row r="1">
      <c r="G1" s="4" t="s">
        <v>2</v>
      </c>
      <c r="H1" s="4" t="s">
        <v>3870</v>
      </c>
      <c r="J1" s="4" t="s">
        <v>2</v>
      </c>
      <c r="K1" s="4" t="s">
        <v>3871</v>
      </c>
    </row>
    <row r="2">
      <c r="G2" s="4" t="s">
        <v>27</v>
      </c>
      <c r="H2" s="4">
        <v>146.0</v>
      </c>
      <c r="J2" s="4" t="s">
        <v>87</v>
      </c>
      <c r="K2" s="4">
        <v>28.0</v>
      </c>
    </row>
    <row r="3">
      <c r="G3" s="4" t="s">
        <v>62</v>
      </c>
      <c r="H3" s="4">
        <v>89.0</v>
      </c>
      <c r="J3" s="4" t="s">
        <v>62</v>
      </c>
      <c r="K3" s="4">
        <v>27.0</v>
      </c>
    </row>
    <row r="4">
      <c r="G4" s="4" t="s">
        <v>87</v>
      </c>
      <c r="H4" s="4">
        <v>66.0</v>
      </c>
      <c r="J4" s="4" t="s">
        <v>58</v>
      </c>
      <c r="K4" s="4">
        <v>26.0</v>
      </c>
    </row>
    <row r="5">
      <c r="G5" s="4" t="s">
        <v>149</v>
      </c>
      <c r="H5" s="4">
        <v>64.0</v>
      </c>
      <c r="J5" s="4" t="s">
        <v>186</v>
      </c>
      <c r="K5" s="4">
        <v>21.0</v>
      </c>
    </row>
    <row r="6">
      <c r="G6" s="4" t="s">
        <v>58</v>
      </c>
      <c r="H6" s="4">
        <v>64.0</v>
      </c>
      <c r="J6" s="4" t="s">
        <v>27</v>
      </c>
      <c r="K6" s="4">
        <v>18.0</v>
      </c>
    </row>
    <row r="7">
      <c r="G7" s="4" t="s">
        <v>69</v>
      </c>
      <c r="H7" s="4">
        <v>62.0</v>
      </c>
      <c r="J7" s="4" t="s">
        <v>166</v>
      </c>
      <c r="K7" s="4">
        <v>16.0</v>
      </c>
    </row>
    <row r="8">
      <c r="G8" s="4" t="s">
        <v>39</v>
      </c>
      <c r="H8" s="4">
        <v>57.0</v>
      </c>
      <c r="J8" s="4" t="s">
        <v>130</v>
      </c>
      <c r="K8" s="4">
        <v>15.0</v>
      </c>
    </row>
    <row r="9">
      <c r="G9" s="4" t="s">
        <v>46</v>
      </c>
      <c r="H9" s="4">
        <v>57.0</v>
      </c>
      <c r="J9" s="4" t="s">
        <v>101</v>
      </c>
      <c r="K9" s="4">
        <v>14.0</v>
      </c>
    </row>
    <row r="10">
      <c r="G10" s="4" t="s">
        <v>134</v>
      </c>
      <c r="H10" s="4">
        <v>53.0</v>
      </c>
      <c r="J10" s="4" t="s">
        <v>39</v>
      </c>
      <c r="K10" s="4">
        <v>12.0</v>
      </c>
    </row>
    <row r="11">
      <c r="G11" s="4" t="s">
        <v>54</v>
      </c>
      <c r="H11" s="4">
        <v>51.0</v>
      </c>
      <c r="J11" s="4" t="s">
        <v>156</v>
      </c>
      <c r="K11" s="4">
        <v>11.0</v>
      </c>
    </row>
    <row r="12">
      <c r="G12" s="4" t="s">
        <v>186</v>
      </c>
      <c r="H12" s="4">
        <v>49.0</v>
      </c>
      <c r="J12" s="4" t="s">
        <v>134</v>
      </c>
      <c r="K12" s="4">
        <v>11.0</v>
      </c>
    </row>
    <row r="13">
      <c r="G13" s="4" t="s">
        <v>23</v>
      </c>
      <c r="H13" s="4">
        <v>46.0</v>
      </c>
      <c r="J13" s="4" t="s">
        <v>149</v>
      </c>
      <c r="K13" s="4">
        <v>11.0</v>
      </c>
    </row>
    <row r="14">
      <c r="G14" s="4" t="s">
        <v>114</v>
      </c>
      <c r="H14" s="4">
        <v>45.0</v>
      </c>
      <c r="J14" s="4" t="s">
        <v>73</v>
      </c>
      <c r="K14" s="4">
        <v>11.0</v>
      </c>
    </row>
    <row r="15">
      <c r="G15" s="4" t="s">
        <v>401</v>
      </c>
      <c r="H15" s="4">
        <v>39.0</v>
      </c>
      <c r="J15" s="4" t="s">
        <v>54</v>
      </c>
      <c r="K15" s="4">
        <v>11.0</v>
      </c>
    </row>
    <row r="16">
      <c r="G16" s="4" t="s">
        <v>130</v>
      </c>
      <c r="H16" s="4">
        <v>37.0</v>
      </c>
      <c r="J16" s="4" t="s">
        <v>411</v>
      </c>
      <c r="K16" s="4">
        <v>10.0</v>
      </c>
    </row>
    <row r="17">
      <c r="G17" s="4" t="s">
        <v>320</v>
      </c>
      <c r="H17" s="4">
        <v>36.0</v>
      </c>
      <c r="J17" s="4" t="s">
        <v>313</v>
      </c>
      <c r="K17" s="4">
        <v>10.0</v>
      </c>
    </row>
    <row r="18">
      <c r="G18" s="4" t="s">
        <v>156</v>
      </c>
      <c r="H18" s="4">
        <v>36.0</v>
      </c>
      <c r="J18" s="4" t="s">
        <v>46</v>
      </c>
      <c r="K18" s="4">
        <v>9.0</v>
      </c>
    </row>
    <row r="19">
      <c r="G19" s="4" t="s">
        <v>101</v>
      </c>
      <c r="H19" s="4">
        <v>35.0</v>
      </c>
      <c r="J19" s="4" t="s">
        <v>324</v>
      </c>
      <c r="K19" s="4">
        <v>8.0</v>
      </c>
    </row>
    <row r="20">
      <c r="G20" s="4" t="s">
        <v>94</v>
      </c>
      <c r="H20" s="4">
        <v>35.0</v>
      </c>
      <c r="J20" s="4" t="s">
        <v>162</v>
      </c>
      <c r="K20" s="4">
        <v>7.0</v>
      </c>
    </row>
    <row r="21">
      <c r="G21" s="4" t="s">
        <v>205</v>
      </c>
      <c r="H21" s="4">
        <v>32.0</v>
      </c>
      <c r="J21" s="4" t="s">
        <v>35</v>
      </c>
      <c r="K21" s="4">
        <v>7.0</v>
      </c>
    </row>
    <row r="22">
      <c r="G22" s="4" t="s">
        <v>145</v>
      </c>
      <c r="H22" s="4">
        <v>31.0</v>
      </c>
      <c r="J22" s="4" t="s">
        <v>489</v>
      </c>
      <c r="K22" s="4">
        <v>6.0</v>
      </c>
    </row>
    <row r="23">
      <c r="G23" s="4" t="s">
        <v>35</v>
      </c>
      <c r="H23" s="4">
        <v>30.0</v>
      </c>
      <c r="J23" s="4" t="s">
        <v>50</v>
      </c>
      <c r="K23" s="4">
        <v>6.0</v>
      </c>
    </row>
    <row r="24">
      <c r="G24" s="4" t="s">
        <v>97</v>
      </c>
      <c r="H24" s="4">
        <v>29.0</v>
      </c>
      <c r="J24" s="4" t="s">
        <v>23</v>
      </c>
      <c r="K24" s="4">
        <v>6.0</v>
      </c>
    </row>
    <row r="25">
      <c r="G25" s="4" t="s">
        <v>313</v>
      </c>
      <c r="H25" s="4">
        <v>28.0</v>
      </c>
      <c r="J25" s="4" t="s">
        <v>114</v>
      </c>
      <c r="K25" s="4">
        <v>6.0</v>
      </c>
    </row>
    <row r="26">
      <c r="G26" s="4" t="s">
        <v>80</v>
      </c>
      <c r="H26" s="4">
        <v>27.0</v>
      </c>
      <c r="J26" s="4" t="s">
        <v>278</v>
      </c>
      <c r="K26" s="4">
        <v>6.0</v>
      </c>
    </row>
    <row r="27">
      <c r="G27" s="4" t="s">
        <v>50</v>
      </c>
      <c r="H27" s="4">
        <v>25.0</v>
      </c>
      <c r="J27" s="4" t="s">
        <v>19</v>
      </c>
      <c r="K27" s="4">
        <v>6.0</v>
      </c>
    </row>
    <row r="28">
      <c r="G28" s="4" t="s">
        <v>166</v>
      </c>
      <c r="H28" s="4">
        <v>25.0</v>
      </c>
      <c r="J28" s="4" t="s">
        <v>388</v>
      </c>
      <c r="K28" s="4">
        <v>5.0</v>
      </c>
    </row>
    <row r="29">
      <c r="G29" s="4" t="s">
        <v>411</v>
      </c>
      <c r="H29" s="4">
        <v>22.0</v>
      </c>
      <c r="J29" s="4" t="s">
        <v>97</v>
      </c>
      <c r="K29" s="4">
        <v>5.0</v>
      </c>
    </row>
    <row r="30">
      <c r="G30" s="4" t="s">
        <v>19</v>
      </c>
      <c r="H30" s="4">
        <v>22.0</v>
      </c>
      <c r="J30" s="4" t="s">
        <v>94</v>
      </c>
      <c r="K30" s="4">
        <v>5.0</v>
      </c>
    </row>
    <row r="31">
      <c r="G31" s="4" t="s">
        <v>630</v>
      </c>
      <c r="H31" s="4">
        <v>21.0</v>
      </c>
      <c r="J31" s="4" t="s">
        <v>240</v>
      </c>
      <c r="K31" s="4">
        <v>5.0</v>
      </c>
    </row>
    <row r="32">
      <c r="G32" s="4" t="s">
        <v>170</v>
      </c>
      <c r="H32" s="4">
        <v>20.0</v>
      </c>
      <c r="J32" s="4" t="s">
        <v>69</v>
      </c>
      <c r="K32" s="4">
        <v>4.0</v>
      </c>
    </row>
    <row r="33">
      <c r="G33" s="4" t="s">
        <v>260</v>
      </c>
      <c r="H33" s="4">
        <v>20.0</v>
      </c>
      <c r="J33" s="4" t="s">
        <v>31</v>
      </c>
      <c r="K33" s="4">
        <v>4.0</v>
      </c>
    </row>
    <row r="34">
      <c r="G34" s="4" t="s">
        <v>278</v>
      </c>
      <c r="H34" s="4">
        <v>19.0</v>
      </c>
      <c r="J34" s="4" t="s">
        <v>170</v>
      </c>
      <c r="K34" s="4">
        <v>4.0</v>
      </c>
    </row>
    <row r="35">
      <c r="G35" s="4" t="s">
        <v>73</v>
      </c>
      <c r="H35" s="4">
        <v>18.0</v>
      </c>
      <c r="J35" s="4" t="s">
        <v>630</v>
      </c>
      <c r="K35" s="4">
        <v>4.0</v>
      </c>
    </row>
    <row r="36">
      <c r="G36" s="4" t="s">
        <v>388</v>
      </c>
      <c r="H36" s="4">
        <v>17.0</v>
      </c>
      <c r="J36" s="4" t="s">
        <v>80</v>
      </c>
      <c r="K36" s="4">
        <v>3.0</v>
      </c>
    </row>
    <row r="37">
      <c r="G37" s="4" t="s">
        <v>31</v>
      </c>
      <c r="H37" s="4">
        <v>17.0</v>
      </c>
      <c r="J37" s="4" t="s">
        <v>212</v>
      </c>
      <c r="K37" s="4">
        <v>3.0</v>
      </c>
    </row>
    <row r="38">
      <c r="G38" s="4" t="s">
        <v>282</v>
      </c>
      <c r="H38" s="4">
        <v>16.0</v>
      </c>
      <c r="J38" s="4" t="s">
        <v>320</v>
      </c>
      <c r="K38" s="4">
        <v>3.0</v>
      </c>
    </row>
    <row r="39">
      <c r="G39" s="4" t="s">
        <v>367</v>
      </c>
      <c r="H39" s="4">
        <v>14.0</v>
      </c>
      <c r="J39" s="4" t="s">
        <v>145</v>
      </c>
      <c r="K39" s="4">
        <v>3.0</v>
      </c>
    </row>
    <row r="40">
      <c r="G40" s="4" t="s">
        <v>324</v>
      </c>
      <c r="H40" s="4">
        <v>13.0</v>
      </c>
      <c r="J40" s="4" t="s">
        <v>367</v>
      </c>
      <c r="K40" s="4">
        <v>3.0</v>
      </c>
    </row>
    <row r="41">
      <c r="G41" s="4" t="s">
        <v>162</v>
      </c>
      <c r="H41" s="4">
        <v>12.0</v>
      </c>
      <c r="J41" s="4" t="s">
        <v>205</v>
      </c>
      <c r="K41" s="4">
        <v>2.0</v>
      </c>
    </row>
    <row r="42">
      <c r="G42" s="4" t="s">
        <v>240</v>
      </c>
      <c r="H42" s="4">
        <v>12.0</v>
      </c>
      <c r="J42" s="4" t="s">
        <v>401</v>
      </c>
      <c r="K42" s="4">
        <v>2.0</v>
      </c>
    </row>
    <row r="43">
      <c r="G43" s="4" t="s">
        <v>138</v>
      </c>
      <c r="H43" s="4">
        <v>11.0</v>
      </c>
      <c r="J43" s="4" t="s">
        <v>2038</v>
      </c>
      <c r="K43" s="4">
        <v>2.0</v>
      </c>
    </row>
    <row r="44">
      <c r="G44" s="4" t="s">
        <v>247</v>
      </c>
      <c r="H44" s="4">
        <v>11.0</v>
      </c>
      <c r="J44" s="4" t="s">
        <v>1768</v>
      </c>
      <c r="K44" s="4">
        <v>1.0</v>
      </c>
    </row>
    <row r="45">
      <c r="G45" s="4" t="s">
        <v>874</v>
      </c>
      <c r="H45" s="4">
        <v>10.0</v>
      </c>
      <c r="J45" s="4" t="s">
        <v>2397</v>
      </c>
      <c r="K45" s="4">
        <v>1.0</v>
      </c>
    </row>
    <row r="46">
      <c r="G46" s="4" t="s">
        <v>435</v>
      </c>
      <c r="H46" s="4">
        <v>10.0</v>
      </c>
      <c r="J46" s="4" t="s">
        <v>282</v>
      </c>
      <c r="K46" s="4">
        <v>1.0</v>
      </c>
    </row>
    <row r="47">
      <c r="G47" s="4" t="s">
        <v>212</v>
      </c>
      <c r="H47" s="4">
        <v>8.0</v>
      </c>
      <c r="J47" s="4" t="s">
        <v>874</v>
      </c>
      <c r="K47" s="4">
        <v>1.0</v>
      </c>
    </row>
    <row r="48">
      <c r="G48" s="4" t="s">
        <v>179</v>
      </c>
      <c r="H48" s="4">
        <v>8.0</v>
      </c>
      <c r="J48" s="4" t="s">
        <v>435</v>
      </c>
      <c r="K48" s="4">
        <v>1.0</v>
      </c>
    </row>
    <row r="49">
      <c r="G49" s="4" t="s">
        <v>489</v>
      </c>
      <c r="H49" s="4">
        <v>6.0</v>
      </c>
      <c r="J49" s="4" t="s">
        <v>247</v>
      </c>
      <c r="K49" s="4">
        <v>1.0</v>
      </c>
    </row>
    <row r="50">
      <c r="G50" s="4" t="s">
        <v>856</v>
      </c>
      <c r="H50" s="4">
        <v>6.0</v>
      </c>
      <c r="J50" s="4" t="s">
        <v>429</v>
      </c>
      <c r="K50" s="4">
        <v>1.0</v>
      </c>
    </row>
    <row r="51">
      <c r="G51" s="4" t="s">
        <v>2397</v>
      </c>
      <c r="H51" s="4">
        <v>6.0</v>
      </c>
    </row>
    <row r="52">
      <c r="G52" s="4" t="s">
        <v>1768</v>
      </c>
      <c r="H52" s="4">
        <v>5.0</v>
      </c>
    </row>
    <row r="53">
      <c r="G53" s="4" t="s">
        <v>2038</v>
      </c>
      <c r="H53" s="4">
        <v>4.0</v>
      </c>
    </row>
    <row r="54">
      <c r="G54" s="4" t="s">
        <v>429</v>
      </c>
      <c r="H54" s="4">
        <v>3.0</v>
      </c>
    </row>
    <row r="55">
      <c r="G55" s="4" t="s">
        <v>1412</v>
      </c>
      <c r="H55" s="4">
        <v>3.0</v>
      </c>
    </row>
    <row r="56">
      <c r="G56" s="4" t="s">
        <v>1253</v>
      </c>
      <c r="H56" s="4">
        <v>2.0</v>
      </c>
    </row>
    <row r="57">
      <c r="G57" s="4" t="s">
        <v>3366</v>
      </c>
      <c r="H57" s="4">
        <v>2.0</v>
      </c>
    </row>
    <row r="58">
      <c r="G58" s="4" t="s">
        <v>1981</v>
      </c>
      <c r="H58" s="4">
        <v>2.0</v>
      </c>
    </row>
    <row r="59">
      <c r="G59" s="4" t="s">
        <v>3376</v>
      </c>
      <c r="H59" s="4">
        <v>1.0</v>
      </c>
    </row>
    <row r="60">
      <c r="G60" s="4" t="s">
        <v>3373</v>
      </c>
      <c r="H60" s="4">
        <v>1.0</v>
      </c>
    </row>
    <row r="61"/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20.43"/>
  </cols>
  <sheetData>
    <row r="1">
      <c r="A1" s="12" t="s">
        <v>3865</v>
      </c>
      <c r="B1" s="1" t="s">
        <v>3873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3874</v>
      </c>
      <c r="B2" s="4" t="str">
        <f t="shared" ref="B2:B1547" si="1">MID(A2,1,2)</f>
        <v>16</v>
      </c>
    </row>
    <row r="3">
      <c r="A3" s="4" t="s">
        <v>3874</v>
      </c>
      <c r="B3" s="4" t="str">
        <f t="shared" si="1"/>
        <v>16</v>
      </c>
    </row>
    <row r="4">
      <c r="A4" s="4" t="s">
        <v>3876</v>
      </c>
      <c r="B4" s="4" t="str">
        <f t="shared" si="1"/>
        <v>13</v>
      </c>
    </row>
    <row r="5">
      <c r="A5" s="4" t="s">
        <v>3878</v>
      </c>
      <c r="B5" s="4" t="str">
        <f t="shared" si="1"/>
        <v>18</v>
      </c>
    </row>
    <row r="6">
      <c r="A6" s="4" t="s">
        <v>3878</v>
      </c>
      <c r="B6" s="4" t="str">
        <f t="shared" si="1"/>
        <v>18</v>
      </c>
    </row>
    <row r="7">
      <c r="A7" s="4" t="s">
        <v>3881</v>
      </c>
      <c r="B7" s="4" t="str">
        <f t="shared" si="1"/>
        <v>13</v>
      </c>
    </row>
    <row r="8">
      <c r="A8" s="4" t="s">
        <v>3883</v>
      </c>
      <c r="B8" s="4" t="str">
        <f t="shared" si="1"/>
        <v>07</v>
      </c>
    </row>
    <row r="9">
      <c r="A9" s="4" t="s">
        <v>3885</v>
      </c>
      <c r="B9" s="4" t="str">
        <f t="shared" si="1"/>
        <v>04</v>
      </c>
    </row>
    <row r="10">
      <c r="A10" s="4" t="s">
        <v>3885</v>
      </c>
      <c r="B10" s="4" t="str">
        <f t="shared" si="1"/>
        <v>04</v>
      </c>
    </row>
    <row r="11">
      <c r="A11" s="4" t="s">
        <v>3888</v>
      </c>
      <c r="B11" s="4" t="str">
        <f t="shared" si="1"/>
        <v>14</v>
      </c>
    </row>
    <row r="12">
      <c r="A12" s="4" t="s">
        <v>3890</v>
      </c>
      <c r="B12" s="4" t="str">
        <f t="shared" si="1"/>
        <v>14</v>
      </c>
    </row>
    <row r="13">
      <c r="A13" s="4" t="s">
        <v>3892</v>
      </c>
      <c r="B13" s="4" t="str">
        <f t="shared" si="1"/>
        <v>15</v>
      </c>
    </row>
    <row r="14">
      <c r="A14" s="4" t="s">
        <v>3894</v>
      </c>
      <c r="B14" s="4" t="str">
        <f t="shared" si="1"/>
        <v>13</v>
      </c>
    </row>
    <row r="15">
      <c r="A15" s="4" t="s">
        <v>3896</v>
      </c>
      <c r="B15" s="4" t="str">
        <f t="shared" si="1"/>
        <v>14</v>
      </c>
    </row>
    <row r="16">
      <c r="A16" s="4" t="s">
        <v>3898</v>
      </c>
      <c r="B16" s="4" t="str">
        <f t="shared" si="1"/>
        <v>14</v>
      </c>
    </row>
    <row r="17">
      <c r="A17" s="4" t="s">
        <v>3900</v>
      </c>
      <c r="B17" s="4" t="str">
        <f t="shared" si="1"/>
        <v>16</v>
      </c>
    </row>
    <row r="18">
      <c r="A18" s="4" t="s">
        <v>3874</v>
      </c>
      <c r="B18" s="4" t="str">
        <f t="shared" si="1"/>
        <v>16</v>
      </c>
    </row>
    <row r="19">
      <c r="A19" s="4" t="s">
        <v>3874</v>
      </c>
      <c r="B19" s="4" t="str">
        <f t="shared" si="1"/>
        <v>16</v>
      </c>
    </row>
    <row r="20">
      <c r="A20" s="4" t="s">
        <v>3904</v>
      </c>
      <c r="B20" s="4" t="str">
        <f t="shared" si="1"/>
        <v>14</v>
      </c>
    </row>
    <row r="21">
      <c r="A21" s="4" t="s">
        <v>3906</v>
      </c>
      <c r="B21" s="4" t="str">
        <f t="shared" si="1"/>
        <v>02</v>
      </c>
    </row>
    <row r="22">
      <c r="A22" s="4" t="s">
        <v>3908</v>
      </c>
      <c r="B22" s="4" t="str">
        <f t="shared" si="1"/>
        <v>18</v>
      </c>
    </row>
    <row r="23">
      <c r="A23" s="4" t="s">
        <v>3910</v>
      </c>
      <c r="B23" s="4" t="str">
        <f t="shared" si="1"/>
        <v>16</v>
      </c>
    </row>
    <row r="24">
      <c r="A24" s="4" t="s">
        <v>3912</v>
      </c>
      <c r="B24" s="4" t="str">
        <f t="shared" si="1"/>
        <v>14</v>
      </c>
    </row>
    <row r="25">
      <c r="A25" s="4" t="s">
        <v>3914</v>
      </c>
      <c r="B25" s="4" t="str">
        <f t="shared" si="1"/>
        <v>15</v>
      </c>
    </row>
    <row r="26">
      <c r="A26" s="4" t="s">
        <v>3916</v>
      </c>
      <c r="B26" s="4" t="str">
        <f t="shared" si="1"/>
        <v>15</v>
      </c>
    </row>
    <row r="27">
      <c r="A27" s="4" t="s">
        <v>3918</v>
      </c>
      <c r="B27" s="4" t="str">
        <f t="shared" si="1"/>
        <v>04</v>
      </c>
    </row>
    <row r="28">
      <c r="A28" s="4" t="s">
        <v>3920</v>
      </c>
      <c r="B28" s="4" t="str">
        <f t="shared" si="1"/>
        <v>12</v>
      </c>
    </row>
    <row r="29">
      <c r="A29" s="4" t="s">
        <v>3921</v>
      </c>
      <c r="B29" s="4" t="str">
        <f t="shared" si="1"/>
        <v>10</v>
      </c>
    </row>
    <row r="30">
      <c r="A30" s="4" t="s">
        <v>3922</v>
      </c>
      <c r="B30" s="4" t="str">
        <f t="shared" si="1"/>
        <v>13</v>
      </c>
    </row>
    <row r="31">
      <c r="A31" s="4" t="s">
        <v>3916</v>
      </c>
      <c r="B31" s="4" t="str">
        <f t="shared" si="1"/>
        <v>15</v>
      </c>
    </row>
    <row r="32">
      <c r="A32" s="4" t="s">
        <v>3923</v>
      </c>
      <c r="B32" s="4" t="str">
        <f t="shared" si="1"/>
        <v>17</v>
      </c>
    </row>
    <row r="33">
      <c r="A33" s="4" t="s">
        <v>3924</v>
      </c>
      <c r="B33" s="4" t="str">
        <f t="shared" si="1"/>
        <v>16</v>
      </c>
    </row>
    <row r="34">
      <c r="A34" s="4" t="s">
        <v>3925</v>
      </c>
      <c r="B34" s="4" t="str">
        <f t="shared" si="1"/>
        <v>15</v>
      </c>
    </row>
    <row r="35">
      <c r="A35" s="4" t="s">
        <v>3926</v>
      </c>
      <c r="B35" s="4" t="str">
        <f t="shared" si="1"/>
        <v>16</v>
      </c>
    </row>
    <row r="36">
      <c r="A36" s="4" t="s">
        <v>3927</v>
      </c>
      <c r="B36" s="4" t="str">
        <f t="shared" si="1"/>
        <v>19</v>
      </c>
    </row>
    <row r="37">
      <c r="A37" s="4" t="s">
        <v>3928</v>
      </c>
      <c r="B37" s="4" t="str">
        <f t="shared" si="1"/>
        <v>12</v>
      </c>
    </row>
    <row r="38">
      <c r="A38" s="4" t="s">
        <v>3914</v>
      </c>
      <c r="B38" s="4" t="str">
        <f t="shared" si="1"/>
        <v>15</v>
      </c>
    </row>
    <row r="39">
      <c r="A39" s="4" t="s">
        <v>3929</v>
      </c>
      <c r="B39" s="4" t="str">
        <f t="shared" si="1"/>
        <v>14</v>
      </c>
    </row>
    <row r="40">
      <c r="A40" s="4" t="s">
        <v>3930</v>
      </c>
      <c r="B40" s="4" t="str">
        <f t="shared" si="1"/>
        <v>14</v>
      </c>
    </row>
    <row r="41">
      <c r="A41" s="4" t="s">
        <v>3874</v>
      </c>
      <c r="B41" s="4" t="str">
        <f t="shared" si="1"/>
        <v>16</v>
      </c>
    </row>
    <row r="42">
      <c r="A42" s="4" t="s">
        <v>3931</v>
      </c>
      <c r="B42" s="4" t="str">
        <f t="shared" si="1"/>
        <v>16</v>
      </c>
    </row>
    <row r="43">
      <c r="A43" s="4" t="s">
        <v>3932</v>
      </c>
      <c r="B43" s="4" t="str">
        <f t="shared" si="1"/>
        <v>11</v>
      </c>
    </row>
    <row r="44">
      <c r="A44" s="4" t="s">
        <v>3933</v>
      </c>
      <c r="B44" s="4" t="str">
        <f t="shared" si="1"/>
        <v>14</v>
      </c>
    </row>
    <row r="45">
      <c r="A45" s="4" t="s">
        <v>3934</v>
      </c>
      <c r="B45" s="4" t="str">
        <f t="shared" si="1"/>
        <v>18</v>
      </c>
    </row>
    <row r="46">
      <c r="A46" s="4" t="s">
        <v>3935</v>
      </c>
      <c r="B46" s="4" t="str">
        <f t="shared" si="1"/>
        <v>03</v>
      </c>
    </row>
    <row r="47">
      <c r="A47" s="4" t="s">
        <v>3936</v>
      </c>
      <c r="B47" s="4" t="str">
        <f t="shared" si="1"/>
        <v>15</v>
      </c>
    </row>
    <row r="48">
      <c r="A48" s="4" t="s">
        <v>3937</v>
      </c>
      <c r="B48" s="4" t="str">
        <f t="shared" si="1"/>
        <v>05</v>
      </c>
    </row>
    <row r="49">
      <c r="A49" s="4" t="s">
        <v>3938</v>
      </c>
      <c r="B49" s="4" t="str">
        <f t="shared" si="1"/>
        <v>15</v>
      </c>
    </row>
    <row r="50">
      <c r="A50" s="4" t="s">
        <v>3939</v>
      </c>
      <c r="B50" s="4" t="str">
        <f t="shared" si="1"/>
        <v>12</v>
      </c>
    </row>
    <row r="51">
      <c r="A51" s="4" t="s">
        <v>3940</v>
      </c>
      <c r="B51" s="4" t="str">
        <f t="shared" si="1"/>
        <v>12</v>
      </c>
    </row>
    <row r="52">
      <c r="A52" s="4" t="s">
        <v>3890</v>
      </c>
      <c r="B52" s="4" t="str">
        <f t="shared" si="1"/>
        <v>14</v>
      </c>
    </row>
    <row r="53">
      <c r="A53" s="4" t="s">
        <v>3941</v>
      </c>
      <c r="B53" s="4" t="str">
        <f t="shared" si="1"/>
        <v>18</v>
      </c>
    </row>
    <row r="54">
      <c r="A54" s="4" t="s">
        <v>3942</v>
      </c>
      <c r="B54" s="4" t="str">
        <f t="shared" si="1"/>
        <v>22</v>
      </c>
    </row>
    <row r="55">
      <c r="A55" s="4" t="s">
        <v>3943</v>
      </c>
      <c r="B55" s="4" t="str">
        <f t="shared" si="1"/>
        <v>13</v>
      </c>
    </row>
    <row r="56">
      <c r="A56" s="4" t="s">
        <v>3944</v>
      </c>
      <c r="B56" s="4" t="str">
        <f t="shared" si="1"/>
        <v>14</v>
      </c>
    </row>
    <row r="57">
      <c r="A57" s="4" t="s">
        <v>3945</v>
      </c>
      <c r="B57" s="4" t="str">
        <f t="shared" si="1"/>
        <v>20</v>
      </c>
    </row>
    <row r="58">
      <c r="A58" s="4" t="s">
        <v>3946</v>
      </c>
      <c r="B58" s="4" t="str">
        <f t="shared" si="1"/>
        <v>16</v>
      </c>
    </row>
    <row r="59">
      <c r="A59" s="4" t="s">
        <v>3947</v>
      </c>
      <c r="B59" s="4" t="str">
        <f t="shared" si="1"/>
        <v>15</v>
      </c>
    </row>
    <row r="60">
      <c r="A60" s="4" t="s">
        <v>3938</v>
      </c>
      <c r="B60" s="4" t="str">
        <f t="shared" si="1"/>
        <v>15</v>
      </c>
    </row>
    <row r="61">
      <c r="A61" s="4" t="s">
        <v>3948</v>
      </c>
      <c r="B61" s="4" t="str">
        <f t="shared" si="1"/>
        <v>08</v>
      </c>
    </row>
    <row r="62">
      <c r="A62" s="4" t="s">
        <v>3949</v>
      </c>
      <c r="B62" s="4" t="str">
        <f t="shared" si="1"/>
        <v>12</v>
      </c>
    </row>
    <row r="63">
      <c r="A63" s="4" t="s">
        <v>3950</v>
      </c>
      <c r="B63" s="4" t="str">
        <f t="shared" si="1"/>
        <v>13</v>
      </c>
    </row>
    <row r="64">
      <c r="A64" s="4" t="s">
        <v>3951</v>
      </c>
      <c r="B64" s="4" t="str">
        <f t="shared" si="1"/>
        <v>17</v>
      </c>
    </row>
    <row r="65">
      <c r="A65" s="4" t="s">
        <v>3952</v>
      </c>
      <c r="B65" s="4" t="str">
        <f t="shared" si="1"/>
        <v>13</v>
      </c>
    </row>
    <row r="66">
      <c r="A66" s="4" t="s">
        <v>3953</v>
      </c>
      <c r="B66" s="4" t="str">
        <f t="shared" si="1"/>
        <v>13</v>
      </c>
    </row>
    <row r="67">
      <c r="A67" s="4" t="s">
        <v>3898</v>
      </c>
      <c r="B67" s="4" t="str">
        <f t="shared" si="1"/>
        <v>14</v>
      </c>
    </row>
    <row r="68">
      <c r="A68" s="4" t="s">
        <v>3954</v>
      </c>
      <c r="B68" s="4" t="str">
        <f t="shared" si="1"/>
        <v>23</v>
      </c>
    </row>
    <row r="69">
      <c r="A69" s="4" t="s">
        <v>3950</v>
      </c>
      <c r="B69" s="4" t="str">
        <f t="shared" si="1"/>
        <v>13</v>
      </c>
    </row>
    <row r="70">
      <c r="A70" s="4" t="s">
        <v>3904</v>
      </c>
      <c r="B70" s="4" t="str">
        <f t="shared" si="1"/>
        <v>14</v>
      </c>
    </row>
    <row r="71">
      <c r="A71" s="4" t="s">
        <v>3955</v>
      </c>
      <c r="B71" s="4" t="str">
        <f t="shared" si="1"/>
        <v>17</v>
      </c>
    </row>
    <row r="72">
      <c r="A72" s="4" t="s">
        <v>3956</v>
      </c>
      <c r="B72" s="4" t="str">
        <f t="shared" si="1"/>
        <v>23</v>
      </c>
    </row>
    <row r="73">
      <c r="A73" s="4" t="s">
        <v>3957</v>
      </c>
      <c r="B73" s="4" t="str">
        <f t="shared" si="1"/>
        <v>16</v>
      </c>
    </row>
    <row r="74">
      <c r="A74" s="4" t="s">
        <v>3958</v>
      </c>
      <c r="B74" s="4" t="str">
        <f t="shared" si="1"/>
        <v>16</v>
      </c>
    </row>
    <row r="75">
      <c r="A75" s="4" t="s">
        <v>3959</v>
      </c>
      <c r="B75" s="4" t="str">
        <f t="shared" si="1"/>
        <v>04</v>
      </c>
    </row>
    <row r="76">
      <c r="A76" s="4" t="s">
        <v>3960</v>
      </c>
      <c r="B76" s="4" t="str">
        <f t="shared" si="1"/>
        <v>12</v>
      </c>
    </row>
    <row r="77">
      <c r="A77" s="4" t="s">
        <v>3961</v>
      </c>
      <c r="B77" s="4" t="str">
        <f t="shared" si="1"/>
        <v>14</v>
      </c>
    </row>
    <row r="78">
      <c r="A78" s="4" t="s">
        <v>3962</v>
      </c>
      <c r="B78" s="4" t="str">
        <f t="shared" si="1"/>
        <v>11</v>
      </c>
    </row>
    <row r="79">
      <c r="A79" s="4" t="s">
        <v>3963</v>
      </c>
      <c r="B79" s="4" t="str">
        <f t="shared" si="1"/>
        <v>13</v>
      </c>
    </row>
    <row r="80">
      <c r="A80" s="4" t="s">
        <v>3964</v>
      </c>
      <c r="B80" s="4" t="str">
        <f t="shared" si="1"/>
        <v>16</v>
      </c>
    </row>
    <row r="81">
      <c r="A81" s="4" t="s">
        <v>3965</v>
      </c>
      <c r="B81" s="4" t="str">
        <f t="shared" si="1"/>
        <v>13</v>
      </c>
    </row>
    <row r="82">
      <c r="A82" s="4" t="s">
        <v>3938</v>
      </c>
      <c r="B82" s="4" t="str">
        <f t="shared" si="1"/>
        <v>15</v>
      </c>
    </row>
    <row r="83">
      <c r="A83" s="4" t="s">
        <v>3966</v>
      </c>
      <c r="B83" s="4" t="str">
        <f t="shared" si="1"/>
        <v>13</v>
      </c>
    </row>
    <row r="84">
      <c r="A84" s="4" t="s">
        <v>3933</v>
      </c>
      <c r="B84" s="4" t="str">
        <f t="shared" si="1"/>
        <v>14</v>
      </c>
    </row>
    <row r="85">
      <c r="A85" s="4" t="s">
        <v>3967</v>
      </c>
      <c r="B85" s="4" t="str">
        <f t="shared" si="1"/>
        <v>18</v>
      </c>
    </row>
    <row r="86">
      <c r="A86" s="4" t="s">
        <v>3968</v>
      </c>
      <c r="B86" s="4" t="str">
        <f t="shared" si="1"/>
        <v>11</v>
      </c>
    </row>
    <row r="87">
      <c r="A87" s="4" t="s">
        <v>3969</v>
      </c>
      <c r="B87" s="4" t="str">
        <f t="shared" si="1"/>
        <v>14</v>
      </c>
    </row>
    <row r="88">
      <c r="A88" s="4" t="s">
        <v>3970</v>
      </c>
      <c r="B88" s="4" t="str">
        <f t="shared" si="1"/>
        <v>07</v>
      </c>
    </row>
    <row r="89">
      <c r="A89" s="4" t="s">
        <v>3971</v>
      </c>
      <c r="B89" s="4" t="str">
        <f t="shared" si="1"/>
        <v>10</v>
      </c>
    </row>
    <row r="90">
      <c r="A90" s="4" t="s">
        <v>3912</v>
      </c>
      <c r="B90" s="4" t="str">
        <f t="shared" si="1"/>
        <v>14</v>
      </c>
    </row>
    <row r="91">
      <c r="A91" s="4" t="s">
        <v>3936</v>
      </c>
      <c r="B91" s="4" t="str">
        <f t="shared" si="1"/>
        <v>15</v>
      </c>
    </row>
    <row r="92">
      <c r="A92" s="4" t="s">
        <v>3938</v>
      </c>
      <c r="B92" s="4" t="str">
        <f t="shared" si="1"/>
        <v>15</v>
      </c>
    </row>
    <row r="93">
      <c r="A93" s="4" t="s">
        <v>3972</v>
      </c>
      <c r="B93" s="4" t="str">
        <f t="shared" si="1"/>
        <v>16</v>
      </c>
    </row>
    <row r="94">
      <c r="A94" s="4" t="s">
        <v>3973</v>
      </c>
      <c r="B94" s="4" t="str">
        <f t="shared" si="1"/>
        <v>01</v>
      </c>
    </row>
    <row r="95">
      <c r="A95" s="4" t="s">
        <v>3974</v>
      </c>
      <c r="B95" s="4" t="str">
        <f t="shared" si="1"/>
        <v>10</v>
      </c>
    </row>
    <row r="96">
      <c r="A96" s="4" t="s">
        <v>3975</v>
      </c>
      <c r="B96" s="4" t="str">
        <f t="shared" si="1"/>
        <v>15</v>
      </c>
    </row>
    <row r="97">
      <c r="A97" s="4" t="s">
        <v>3976</v>
      </c>
      <c r="B97" s="4" t="str">
        <f t="shared" si="1"/>
        <v>11</v>
      </c>
    </row>
    <row r="98">
      <c r="A98" s="4" t="s">
        <v>3977</v>
      </c>
      <c r="B98" s="4" t="str">
        <f t="shared" si="1"/>
        <v>14</v>
      </c>
    </row>
    <row r="99">
      <c r="A99" s="4" t="s">
        <v>3978</v>
      </c>
      <c r="B99" s="4" t="str">
        <f t="shared" si="1"/>
        <v>15</v>
      </c>
    </row>
    <row r="100">
      <c r="A100" s="4" t="s">
        <v>3958</v>
      </c>
      <c r="B100" s="4" t="str">
        <f t="shared" si="1"/>
        <v>16</v>
      </c>
    </row>
    <row r="101">
      <c r="A101" s="4" t="s">
        <v>3979</v>
      </c>
      <c r="B101" s="4" t="str">
        <f t="shared" si="1"/>
        <v>17</v>
      </c>
    </row>
    <row r="102">
      <c r="A102" s="4" t="s">
        <v>3980</v>
      </c>
      <c r="B102" s="4" t="str">
        <f t="shared" si="1"/>
        <v>07</v>
      </c>
    </row>
    <row r="103">
      <c r="A103" s="4" t="s">
        <v>3981</v>
      </c>
      <c r="B103" s="4" t="str">
        <f t="shared" si="1"/>
        <v>17</v>
      </c>
    </row>
    <row r="104">
      <c r="A104" s="4" t="s">
        <v>3982</v>
      </c>
      <c r="B104" s="4" t="str">
        <f t="shared" si="1"/>
        <v>18</v>
      </c>
    </row>
    <row r="105">
      <c r="A105" s="4" t="s">
        <v>3983</v>
      </c>
      <c r="B105" s="4" t="str">
        <f t="shared" si="1"/>
        <v>12</v>
      </c>
    </row>
    <row r="106">
      <c r="A106" s="4" t="s">
        <v>3984</v>
      </c>
      <c r="B106" s="4" t="str">
        <f t="shared" si="1"/>
        <v>12</v>
      </c>
    </row>
    <row r="107">
      <c r="A107" s="4" t="s">
        <v>3985</v>
      </c>
      <c r="B107" s="4" t="str">
        <f t="shared" si="1"/>
        <v>13</v>
      </c>
    </row>
    <row r="108">
      <c r="A108" s="4" t="s">
        <v>3950</v>
      </c>
      <c r="B108" s="4" t="str">
        <f t="shared" si="1"/>
        <v>13</v>
      </c>
    </row>
    <row r="109">
      <c r="A109" s="4" t="s">
        <v>3986</v>
      </c>
      <c r="B109" s="4" t="str">
        <f t="shared" si="1"/>
        <v>15</v>
      </c>
    </row>
    <row r="110">
      <c r="A110" s="4" t="s">
        <v>3987</v>
      </c>
      <c r="B110" s="4" t="str">
        <f t="shared" si="1"/>
        <v>11</v>
      </c>
    </row>
    <row r="111">
      <c r="A111" s="4" t="s">
        <v>3988</v>
      </c>
      <c r="B111" s="4" t="str">
        <f t="shared" si="1"/>
        <v>13</v>
      </c>
    </row>
    <row r="112">
      <c r="A112" s="4" t="s">
        <v>3958</v>
      </c>
      <c r="B112" s="4" t="str">
        <f t="shared" si="1"/>
        <v>16</v>
      </c>
    </row>
    <row r="113">
      <c r="A113" s="4" t="s">
        <v>3989</v>
      </c>
      <c r="B113" s="4" t="str">
        <f t="shared" si="1"/>
        <v>16</v>
      </c>
    </row>
    <row r="114">
      <c r="A114" s="4" t="s">
        <v>3990</v>
      </c>
      <c r="B114" s="4" t="str">
        <f t="shared" si="1"/>
        <v>16</v>
      </c>
    </row>
    <row r="115">
      <c r="A115" s="4" t="s">
        <v>3991</v>
      </c>
      <c r="B115" s="4" t="str">
        <f t="shared" si="1"/>
        <v>22</v>
      </c>
    </row>
    <row r="116">
      <c r="A116" s="4" t="s">
        <v>3992</v>
      </c>
      <c r="B116" s="4" t="str">
        <f t="shared" si="1"/>
        <v>13</v>
      </c>
    </row>
    <row r="117">
      <c r="A117" s="4" t="s">
        <v>3993</v>
      </c>
      <c r="B117" s="4" t="str">
        <f t="shared" si="1"/>
        <v>14</v>
      </c>
    </row>
    <row r="118">
      <c r="A118" s="4" t="s">
        <v>3994</v>
      </c>
      <c r="B118" s="4" t="str">
        <f t="shared" si="1"/>
        <v>12</v>
      </c>
    </row>
    <row r="119">
      <c r="A119" s="4" t="s">
        <v>3995</v>
      </c>
      <c r="B119" s="4" t="str">
        <f t="shared" si="1"/>
        <v>13</v>
      </c>
    </row>
    <row r="120">
      <c r="A120" s="4" t="s">
        <v>3996</v>
      </c>
      <c r="B120" s="4" t="str">
        <f t="shared" si="1"/>
        <v>15</v>
      </c>
    </row>
    <row r="121">
      <c r="A121" s="4" t="s">
        <v>3997</v>
      </c>
      <c r="B121" s="4" t="str">
        <f t="shared" si="1"/>
        <v>16</v>
      </c>
    </row>
    <row r="122">
      <c r="A122" s="4" t="s">
        <v>3998</v>
      </c>
      <c r="B122" s="4" t="str">
        <f t="shared" si="1"/>
        <v>16</v>
      </c>
    </row>
    <row r="123">
      <c r="A123" s="4" t="s">
        <v>3999</v>
      </c>
      <c r="B123" s="4" t="str">
        <f t="shared" si="1"/>
        <v>09</v>
      </c>
    </row>
    <row r="124">
      <c r="A124" s="4" t="s">
        <v>4000</v>
      </c>
      <c r="B124" s="4" t="str">
        <f t="shared" si="1"/>
        <v>11</v>
      </c>
    </row>
    <row r="125">
      <c r="A125" s="4" t="s">
        <v>4001</v>
      </c>
      <c r="B125" s="4" t="str">
        <f t="shared" si="1"/>
        <v>12</v>
      </c>
    </row>
    <row r="126">
      <c r="A126" s="4" t="s">
        <v>3966</v>
      </c>
      <c r="B126" s="4" t="str">
        <f t="shared" si="1"/>
        <v>13</v>
      </c>
    </row>
    <row r="127">
      <c r="A127" s="4" t="s">
        <v>3892</v>
      </c>
      <c r="B127" s="4" t="str">
        <f t="shared" si="1"/>
        <v>15</v>
      </c>
    </row>
    <row r="128">
      <c r="A128" s="4" t="s">
        <v>4002</v>
      </c>
      <c r="B128" s="4" t="str">
        <f t="shared" si="1"/>
        <v>21</v>
      </c>
    </row>
    <row r="129">
      <c r="A129" s="4" t="s">
        <v>4003</v>
      </c>
      <c r="B129" s="4" t="str">
        <f t="shared" si="1"/>
        <v>08</v>
      </c>
    </row>
    <row r="130">
      <c r="A130" s="4" t="s">
        <v>4004</v>
      </c>
      <c r="B130" s="4" t="str">
        <f t="shared" si="1"/>
        <v>13</v>
      </c>
    </row>
    <row r="131">
      <c r="A131" s="4" t="s">
        <v>4005</v>
      </c>
      <c r="B131" s="4" t="str">
        <f t="shared" si="1"/>
        <v>14</v>
      </c>
    </row>
    <row r="132">
      <c r="A132" s="4" t="s">
        <v>4006</v>
      </c>
      <c r="B132" s="4" t="str">
        <f t="shared" si="1"/>
        <v>15</v>
      </c>
    </row>
    <row r="133">
      <c r="A133" s="4" t="s">
        <v>4007</v>
      </c>
      <c r="B133" s="4" t="str">
        <f t="shared" si="1"/>
        <v>16</v>
      </c>
    </row>
    <row r="134">
      <c r="A134" s="4" t="s">
        <v>4008</v>
      </c>
      <c r="B134" s="4" t="str">
        <f t="shared" si="1"/>
        <v>16</v>
      </c>
    </row>
    <row r="135">
      <c r="A135" s="4" t="s">
        <v>3972</v>
      </c>
      <c r="B135" s="4" t="str">
        <f t="shared" si="1"/>
        <v>16</v>
      </c>
    </row>
    <row r="136">
      <c r="A136" s="4" t="s">
        <v>4009</v>
      </c>
      <c r="B136" s="4" t="str">
        <f t="shared" si="1"/>
        <v>18</v>
      </c>
    </row>
    <row r="137">
      <c r="A137" s="4" t="s">
        <v>4010</v>
      </c>
      <c r="B137" s="4" t="str">
        <f t="shared" si="1"/>
        <v>04</v>
      </c>
    </row>
    <row r="138">
      <c r="A138" s="4" t="s">
        <v>4011</v>
      </c>
      <c r="B138" s="4" t="str">
        <f t="shared" si="1"/>
        <v>12</v>
      </c>
    </row>
    <row r="139">
      <c r="A139" s="4" t="s">
        <v>4012</v>
      </c>
      <c r="B139" s="4" t="str">
        <f t="shared" si="1"/>
        <v>15</v>
      </c>
    </row>
    <row r="140">
      <c r="A140" s="4" t="s">
        <v>4013</v>
      </c>
      <c r="B140" s="4" t="str">
        <f t="shared" si="1"/>
        <v>16</v>
      </c>
    </row>
    <row r="141">
      <c r="A141" s="4" t="s">
        <v>4014</v>
      </c>
      <c r="B141" s="4" t="str">
        <f t="shared" si="1"/>
        <v>17</v>
      </c>
    </row>
    <row r="142">
      <c r="A142" s="4" t="s">
        <v>4015</v>
      </c>
      <c r="B142" s="4" t="str">
        <f t="shared" si="1"/>
        <v>17</v>
      </c>
    </row>
    <row r="143">
      <c r="A143" s="4" t="s">
        <v>4016</v>
      </c>
      <c r="B143" s="4" t="str">
        <f t="shared" si="1"/>
        <v>17</v>
      </c>
    </row>
    <row r="144">
      <c r="A144" s="4" t="s">
        <v>4017</v>
      </c>
      <c r="B144" s="4" t="str">
        <f t="shared" si="1"/>
        <v>23</v>
      </c>
    </row>
    <row r="145">
      <c r="A145" s="4" t="s">
        <v>4018</v>
      </c>
      <c r="B145" s="4" t="str">
        <f t="shared" si="1"/>
        <v>12</v>
      </c>
    </row>
    <row r="146">
      <c r="A146" s="4" t="s">
        <v>4019</v>
      </c>
      <c r="B146" s="4" t="str">
        <f t="shared" si="1"/>
        <v>13</v>
      </c>
    </row>
    <row r="147">
      <c r="A147" s="4" t="s">
        <v>4020</v>
      </c>
      <c r="B147" s="4" t="str">
        <f t="shared" si="1"/>
        <v>13</v>
      </c>
    </row>
    <row r="148">
      <c r="A148" s="4" t="s">
        <v>3894</v>
      </c>
      <c r="B148" s="4" t="str">
        <f t="shared" si="1"/>
        <v>13</v>
      </c>
    </row>
    <row r="149">
      <c r="A149" s="4" t="s">
        <v>4021</v>
      </c>
      <c r="B149" s="4" t="str">
        <f t="shared" si="1"/>
        <v>09</v>
      </c>
    </row>
    <row r="150">
      <c r="A150" s="4" t="s">
        <v>4022</v>
      </c>
      <c r="B150" s="4" t="str">
        <f t="shared" si="1"/>
        <v>10</v>
      </c>
    </row>
    <row r="151">
      <c r="A151" s="4" t="s">
        <v>3923</v>
      </c>
      <c r="B151" s="4" t="str">
        <f t="shared" si="1"/>
        <v>17</v>
      </c>
    </row>
    <row r="152">
      <c r="A152" s="4" t="s">
        <v>4023</v>
      </c>
      <c r="B152" s="4" t="str">
        <f t="shared" si="1"/>
        <v>18</v>
      </c>
    </row>
    <row r="153">
      <c r="A153" s="4" t="s">
        <v>4024</v>
      </c>
      <c r="B153" s="4" t="str">
        <f t="shared" si="1"/>
        <v>18</v>
      </c>
    </row>
    <row r="154">
      <c r="A154" s="4" t="s">
        <v>4025</v>
      </c>
      <c r="B154" s="4" t="str">
        <f t="shared" si="1"/>
        <v>22</v>
      </c>
    </row>
    <row r="155">
      <c r="A155" s="4" t="s">
        <v>4026</v>
      </c>
      <c r="B155" s="4" t="str">
        <f t="shared" si="1"/>
        <v>18</v>
      </c>
    </row>
    <row r="156">
      <c r="A156" s="4" t="s">
        <v>4027</v>
      </c>
      <c r="B156" s="4" t="str">
        <f t="shared" si="1"/>
        <v>10</v>
      </c>
    </row>
    <row r="157">
      <c r="A157" s="4" t="s">
        <v>3939</v>
      </c>
      <c r="B157" s="4" t="str">
        <f t="shared" si="1"/>
        <v>12</v>
      </c>
    </row>
    <row r="158">
      <c r="A158" s="4" t="s">
        <v>4028</v>
      </c>
      <c r="B158" s="4" t="str">
        <f t="shared" si="1"/>
        <v>12</v>
      </c>
    </row>
    <row r="159">
      <c r="A159" s="4" t="s">
        <v>4029</v>
      </c>
      <c r="B159" s="4" t="str">
        <f t="shared" si="1"/>
        <v>14</v>
      </c>
    </row>
    <row r="160">
      <c r="A160" s="4" t="s">
        <v>4030</v>
      </c>
      <c r="B160" s="4" t="str">
        <f t="shared" si="1"/>
        <v>17</v>
      </c>
    </row>
    <row r="161">
      <c r="A161" s="4" t="s">
        <v>4031</v>
      </c>
      <c r="B161" s="4" t="str">
        <f t="shared" si="1"/>
        <v>17</v>
      </c>
    </row>
    <row r="162">
      <c r="A162" s="4" t="s">
        <v>3932</v>
      </c>
      <c r="B162" s="4" t="str">
        <f t="shared" si="1"/>
        <v>11</v>
      </c>
    </row>
    <row r="163">
      <c r="A163" s="4" t="s">
        <v>4032</v>
      </c>
      <c r="B163" s="4" t="str">
        <f t="shared" si="1"/>
        <v>14</v>
      </c>
    </row>
    <row r="164">
      <c r="A164" s="4" t="s">
        <v>3898</v>
      </c>
      <c r="B164" s="4" t="str">
        <f t="shared" si="1"/>
        <v>14</v>
      </c>
    </row>
    <row r="165">
      <c r="A165" s="4" t="s">
        <v>3938</v>
      </c>
      <c r="B165" s="4" t="str">
        <f t="shared" si="1"/>
        <v>15</v>
      </c>
    </row>
    <row r="166">
      <c r="A166" s="4" t="s">
        <v>4033</v>
      </c>
      <c r="B166" s="4" t="str">
        <f t="shared" si="1"/>
        <v>15</v>
      </c>
    </row>
    <row r="167">
      <c r="A167" s="4" t="s">
        <v>3975</v>
      </c>
      <c r="B167" s="4" t="str">
        <f t="shared" si="1"/>
        <v>15</v>
      </c>
    </row>
    <row r="168">
      <c r="A168" s="4" t="s">
        <v>4034</v>
      </c>
      <c r="B168" s="4" t="str">
        <f t="shared" si="1"/>
        <v>07</v>
      </c>
    </row>
    <row r="169">
      <c r="A169" s="4" t="s">
        <v>4035</v>
      </c>
      <c r="B169" s="4" t="str">
        <f t="shared" si="1"/>
        <v>11</v>
      </c>
    </row>
    <row r="170">
      <c r="A170" s="4" t="s">
        <v>4036</v>
      </c>
      <c r="B170" s="4" t="str">
        <f t="shared" si="1"/>
        <v>15</v>
      </c>
    </row>
    <row r="171">
      <c r="A171" s="4" t="s">
        <v>4037</v>
      </c>
      <c r="B171" s="4" t="str">
        <f t="shared" si="1"/>
        <v>09</v>
      </c>
    </row>
    <row r="172">
      <c r="A172" s="4" t="s">
        <v>3939</v>
      </c>
      <c r="B172" s="4" t="str">
        <f t="shared" si="1"/>
        <v>12</v>
      </c>
    </row>
    <row r="173">
      <c r="A173" s="4" t="s">
        <v>4038</v>
      </c>
      <c r="B173" s="4" t="str">
        <f t="shared" si="1"/>
        <v>12</v>
      </c>
    </row>
    <row r="174">
      <c r="A174" s="4" t="s">
        <v>4039</v>
      </c>
      <c r="B174" s="4" t="str">
        <f t="shared" si="1"/>
        <v>14</v>
      </c>
    </row>
    <row r="175">
      <c r="A175" s="4" t="s">
        <v>4040</v>
      </c>
      <c r="B175" s="4" t="str">
        <f t="shared" si="1"/>
        <v>15</v>
      </c>
    </row>
    <row r="176">
      <c r="A176" s="4" t="s">
        <v>4041</v>
      </c>
      <c r="B176" s="4" t="str">
        <f t="shared" si="1"/>
        <v>17</v>
      </c>
    </row>
    <row r="177">
      <c r="A177" s="4" t="s">
        <v>4042</v>
      </c>
      <c r="B177" s="4" t="str">
        <f t="shared" si="1"/>
        <v>13</v>
      </c>
    </row>
    <row r="178">
      <c r="A178" s="4" t="s">
        <v>4043</v>
      </c>
      <c r="B178" s="4" t="str">
        <f t="shared" si="1"/>
        <v>14</v>
      </c>
    </row>
    <row r="179">
      <c r="A179" s="4" t="s">
        <v>4044</v>
      </c>
      <c r="B179" s="4" t="str">
        <f t="shared" si="1"/>
        <v>14</v>
      </c>
    </row>
    <row r="180">
      <c r="A180" s="4" t="s">
        <v>4045</v>
      </c>
      <c r="B180" s="4" t="str">
        <f t="shared" si="1"/>
        <v>15</v>
      </c>
    </row>
    <row r="181">
      <c r="A181" s="4" t="s">
        <v>4046</v>
      </c>
      <c r="B181" s="4" t="str">
        <f t="shared" si="1"/>
        <v>07</v>
      </c>
    </row>
    <row r="182">
      <c r="A182" s="4" t="s">
        <v>4047</v>
      </c>
      <c r="B182" s="4" t="str">
        <f t="shared" si="1"/>
        <v>12</v>
      </c>
    </row>
    <row r="183">
      <c r="A183" s="4" t="s">
        <v>4048</v>
      </c>
      <c r="B183" s="4" t="str">
        <f t="shared" si="1"/>
        <v>12</v>
      </c>
    </row>
    <row r="184">
      <c r="A184" s="4" t="s">
        <v>4049</v>
      </c>
      <c r="B184" s="4" t="str">
        <f t="shared" si="1"/>
        <v>14</v>
      </c>
    </row>
    <row r="185">
      <c r="A185" s="4" t="s">
        <v>4043</v>
      </c>
      <c r="B185" s="4" t="str">
        <f t="shared" si="1"/>
        <v>14</v>
      </c>
    </row>
    <row r="186">
      <c r="A186" s="4" t="s">
        <v>4050</v>
      </c>
      <c r="B186" s="4" t="str">
        <f t="shared" si="1"/>
        <v>15</v>
      </c>
    </row>
    <row r="187">
      <c r="A187" s="4" t="s">
        <v>4051</v>
      </c>
      <c r="B187" s="4" t="str">
        <f t="shared" si="1"/>
        <v>15</v>
      </c>
    </row>
    <row r="188">
      <c r="A188" s="4" t="s">
        <v>3926</v>
      </c>
      <c r="B188" s="4" t="str">
        <f t="shared" si="1"/>
        <v>16</v>
      </c>
    </row>
    <row r="189">
      <c r="A189" s="4" t="s">
        <v>4052</v>
      </c>
      <c r="B189" s="4" t="str">
        <f t="shared" si="1"/>
        <v>21</v>
      </c>
    </row>
    <row r="190">
      <c r="A190" s="4" t="s">
        <v>4053</v>
      </c>
      <c r="B190" s="4" t="str">
        <f t="shared" si="1"/>
        <v>15</v>
      </c>
    </row>
    <row r="191">
      <c r="A191" s="4" t="s">
        <v>3947</v>
      </c>
      <c r="B191" s="4" t="str">
        <f t="shared" si="1"/>
        <v>15</v>
      </c>
    </row>
    <row r="192">
      <c r="A192" s="4" t="s">
        <v>4054</v>
      </c>
      <c r="B192" s="4" t="str">
        <f t="shared" si="1"/>
        <v>17</v>
      </c>
    </row>
    <row r="193">
      <c r="A193" s="4" t="s">
        <v>4055</v>
      </c>
      <c r="B193" s="4" t="str">
        <f t="shared" si="1"/>
        <v>17</v>
      </c>
    </row>
    <row r="194">
      <c r="A194" s="4" t="s">
        <v>4056</v>
      </c>
      <c r="B194" s="4" t="str">
        <f t="shared" si="1"/>
        <v>17</v>
      </c>
    </row>
    <row r="195">
      <c r="A195" s="4" t="s">
        <v>4057</v>
      </c>
      <c r="B195" s="4" t="str">
        <f t="shared" si="1"/>
        <v>21</v>
      </c>
    </row>
    <row r="196">
      <c r="A196" s="4" t="s">
        <v>4058</v>
      </c>
      <c r="B196" s="4" t="str">
        <f t="shared" si="1"/>
        <v>16</v>
      </c>
    </row>
    <row r="197">
      <c r="A197" s="4" t="s">
        <v>4059</v>
      </c>
      <c r="B197" s="4" t="str">
        <f t="shared" si="1"/>
        <v>10</v>
      </c>
    </row>
    <row r="198">
      <c r="A198" s="4" t="s">
        <v>4060</v>
      </c>
      <c r="B198" s="4" t="str">
        <f t="shared" si="1"/>
        <v>11</v>
      </c>
    </row>
    <row r="199">
      <c r="A199" s="4" t="s">
        <v>4061</v>
      </c>
      <c r="B199" s="4" t="str">
        <f t="shared" si="1"/>
        <v>13</v>
      </c>
    </row>
    <row r="200">
      <c r="A200" s="4" t="s">
        <v>4062</v>
      </c>
      <c r="B200" s="4" t="str">
        <f t="shared" si="1"/>
        <v>11</v>
      </c>
    </row>
    <row r="201">
      <c r="A201" s="4" t="s">
        <v>3898</v>
      </c>
      <c r="B201" s="4" t="str">
        <f t="shared" si="1"/>
        <v>14</v>
      </c>
    </row>
    <row r="202">
      <c r="A202" s="4" t="s">
        <v>4049</v>
      </c>
      <c r="B202" s="4" t="str">
        <f t="shared" si="1"/>
        <v>14</v>
      </c>
    </row>
    <row r="203">
      <c r="A203" s="4" t="s">
        <v>4050</v>
      </c>
      <c r="B203" s="4" t="str">
        <f t="shared" si="1"/>
        <v>15</v>
      </c>
    </row>
    <row r="204">
      <c r="A204" s="4" t="s">
        <v>4063</v>
      </c>
      <c r="B204" s="4" t="str">
        <f t="shared" si="1"/>
        <v>18</v>
      </c>
    </row>
    <row r="205">
      <c r="A205" s="4" t="s">
        <v>4064</v>
      </c>
      <c r="B205" s="4" t="str">
        <f t="shared" si="1"/>
        <v>09</v>
      </c>
    </row>
    <row r="206">
      <c r="A206" s="4" t="s">
        <v>4065</v>
      </c>
      <c r="B206" s="4" t="str">
        <f t="shared" si="1"/>
        <v>11</v>
      </c>
    </row>
    <row r="207">
      <c r="A207" s="4" t="s">
        <v>4066</v>
      </c>
      <c r="B207" s="4" t="str">
        <f t="shared" si="1"/>
        <v>13</v>
      </c>
    </row>
    <row r="208">
      <c r="A208" s="4" t="s">
        <v>3943</v>
      </c>
      <c r="B208" s="4" t="str">
        <f t="shared" si="1"/>
        <v>13</v>
      </c>
    </row>
    <row r="209">
      <c r="A209" s="4" t="s">
        <v>4006</v>
      </c>
      <c r="B209" s="4" t="str">
        <f t="shared" si="1"/>
        <v>15</v>
      </c>
    </row>
    <row r="210">
      <c r="A210" s="4" t="s">
        <v>4067</v>
      </c>
      <c r="B210" s="4" t="str">
        <f t="shared" si="1"/>
        <v>15</v>
      </c>
    </row>
    <row r="211">
      <c r="A211" s="4" t="s">
        <v>4068</v>
      </c>
      <c r="B211" s="4" t="str">
        <f t="shared" si="1"/>
        <v>12</v>
      </c>
    </row>
    <row r="212">
      <c r="A212" s="4" t="s">
        <v>3874</v>
      </c>
      <c r="B212" s="4" t="str">
        <f t="shared" si="1"/>
        <v>16</v>
      </c>
    </row>
    <row r="213">
      <c r="A213" s="4" t="s">
        <v>4069</v>
      </c>
      <c r="B213" s="4" t="str">
        <f t="shared" si="1"/>
        <v>22</v>
      </c>
    </row>
    <row r="214">
      <c r="A214" s="4" t="s">
        <v>4070</v>
      </c>
      <c r="B214" s="4" t="str">
        <f t="shared" si="1"/>
        <v>11</v>
      </c>
    </row>
    <row r="215">
      <c r="A215" s="4" t="s">
        <v>4071</v>
      </c>
      <c r="B215" s="4" t="str">
        <f t="shared" si="1"/>
        <v>15</v>
      </c>
    </row>
    <row r="216">
      <c r="A216" s="4" t="s">
        <v>3972</v>
      </c>
      <c r="B216" s="4" t="str">
        <f t="shared" si="1"/>
        <v>16</v>
      </c>
    </row>
    <row r="217">
      <c r="A217" s="4" t="s">
        <v>4072</v>
      </c>
      <c r="B217" s="4" t="str">
        <f t="shared" si="1"/>
        <v>16</v>
      </c>
    </row>
    <row r="218">
      <c r="A218" s="4" t="s">
        <v>3983</v>
      </c>
      <c r="B218" s="4" t="str">
        <f t="shared" si="1"/>
        <v>12</v>
      </c>
    </row>
    <row r="219">
      <c r="A219" s="4" t="s">
        <v>4028</v>
      </c>
      <c r="B219" s="4" t="str">
        <f t="shared" si="1"/>
        <v>12</v>
      </c>
    </row>
    <row r="220">
      <c r="A220" s="4" t="s">
        <v>3944</v>
      </c>
      <c r="B220" s="4" t="str">
        <f t="shared" si="1"/>
        <v>14</v>
      </c>
    </row>
    <row r="221">
      <c r="A221" s="4" t="s">
        <v>4030</v>
      </c>
      <c r="B221" s="4" t="str">
        <f t="shared" si="1"/>
        <v>17</v>
      </c>
    </row>
    <row r="222">
      <c r="A222" s="4" t="s">
        <v>4073</v>
      </c>
      <c r="B222" s="4" t="str">
        <f t="shared" si="1"/>
        <v>18</v>
      </c>
    </row>
    <row r="223">
      <c r="A223" s="4" t="s">
        <v>4068</v>
      </c>
      <c r="B223" s="4" t="str">
        <f t="shared" si="1"/>
        <v>12</v>
      </c>
    </row>
    <row r="224">
      <c r="A224" s="4" t="s">
        <v>4050</v>
      </c>
      <c r="B224" s="4" t="str">
        <f t="shared" si="1"/>
        <v>15</v>
      </c>
    </row>
    <row r="225">
      <c r="A225" s="4" t="s">
        <v>3936</v>
      </c>
      <c r="B225" s="4" t="str">
        <f t="shared" si="1"/>
        <v>15</v>
      </c>
    </row>
    <row r="226">
      <c r="A226" s="4" t="s">
        <v>4074</v>
      </c>
      <c r="B226" s="4" t="str">
        <f t="shared" si="1"/>
        <v>16</v>
      </c>
    </row>
    <row r="227">
      <c r="A227" s="4" t="s">
        <v>4075</v>
      </c>
      <c r="B227" s="4" t="str">
        <f t="shared" si="1"/>
        <v>21</v>
      </c>
    </row>
    <row r="228">
      <c r="A228" s="4" t="s">
        <v>4076</v>
      </c>
      <c r="B228" s="4" t="str">
        <f t="shared" si="1"/>
        <v>07</v>
      </c>
    </row>
    <row r="229">
      <c r="A229" s="4" t="s">
        <v>4077</v>
      </c>
      <c r="B229" s="4" t="str">
        <f t="shared" si="1"/>
        <v>09</v>
      </c>
    </row>
    <row r="230">
      <c r="A230" s="4" t="s">
        <v>4078</v>
      </c>
      <c r="B230" s="4" t="str">
        <f t="shared" si="1"/>
        <v>10</v>
      </c>
    </row>
    <row r="231">
      <c r="A231" s="4" t="s">
        <v>4079</v>
      </c>
      <c r="B231" s="4" t="str">
        <f t="shared" si="1"/>
        <v>15</v>
      </c>
    </row>
    <row r="232">
      <c r="A232" s="4" t="s">
        <v>4080</v>
      </c>
      <c r="B232" s="4" t="str">
        <f t="shared" si="1"/>
        <v>09</v>
      </c>
    </row>
    <row r="233">
      <c r="A233" s="4" t="s">
        <v>4081</v>
      </c>
      <c r="B233" s="4" t="str">
        <f t="shared" si="1"/>
        <v>11</v>
      </c>
    </row>
    <row r="234">
      <c r="A234" s="4" t="s">
        <v>4082</v>
      </c>
      <c r="B234" s="4" t="str">
        <f t="shared" si="1"/>
        <v>13</v>
      </c>
    </row>
    <row r="235">
      <c r="A235" s="4" t="s">
        <v>4083</v>
      </c>
      <c r="B235" s="4" t="str">
        <f t="shared" si="1"/>
        <v>12</v>
      </c>
    </row>
    <row r="236">
      <c r="A236" s="4" t="s">
        <v>3949</v>
      </c>
      <c r="B236" s="4" t="str">
        <f t="shared" si="1"/>
        <v>12</v>
      </c>
    </row>
    <row r="237">
      <c r="A237" s="4" t="s">
        <v>4084</v>
      </c>
      <c r="B237" s="4" t="str">
        <f t="shared" si="1"/>
        <v>13</v>
      </c>
    </row>
    <row r="238">
      <c r="A238" s="4" t="s">
        <v>4040</v>
      </c>
      <c r="B238" s="4" t="str">
        <f t="shared" si="1"/>
        <v>15</v>
      </c>
    </row>
    <row r="239">
      <c r="A239" s="4" t="s">
        <v>4085</v>
      </c>
      <c r="B239" s="4" t="str">
        <f t="shared" si="1"/>
        <v>17</v>
      </c>
    </row>
    <row r="240">
      <c r="A240" s="4" t="s">
        <v>4031</v>
      </c>
      <c r="B240" s="4" t="str">
        <f t="shared" si="1"/>
        <v>17</v>
      </c>
    </row>
    <row r="241">
      <c r="A241" s="4" t="s">
        <v>4086</v>
      </c>
      <c r="B241" s="4" t="str">
        <f t="shared" si="1"/>
        <v>19</v>
      </c>
    </row>
    <row r="242">
      <c r="A242" s="4" t="s">
        <v>4087</v>
      </c>
      <c r="B242" s="4" t="str">
        <f t="shared" si="1"/>
        <v>12</v>
      </c>
    </row>
    <row r="243">
      <c r="A243" s="4" t="s">
        <v>4088</v>
      </c>
      <c r="B243" s="4" t="str">
        <f t="shared" si="1"/>
        <v>13</v>
      </c>
    </row>
    <row r="244">
      <c r="A244" s="4" t="s">
        <v>4089</v>
      </c>
      <c r="B244" s="4" t="str">
        <f t="shared" si="1"/>
        <v>13</v>
      </c>
    </row>
    <row r="245">
      <c r="A245" s="4" t="s">
        <v>4006</v>
      </c>
      <c r="B245" s="4" t="str">
        <f t="shared" si="1"/>
        <v>15</v>
      </c>
    </row>
    <row r="246">
      <c r="A246" s="4" t="s">
        <v>4051</v>
      </c>
      <c r="B246" s="4" t="str">
        <f t="shared" si="1"/>
        <v>15</v>
      </c>
    </row>
    <row r="247">
      <c r="A247" s="4" t="s">
        <v>4090</v>
      </c>
      <c r="B247" s="4" t="str">
        <f t="shared" si="1"/>
        <v>15</v>
      </c>
    </row>
    <row r="248">
      <c r="A248" s="4" t="s">
        <v>4007</v>
      </c>
      <c r="B248" s="4" t="str">
        <f t="shared" si="1"/>
        <v>16</v>
      </c>
    </row>
    <row r="249">
      <c r="A249" s="4" t="s">
        <v>4091</v>
      </c>
      <c r="B249" s="4" t="str">
        <f t="shared" si="1"/>
        <v>20</v>
      </c>
    </row>
    <row r="250">
      <c r="A250" s="4" t="s">
        <v>4092</v>
      </c>
      <c r="B250" s="4" t="str">
        <f t="shared" si="1"/>
        <v>13</v>
      </c>
    </row>
    <row r="251">
      <c r="A251" s="4" t="s">
        <v>4093</v>
      </c>
      <c r="B251" s="4" t="str">
        <f t="shared" si="1"/>
        <v>00</v>
      </c>
    </row>
    <row r="252">
      <c r="A252" s="4" t="s">
        <v>4094</v>
      </c>
      <c r="B252" s="4" t="str">
        <f t="shared" si="1"/>
        <v>11</v>
      </c>
    </row>
    <row r="253">
      <c r="A253" s="4" t="s">
        <v>4095</v>
      </c>
      <c r="B253" s="4" t="str">
        <f t="shared" si="1"/>
        <v>12</v>
      </c>
    </row>
    <row r="254">
      <c r="A254" s="4" t="s">
        <v>4096</v>
      </c>
      <c r="B254" s="4" t="str">
        <f t="shared" si="1"/>
        <v>12</v>
      </c>
    </row>
    <row r="255">
      <c r="A255" s="4" t="s">
        <v>3965</v>
      </c>
      <c r="B255" s="4" t="str">
        <f t="shared" si="1"/>
        <v>13</v>
      </c>
    </row>
    <row r="256">
      <c r="A256" s="4" t="s">
        <v>4097</v>
      </c>
      <c r="B256" s="4" t="str">
        <f t="shared" si="1"/>
        <v>13</v>
      </c>
    </row>
    <row r="257">
      <c r="A257" s="4" t="s">
        <v>4098</v>
      </c>
      <c r="B257" s="4" t="str">
        <f t="shared" si="1"/>
        <v>13</v>
      </c>
    </row>
    <row r="258">
      <c r="A258" s="4" t="s">
        <v>4099</v>
      </c>
      <c r="B258" s="4" t="str">
        <f t="shared" si="1"/>
        <v>12</v>
      </c>
    </row>
    <row r="259">
      <c r="A259" s="4" t="s">
        <v>4006</v>
      </c>
      <c r="B259" s="4" t="str">
        <f t="shared" si="1"/>
        <v>15</v>
      </c>
    </row>
    <row r="260">
      <c r="A260" s="4" t="s">
        <v>4100</v>
      </c>
      <c r="B260" s="4" t="str">
        <f t="shared" si="1"/>
        <v>19</v>
      </c>
    </row>
    <row r="261">
      <c r="A261" s="4" t="s">
        <v>4101</v>
      </c>
      <c r="B261" s="4" t="str">
        <f t="shared" si="1"/>
        <v>22</v>
      </c>
    </row>
    <row r="262">
      <c r="A262" s="4" t="s">
        <v>4102</v>
      </c>
      <c r="B262" s="4" t="str">
        <f t="shared" si="1"/>
        <v>13</v>
      </c>
    </row>
    <row r="263">
      <c r="A263" s="4" t="s">
        <v>4103</v>
      </c>
      <c r="B263" s="4" t="str">
        <f t="shared" si="1"/>
        <v>15</v>
      </c>
    </row>
    <row r="264">
      <c r="A264" s="4" t="s">
        <v>4104</v>
      </c>
      <c r="B264" s="4" t="str">
        <f t="shared" si="1"/>
        <v>19</v>
      </c>
    </row>
    <row r="265">
      <c r="A265" s="4" t="s">
        <v>4105</v>
      </c>
      <c r="B265" s="4" t="str">
        <f t="shared" si="1"/>
        <v>18</v>
      </c>
    </row>
    <row r="266">
      <c r="A266" s="4" t="s">
        <v>4084</v>
      </c>
      <c r="B266" s="4" t="str">
        <f t="shared" si="1"/>
        <v>13</v>
      </c>
    </row>
    <row r="267">
      <c r="A267" s="4" t="s">
        <v>3988</v>
      </c>
      <c r="B267" s="4" t="str">
        <f t="shared" si="1"/>
        <v>13</v>
      </c>
    </row>
    <row r="268">
      <c r="A268" s="4" t="s">
        <v>3988</v>
      </c>
      <c r="B268" s="4" t="str">
        <f t="shared" si="1"/>
        <v>13</v>
      </c>
    </row>
    <row r="269">
      <c r="A269" s="4" t="s">
        <v>3932</v>
      </c>
      <c r="B269" s="4" t="str">
        <f t="shared" si="1"/>
        <v>11</v>
      </c>
    </row>
    <row r="270">
      <c r="A270" s="4" t="s">
        <v>3898</v>
      </c>
      <c r="B270" s="4" t="str">
        <f t="shared" si="1"/>
        <v>14</v>
      </c>
    </row>
    <row r="271">
      <c r="A271" s="4" t="s">
        <v>3996</v>
      </c>
      <c r="B271" s="4" t="str">
        <f t="shared" si="1"/>
        <v>15</v>
      </c>
    </row>
    <row r="272">
      <c r="A272" s="4" t="s">
        <v>4106</v>
      </c>
      <c r="B272" s="4" t="str">
        <f t="shared" si="1"/>
        <v>15</v>
      </c>
    </row>
    <row r="273">
      <c r="A273" s="4" t="s">
        <v>4051</v>
      </c>
      <c r="B273" s="4" t="str">
        <f t="shared" si="1"/>
        <v>15</v>
      </c>
    </row>
    <row r="274">
      <c r="A274" s="4" t="s">
        <v>4107</v>
      </c>
      <c r="B274" s="4" t="str">
        <f t="shared" si="1"/>
        <v>16</v>
      </c>
    </row>
    <row r="275">
      <c r="A275" s="4" t="s">
        <v>4108</v>
      </c>
      <c r="B275" s="4" t="str">
        <f t="shared" si="1"/>
        <v>15</v>
      </c>
    </row>
    <row r="276">
      <c r="A276" s="4" t="s">
        <v>4109</v>
      </c>
      <c r="B276" s="4" t="str">
        <f t="shared" si="1"/>
        <v>15</v>
      </c>
    </row>
    <row r="277">
      <c r="A277" s="4" t="s">
        <v>4072</v>
      </c>
      <c r="B277" s="4" t="str">
        <f t="shared" si="1"/>
        <v>16</v>
      </c>
    </row>
    <row r="278">
      <c r="A278" s="4" t="s">
        <v>4110</v>
      </c>
      <c r="B278" s="4" t="str">
        <f t="shared" si="1"/>
        <v>17</v>
      </c>
    </row>
    <row r="279">
      <c r="A279" s="4" t="s">
        <v>4111</v>
      </c>
      <c r="B279" s="4" t="str">
        <f t="shared" si="1"/>
        <v>20</v>
      </c>
    </row>
    <row r="280">
      <c r="A280" s="4" t="s">
        <v>4112</v>
      </c>
      <c r="B280" s="4" t="str">
        <f t="shared" si="1"/>
        <v>00</v>
      </c>
    </row>
    <row r="281">
      <c r="A281" s="4" t="s">
        <v>4113</v>
      </c>
      <c r="B281" s="4" t="str">
        <f t="shared" si="1"/>
        <v>08</v>
      </c>
    </row>
    <row r="282">
      <c r="A282" s="4" t="s">
        <v>4114</v>
      </c>
      <c r="B282" s="4" t="str">
        <f t="shared" si="1"/>
        <v>11</v>
      </c>
    </row>
    <row r="283">
      <c r="A283" s="4" t="s">
        <v>4115</v>
      </c>
      <c r="B283" s="4" t="str">
        <f t="shared" si="1"/>
        <v>12</v>
      </c>
    </row>
    <row r="284">
      <c r="A284" s="4" t="s">
        <v>3916</v>
      </c>
      <c r="B284" s="4" t="str">
        <f t="shared" si="1"/>
        <v>15</v>
      </c>
    </row>
    <row r="285">
      <c r="A285" s="4" t="s">
        <v>3896</v>
      </c>
      <c r="B285" s="4" t="str">
        <f t="shared" si="1"/>
        <v>14</v>
      </c>
    </row>
    <row r="286">
      <c r="A286" s="4" t="s">
        <v>3896</v>
      </c>
      <c r="B286" s="4" t="str">
        <f t="shared" si="1"/>
        <v>14</v>
      </c>
    </row>
    <row r="287">
      <c r="A287" s="4" t="s">
        <v>4116</v>
      </c>
      <c r="B287" s="4" t="str">
        <f t="shared" si="1"/>
        <v>16</v>
      </c>
    </row>
    <row r="288">
      <c r="A288" s="4" t="s">
        <v>4087</v>
      </c>
      <c r="B288" s="4" t="str">
        <f t="shared" si="1"/>
        <v>12</v>
      </c>
    </row>
    <row r="289">
      <c r="A289" s="4" t="s">
        <v>4096</v>
      </c>
      <c r="B289" s="4" t="str">
        <f t="shared" si="1"/>
        <v>12</v>
      </c>
    </row>
    <row r="290">
      <c r="A290" s="4" t="s">
        <v>4117</v>
      </c>
      <c r="B290" s="4" t="str">
        <f t="shared" si="1"/>
        <v>13</v>
      </c>
    </row>
    <row r="291">
      <c r="A291" s="4" t="s">
        <v>4118</v>
      </c>
      <c r="B291" s="4" t="str">
        <f t="shared" si="1"/>
        <v>15</v>
      </c>
    </row>
    <row r="292">
      <c r="A292" s="4" t="s">
        <v>4119</v>
      </c>
      <c r="B292" s="4" t="str">
        <f t="shared" si="1"/>
        <v>18</v>
      </c>
    </row>
    <row r="293">
      <c r="A293" s="4" t="s">
        <v>4120</v>
      </c>
      <c r="B293" s="4" t="str">
        <f t="shared" si="1"/>
        <v>09</v>
      </c>
    </row>
    <row r="294">
      <c r="A294" s="4" t="s">
        <v>4121</v>
      </c>
      <c r="B294" s="4" t="str">
        <f t="shared" si="1"/>
        <v>10</v>
      </c>
    </row>
    <row r="295">
      <c r="A295" s="4" t="s">
        <v>4095</v>
      </c>
      <c r="B295" s="4" t="str">
        <f t="shared" si="1"/>
        <v>12</v>
      </c>
    </row>
    <row r="296">
      <c r="A296" s="4" t="s">
        <v>3977</v>
      </c>
      <c r="B296" s="4" t="str">
        <f t="shared" si="1"/>
        <v>14</v>
      </c>
    </row>
    <row r="297">
      <c r="A297" s="4" t="s">
        <v>4051</v>
      </c>
      <c r="B297" s="4" t="str">
        <f t="shared" si="1"/>
        <v>15</v>
      </c>
    </row>
    <row r="298">
      <c r="A298" s="4" t="s">
        <v>4122</v>
      </c>
      <c r="B298" s="4" t="str">
        <f t="shared" si="1"/>
        <v>15</v>
      </c>
    </row>
    <row r="299">
      <c r="A299" s="4" t="s">
        <v>4123</v>
      </c>
      <c r="B299" s="4" t="str">
        <f t="shared" si="1"/>
        <v>14</v>
      </c>
    </row>
    <row r="300">
      <c r="A300" s="4" t="s">
        <v>4124</v>
      </c>
      <c r="B300" s="4" t="str">
        <f t="shared" si="1"/>
        <v>16</v>
      </c>
    </row>
    <row r="301">
      <c r="A301" s="4" t="s">
        <v>4125</v>
      </c>
      <c r="B301" s="4" t="str">
        <f t="shared" si="1"/>
        <v>02</v>
      </c>
    </row>
    <row r="302">
      <c r="A302" s="4" t="s">
        <v>3962</v>
      </c>
      <c r="B302" s="4" t="str">
        <f t="shared" si="1"/>
        <v>11</v>
      </c>
    </row>
    <row r="303">
      <c r="A303" s="4" t="s">
        <v>4098</v>
      </c>
      <c r="B303" s="4" t="str">
        <f t="shared" si="1"/>
        <v>13</v>
      </c>
    </row>
    <row r="304">
      <c r="A304" s="4" t="s">
        <v>4126</v>
      </c>
      <c r="B304" s="4" t="str">
        <f t="shared" si="1"/>
        <v>15</v>
      </c>
    </row>
    <row r="305">
      <c r="A305" s="4" t="s">
        <v>3998</v>
      </c>
      <c r="B305" s="4" t="str">
        <f t="shared" si="1"/>
        <v>16</v>
      </c>
    </row>
    <row r="306">
      <c r="A306" s="4" t="s">
        <v>4127</v>
      </c>
      <c r="B306" s="4" t="str">
        <f t="shared" si="1"/>
        <v>16</v>
      </c>
    </row>
    <row r="307">
      <c r="A307" s="4" t="s">
        <v>4128</v>
      </c>
      <c r="B307" s="4" t="str">
        <f t="shared" si="1"/>
        <v>18</v>
      </c>
    </row>
    <row r="308">
      <c r="A308" s="4" t="s">
        <v>4128</v>
      </c>
      <c r="B308" s="4" t="str">
        <f t="shared" si="1"/>
        <v>18</v>
      </c>
    </row>
    <row r="309">
      <c r="A309" s="4" t="s">
        <v>4129</v>
      </c>
      <c r="B309" s="4" t="str">
        <f t="shared" si="1"/>
        <v>18</v>
      </c>
    </row>
    <row r="310">
      <c r="A310" s="4" t="s">
        <v>4020</v>
      </c>
      <c r="B310" s="4" t="str">
        <f t="shared" si="1"/>
        <v>13</v>
      </c>
    </row>
    <row r="311">
      <c r="A311" s="4" t="s">
        <v>4092</v>
      </c>
      <c r="B311" s="4" t="str">
        <f t="shared" si="1"/>
        <v>13</v>
      </c>
    </row>
    <row r="312">
      <c r="A312" s="4" t="s">
        <v>4130</v>
      </c>
      <c r="B312" s="4" t="str">
        <f t="shared" si="1"/>
        <v>13</v>
      </c>
    </row>
    <row r="313">
      <c r="A313" s="4" t="s">
        <v>4050</v>
      </c>
      <c r="B313" s="4" t="str">
        <f t="shared" si="1"/>
        <v>15</v>
      </c>
    </row>
    <row r="314">
      <c r="A314" s="4" t="s">
        <v>4131</v>
      </c>
      <c r="B314" s="4" t="str">
        <f t="shared" si="1"/>
        <v>13</v>
      </c>
    </row>
    <row r="315">
      <c r="A315" s="4" t="s">
        <v>4132</v>
      </c>
      <c r="B315" s="4" t="str">
        <f t="shared" si="1"/>
        <v>14</v>
      </c>
    </row>
    <row r="316">
      <c r="A316" s="4" t="s">
        <v>4133</v>
      </c>
      <c r="B316" s="4" t="str">
        <f t="shared" si="1"/>
        <v>17</v>
      </c>
    </row>
    <row r="317">
      <c r="A317" s="4" t="s">
        <v>4134</v>
      </c>
      <c r="B317" s="4" t="str">
        <f t="shared" si="1"/>
        <v>13</v>
      </c>
    </row>
    <row r="318">
      <c r="A318" s="4" t="s">
        <v>4135</v>
      </c>
      <c r="B318" s="4" t="str">
        <f t="shared" si="1"/>
        <v>12</v>
      </c>
    </row>
    <row r="319">
      <c r="A319" s="4" t="s">
        <v>3898</v>
      </c>
      <c r="B319" s="4" t="str">
        <f t="shared" si="1"/>
        <v>14</v>
      </c>
    </row>
    <row r="320">
      <c r="A320" s="4" t="s">
        <v>4136</v>
      </c>
      <c r="B320" s="4" t="str">
        <f t="shared" si="1"/>
        <v>15</v>
      </c>
    </row>
    <row r="321">
      <c r="A321" s="4" t="s">
        <v>4137</v>
      </c>
      <c r="B321" s="4" t="str">
        <f t="shared" si="1"/>
        <v>15</v>
      </c>
    </row>
    <row r="322">
      <c r="A322" s="4" t="s">
        <v>4138</v>
      </c>
      <c r="B322" s="4" t="str">
        <f t="shared" si="1"/>
        <v>09</v>
      </c>
    </row>
    <row r="323">
      <c r="A323" s="4" t="s">
        <v>4139</v>
      </c>
      <c r="B323" s="4" t="str">
        <f t="shared" si="1"/>
        <v>10</v>
      </c>
    </row>
    <row r="324">
      <c r="A324" s="4" t="s">
        <v>4140</v>
      </c>
      <c r="B324" s="4" t="str">
        <f t="shared" si="1"/>
        <v>10</v>
      </c>
    </row>
    <row r="325">
      <c r="A325" s="4" t="s">
        <v>3894</v>
      </c>
      <c r="B325" s="4" t="str">
        <f t="shared" si="1"/>
        <v>13</v>
      </c>
    </row>
    <row r="326">
      <c r="A326" s="4" t="s">
        <v>4141</v>
      </c>
      <c r="B326" s="4" t="str">
        <f t="shared" si="1"/>
        <v>14</v>
      </c>
    </row>
    <row r="327">
      <c r="A327" s="4" t="s">
        <v>4142</v>
      </c>
      <c r="B327" s="4" t="str">
        <f t="shared" si="1"/>
        <v>13</v>
      </c>
    </row>
    <row r="328">
      <c r="A328" s="4" t="s">
        <v>3888</v>
      </c>
      <c r="B328" s="4" t="str">
        <f t="shared" si="1"/>
        <v>14</v>
      </c>
    </row>
    <row r="329">
      <c r="A329" s="4" t="s">
        <v>4143</v>
      </c>
      <c r="B329" s="4" t="str">
        <f t="shared" si="1"/>
        <v>16</v>
      </c>
    </row>
    <row r="330">
      <c r="A330" s="4" t="s">
        <v>4144</v>
      </c>
      <c r="B330" s="4" t="str">
        <f t="shared" si="1"/>
        <v>20</v>
      </c>
    </row>
    <row r="331">
      <c r="A331" s="4" t="s">
        <v>4145</v>
      </c>
      <c r="B331" s="4" t="str">
        <f t="shared" si="1"/>
        <v>23</v>
      </c>
    </row>
    <row r="332">
      <c r="A332" s="4" t="s">
        <v>3953</v>
      </c>
      <c r="B332" s="4" t="str">
        <f t="shared" si="1"/>
        <v>13</v>
      </c>
    </row>
    <row r="333">
      <c r="A333" s="4" t="s">
        <v>4146</v>
      </c>
      <c r="B333" s="4" t="str">
        <f t="shared" si="1"/>
        <v>13</v>
      </c>
    </row>
    <row r="334">
      <c r="A334" s="4" t="s">
        <v>4042</v>
      </c>
      <c r="B334" s="4" t="str">
        <f t="shared" si="1"/>
        <v>13</v>
      </c>
    </row>
    <row r="335">
      <c r="A335" s="4" t="s">
        <v>4147</v>
      </c>
      <c r="B335" s="4" t="str">
        <f t="shared" si="1"/>
        <v>15</v>
      </c>
    </row>
    <row r="336">
      <c r="A336" s="4" t="s">
        <v>4013</v>
      </c>
      <c r="B336" s="4" t="str">
        <f t="shared" si="1"/>
        <v>16</v>
      </c>
    </row>
    <row r="337">
      <c r="A337" s="4" t="s">
        <v>3921</v>
      </c>
      <c r="B337" s="4" t="str">
        <f t="shared" si="1"/>
        <v>10</v>
      </c>
    </row>
    <row r="338">
      <c r="A338" s="4" t="s">
        <v>4148</v>
      </c>
      <c r="B338" s="4" t="str">
        <f t="shared" si="1"/>
        <v>14</v>
      </c>
    </row>
    <row r="339">
      <c r="A339" s="4" t="s">
        <v>3925</v>
      </c>
      <c r="B339" s="4" t="str">
        <f t="shared" si="1"/>
        <v>15</v>
      </c>
    </row>
    <row r="340">
      <c r="A340" s="4" t="s">
        <v>4097</v>
      </c>
      <c r="B340" s="4" t="str">
        <f t="shared" si="1"/>
        <v>13</v>
      </c>
    </row>
    <row r="341">
      <c r="A341" s="4" t="s">
        <v>4004</v>
      </c>
      <c r="B341" s="4" t="str">
        <f t="shared" si="1"/>
        <v>13</v>
      </c>
    </row>
    <row r="342">
      <c r="A342" s="4" t="s">
        <v>4149</v>
      </c>
      <c r="B342" s="4" t="str">
        <f t="shared" si="1"/>
        <v>14</v>
      </c>
    </row>
    <row r="343">
      <c r="A343" s="4" t="s">
        <v>4074</v>
      </c>
      <c r="B343" s="4" t="str">
        <f t="shared" si="1"/>
        <v>16</v>
      </c>
    </row>
    <row r="344">
      <c r="A344" s="4" t="s">
        <v>4150</v>
      </c>
      <c r="B344" s="4" t="str">
        <f t="shared" si="1"/>
        <v>17</v>
      </c>
    </row>
    <row r="345">
      <c r="A345" s="4" t="s">
        <v>4151</v>
      </c>
      <c r="B345" s="4" t="str">
        <f t="shared" si="1"/>
        <v>16</v>
      </c>
    </row>
    <row r="346">
      <c r="A346" s="4" t="s">
        <v>3955</v>
      </c>
      <c r="B346" s="4" t="str">
        <f t="shared" si="1"/>
        <v>17</v>
      </c>
    </row>
    <row r="347">
      <c r="A347" s="4" t="s">
        <v>4128</v>
      </c>
      <c r="B347" s="4" t="str">
        <f t="shared" si="1"/>
        <v>18</v>
      </c>
    </row>
    <row r="348">
      <c r="A348" s="4" t="s">
        <v>4152</v>
      </c>
      <c r="B348" s="4" t="str">
        <f t="shared" si="1"/>
        <v>09</v>
      </c>
    </row>
    <row r="349">
      <c r="A349" s="4" t="s">
        <v>4001</v>
      </c>
      <c r="B349" s="4" t="str">
        <f t="shared" si="1"/>
        <v>12</v>
      </c>
    </row>
    <row r="350">
      <c r="A350" s="4" t="s">
        <v>4012</v>
      </c>
      <c r="B350" s="4" t="str">
        <f t="shared" si="1"/>
        <v>15</v>
      </c>
    </row>
    <row r="351">
      <c r="A351" s="4" t="s">
        <v>4153</v>
      </c>
      <c r="B351" s="4" t="str">
        <f t="shared" si="1"/>
        <v>18</v>
      </c>
    </row>
    <row r="352">
      <c r="A352" s="4" t="s">
        <v>4074</v>
      </c>
      <c r="B352" s="4" t="str">
        <f t="shared" si="1"/>
        <v>16</v>
      </c>
    </row>
    <row r="353">
      <c r="A353" s="4" t="s">
        <v>4154</v>
      </c>
      <c r="B353" s="4" t="str">
        <f t="shared" si="1"/>
        <v>17</v>
      </c>
    </row>
    <row r="354">
      <c r="A354" s="4" t="s">
        <v>4155</v>
      </c>
      <c r="B354" s="4" t="str">
        <f t="shared" si="1"/>
        <v>11</v>
      </c>
    </row>
    <row r="355">
      <c r="A355" s="4" t="s">
        <v>4039</v>
      </c>
      <c r="B355" s="4" t="str">
        <f t="shared" si="1"/>
        <v>14</v>
      </c>
    </row>
    <row r="356">
      <c r="A356" s="4" t="s">
        <v>4067</v>
      </c>
      <c r="B356" s="4" t="str">
        <f t="shared" si="1"/>
        <v>15</v>
      </c>
    </row>
    <row r="357">
      <c r="A357" s="4" t="s">
        <v>4156</v>
      </c>
      <c r="B357" s="4" t="str">
        <f t="shared" si="1"/>
        <v>16</v>
      </c>
    </row>
    <row r="358">
      <c r="A358" s="4" t="s">
        <v>4157</v>
      </c>
      <c r="B358" s="4" t="str">
        <f t="shared" si="1"/>
        <v>12</v>
      </c>
    </row>
    <row r="359">
      <c r="A359" s="4" t="s">
        <v>4158</v>
      </c>
      <c r="B359" s="4" t="str">
        <f t="shared" si="1"/>
        <v>12</v>
      </c>
    </row>
    <row r="360">
      <c r="A360" s="4" t="s">
        <v>4084</v>
      </c>
      <c r="B360" s="4" t="str">
        <f t="shared" si="1"/>
        <v>13</v>
      </c>
    </row>
    <row r="361">
      <c r="A361" s="4" t="s">
        <v>3992</v>
      </c>
      <c r="B361" s="4" t="str">
        <f t="shared" si="1"/>
        <v>13</v>
      </c>
    </row>
    <row r="362">
      <c r="A362" s="4" t="s">
        <v>4004</v>
      </c>
      <c r="B362" s="4" t="str">
        <f t="shared" si="1"/>
        <v>13</v>
      </c>
    </row>
    <row r="363">
      <c r="A363" s="4" t="s">
        <v>4159</v>
      </c>
      <c r="B363" s="4" t="str">
        <f t="shared" si="1"/>
        <v>14</v>
      </c>
    </row>
    <row r="364">
      <c r="A364" s="4" t="s">
        <v>4160</v>
      </c>
      <c r="B364" s="4" t="str">
        <f t="shared" si="1"/>
        <v>14</v>
      </c>
    </row>
    <row r="365">
      <c r="A365" s="4" t="s">
        <v>4161</v>
      </c>
      <c r="B365" s="4" t="str">
        <f t="shared" si="1"/>
        <v>12</v>
      </c>
    </row>
    <row r="366">
      <c r="A366" s="4" t="s">
        <v>4033</v>
      </c>
      <c r="B366" s="4" t="str">
        <f t="shared" si="1"/>
        <v>15</v>
      </c>
    </row>
    <row r="367">
      <c r="A367" s="4" t="s">
        <v>4025</v>
      </c>
      <c r="B367" s="4" t="str">
        <f t="shared" si="1"/>
        <v>22</v>
      </c>
    </row>
    <row r="368">
      <c r="A368" s="4" t="s">
        <v>4162</v>
      </c>
      <c r="B368" s="4" t="str">
        <f t="shared" si="1"/>
        <v>11</v>
      </c>
    </row>
    <row r="369">
      <c r="A369" s="4" t="s">
        <v>4099</v>
      </c>
      <c r="B369" s="4" t="str">
        <f t="shared" si="1"/>
        <v>12</v>
      </c>
    </row>
    <row r="370">
      <c r="A370" s="4" t="s">
        <v>4163</v>
      </c>
      <c r="B370" s="4" t="str">
        <f t="shared" si="1"/>
        <v>15</v>
      </c>
    </row>
    <row r="371">
      <c r="A371" s="4" t="s">
        <v>4122</v>
      </c>
      <c r="B371" s="4" t="str">
        <f t="shared" si="1"/>
        <v>15</v>
      </c>
    </row>
    <row r="372">
      <c r="A372" s="4" t="s">
        <v>3929</v>
      </c>
      <c r="B372" s="4" t="str">
        <f t="shared" si="1"/>
        <v>14</v>
      </c>
    </row>
    <row r="373">
      <c r="A373" s="4" t="s">
        <v>4164</v>
      </c>
      <c r="B373" s="4" t="str">
        <f t="shared" si="1"/>
        <v>22</v>
      </c>
    </row>
    <row r="374">
      <c r="A374" s="4" t="s">
        <v>4165</v>
      </c>
      <c r="B374" s="4" t="str">
        <f t="shared" si="1"/>
        <v>21</v>
      </c>
    </row>
    <row r="375">
      <c r="A375" s="4" t="s">
        <v>4166</v>
      </c>
      <c r="B375" s="4" t="str">
        <f t="shared" si="1"/>
        <v>22</v>
      </c>
    </row>
    <row r="376">
      <c r="A376" s="4" t="s">
        <v>3890</v>
      </c>
      <c r="B376" s="4" t="str">
        <f t="shared" si="1"/>
        <v>14</v>
      </c>
    </row>
    <row r="377">
      <c r="A377" s="4" t="s">
        <v>3914</v>
      </c>
      <c r="B377" s="4" t="str">
        <f t="shared" si="1"/>
        <v>15</v>
      </c>
    </row>
    <row r="378">
      <c r="A378" s="4" t="s">
        <v>4015</v>
      </c>
      <c r="B378" s="4" t="str">
        <f t="shared" si="1"/>
        <v>17</v>
      </c>
    </row>
    <row r="379">
      <c r="A379" s="4" t="s">
        <v>4144</v>
      </c>
      <c r="B379" s="4" t="str">
        <f t="shared" si="1"/>
        <v>20</v>
      </c>
    </row>
    <row r="380">
      <c r="A380" s="4" t="s">
        <v>4167</v>
      </c>
      <c r="B380" s="4" t="str">
        <f t="shared" si="1"/>
        <v>20</v>
      </c>
    </row>
    <row r="381">
      <c r="A381" s="4" t="s">
        <v>4168</v>
      </c>
      <c r="B381" s="4" t="str">
        <f t="shared" si="1"/>
        <v>09</v>
      </c>
    </row>
    <row r="382">
      <c r="A382" s="4" t="s">
        <v>4000</v>
      </c>
      <c r="B382" s="4" t="str">
        <f t="shared" si="1"/>
        <v>11</v>
      </c>
    </row>
    <row r="383">
      <c r="A383" s="4" t="s">
        <v>4169</v>
      </c>
      <c r="B383" s="4" t="str">
        <f t="shared" si="1"/>
        <v>14</v>
      </c>
    </row>
    <row r="384">
      <c r="A384" s="4" t="s">
        <v>4008</v>
      </c>
      <c r="B384" s="4" t="str">
        <f t="shared" si="1"/>
        <v>16</v>
      </c>
    </row>
    <row r="385">
      <c r="A385" s="4" t="s">
        <v>4074</v>
      </c>
      <c r="B385" s="4" t="str">
        <f t="shared" si="1"/>
        <v>16</v>
      </c>
    </row>
    <row r="386">
      <c r="A386" s="4" t="s">
        <v>4170</v>
      </c>
      <c r="B386" s="4" t="str">
        <f t="shared" si="1"/>
        <v>19</v>
      </c>
    </row>
    <row r="387">
      <c r="A387" s="4" t="s">
        <v>3923</v>
      </c>
      <c r="B387" s="4" t="str">
        <f t="shared" si="1"/>
        <v>17</v>
      </c>
    </row>
    <row r="388">
      <c r="A388" s="4" t="s">
        <v>4171</v>
      </c>
      <c r="B388" s="4" t="str">
        <f t="shared" si="1"/>
        <v>20</v>
      </c>
    </row>
    <row r="389">
      <c r="A389" s="4" t="s">
        <v>4172</v>
      </c>
      <c r="B389" s="4" t="str">
        <f t="shared" si="1"/>
        <v>18</v>
      </c>
    </row>
    <row r="390">
      <c r="A390" s="4" t="s">
        <v>4173</v>
      </c>
      <c r="B390" s="4" t="str">
        <f t="shared" si="1"/>
        <v>16</v>
      </c>
    </row>
    <row r="391">
      <c r="A391" s="4" t="s">
        <v>3922</v>
      </c>
      <c r="B391" s="4" t="str">
        <f t="shared" si="1"/>
        <v>13</v>
      </c>
    </row>
    <row r="392">
      <c r="A392" s="4" t="s">
        <v>4174</v>
      </c>
      <c r="B392" s="4" t="str">
        <f t="shared" si="1"/>
        <v>11</v>
      </c>
    </row>
    <row r="393">
      <c r="A393" s="4" t="s">
        <v>4040</v>
      </c>
      <c r="B393" s="4" t="str">
        <f t="shared" si="1"/>
        <v>15</v>
      </c>
    </row>
    <row r="394">
      <c r="A394" s="4" t="s">
        <v>3944</v>
      </c>
      <c r="B394" s="4" t="str">
        <f t="shared" si="1"/>
        <v>14</v>
      </c>
    </row>
    <row r="395">
      <c r="A395" s="4" t="s">
        <v>4175</v>
      </c>
      <c r="B395" s="4" t="str">
        <f t="shared" si="1"/>
        <v>19</v>
      </c>
    </row>
    <row r="396">
      <c r="A396" s="4" t="s">
        <v>4176</v>
      </c>
      <c r="B396" s="4" t="str">
        <f t="shared" si="1"/>
        <v>00</v>
      </c>
    </row>
    <row r="397">
      <c r="A397" s="4" t="s">
        <v>4000</v>
      </c>
      <c r="B397" s="4" t="str">
        <f t="shared" si="1"/>
        <v>11</v>
      </c>
    </row>
    <row r="398">
      <c r="A398" s="4" t="s">
        <v>3892</v>
      </c>
      <c r="B398" s="4" t="str">
        <f t="shared" si="1"/>
        <v>15</v>
      </c>
    </row>
    <row r="399">
      <c r="A399" s="4" t="s">
        <v>3997</v>
      </c>
      <c r="B399" s="4" t="str">
        <f t="shared" si="1"/>
        <v>16</v>
      </c>
    </row>
    <row r="400">
      <c r="A400" s="4" t="s">
        <v>4177</v>
      </c>
      <c r="B400" s="4" t="str">
        <f t="shared" si="1"/>
        <v>14</v>
      </c>
    </row>
    <row r="401">
      <c r="A401" s="4" t="s">
        <v>4178</v>
      </c>
      <c r="B401" s="4" t="str">
        <f t="shared" si="1"/>
        <v>17</v>
      </c>
    </row>
    <row r="402">
      <c r="A402" s="4" t="s">
        <v>3939</v>
      </c>
      <c r="B402" s="4" t="str">
        <f t="shared" si="1"/>
        <v>12</v>
      </c>
    </row>
    <row r="403">
      <c r="A403" s="4" t="s">
        <v>3939</v>
      </c>
      <c r="B403" s="4" t="str">
        <f t="shared" si="1"/>
        <v>12</v>
      </c>
    </row>
    <row r="404">
      <c r="A404" s="4" t="s">
        <v>4169</v>
      </c>
      <c r="B404" s="4" t="str">
        <f t="shared" si="1"/>
        <v>14</v>
      </c>
    </row>
    <row r="405">
      <c r="A405" s="4" t="s">
        <v>4044</v>
      </c>
      <c r="B405" s="4" t="str">
        <f t="shared" si="1"/>
        <v>14</v>
      </c>
    </row>
    <row r="406">
      <c r="A406" s="4" t="s">
        <v>3966</v>
      </c>
      <c r="B406" s="4" t="str">
        <f t="shared" si="1"/>
        <v>13</v>
      </c>
    </row>
    <row r="407">
      <c r="A407" s="4" t="s">
        <v>4179</v>
      </c>
      <c r="B407" s="4" t="str">
        <f t="shared" si="1"/>
        <v>16</v>
      </c>
    </row>
    <row r="408">
      <c r="A408" s="4" t="s">
        <v>4180</v>
      </c>
      <c r="B408" s="4" t="str">
        <f t="shared" si="1"/>
        <v>17</v>
      </c>
    </row>
    <row r="409">
      <c r="A409" s="4" t="s">
        <v>4181</v>
      </c>
      <c r="B409" s="4" t="str">
        <f t="shared" si="1"/>
        <v>12</v>
      </c>
    </row>
    <row r="410">
      <c r="A410" s="4" t="s">
        <v>3969</v>
      </c>
      <c r="B410" s="4" t="str">
        <f t="shared" si="1"/>
        <v>14</v>
      </c>
    </row>
    <row r="411">
      <c r="A411" s="4" t="s">
        <v>3966</v>
      </c>
      <c r="B411" s="4" t="str">
        <f t="shared" si="1"/>
        <v>13</v>
      </c>
    </row>
    <row r="412">
      <c r="A412" s="4" t="s">
        <v>4182</v>
      </c>
      <c r="B412" s="4" t="str">
        <f t="shared" si="1"/>
        <v>13</v>
      </c>
    </row>
    <row r="413">
      <c r="A413" s="4" t="s">
        <v>3904</v>
      </c>
      <c r="B413" s="4" t="str">
        <f t="shared" si="1"/>
        <v>14</v>
      </c>
    </row>
    <row r="414">
      <c r="A414" s="4" t="s">
        <v>3943</v>
      </c>
      <c r="B414" s="4" t="str">
        <f t="shared" si="1"/>
        <v>13</v>
      </c>
    </row>
    <row r="415">
      <c r="A415" s="4" t="s">
        <v>3898</v>
      </c>
      <c r="B415" s="4" t="str">
        <f t="shared" si="1"/>
        <v>14</v>
      </c>
    </row>
    <row r="416">
      <c r="A416" s="4" t="s">
        <v>4183</v>
      </c>
      <c r="B416" s="4" t="str">
        <f t="shared" si="1"/>
        <v>14</v>
      </c>
    </row>
    <row r="417">
      <c r="A417" s="4" t="s">
        <v>4184</v>
      </c>
      <c r="B417" s="4" t="str">
        <f t="shared" si="1"/>
        <v>15</v>
      </c>
    </row>
    <row r="418">
      <c r="A418" s="4" t="s">
        <v>4185</v>
      </c>
      <c r="B418" s="4" t="str">
        <f t="shared" si="1"/>
        <v>18</v>
      </c>
    </row>
    <row r="419">
      <c r="A419" s="4" t="s">
        <v>4122</v>
      </c>
      <c r="B419" s="4" t="str">
        <f t="shared" si="1"/>
        <v>15</v>
      </c>
    </row>
    <row r="420">
      <c r="A420" s="4" t="s">
        <v>3989</v>
      </c>
      <c r="B420" s="4" t="str">
        <f t="shared" si="1"/>
        <v>16</v>
      </c>
    </row>
    <row r="421">
      <c r="A421" s="4" t="s">
        <v>3956</v>
      </c>
      <c r="B421" s="4" t="str">
        <f t="shared" si="1"/>
        <v>23</v>
      </c>
    </row>
    <row r="422">
      <c r="A422" s="4" t="s">
        <v>4186</v>
      </c>
      <c r="B422" s="4" t="str">
        <f t="shared" si="1"/>
        <v>14</v>
      </c>
    </row>
    <row r="423">
      <c r="A423" s="4" t="s">
        <v>3952</v>
      </c>
      <c r="B423" s="4" t="str">
        <f t="shared" si="1"/>
        <v>13</v>
      </c>
    </row>
    <row r="424">
      <c r="A424" s="4" t="s">
        <v>4187</v>
      </c>
      <c r="B424" s="4" t="str">
        <f t="shared" si="1"/>
        <v>13</v>
      </c>
    </row>
    <row r="425">
      <c r="A425" s="4" t="s">
        <v>4158</v>
      </c>
      <c r="B425" s="4" t="str">
        <f t="shared" si="1"/>
        <v>12</v>
      </c>
    </row>
    <row r="426">
      <c r="A426" s="4" t="s">
        <v>4188</v>
      </c>
      <c r="B426" s="4" t="str">
        <f t="shared" si="1"/>
        <v>15</v>
      </c>
    </row>
    <row r="427">
      <c r="A427" s="4" t="s">
        <v>4084</v>
      </c>
      <c r="B427" s="4" t="str">
        <f t="shared" si="1"/>
        <v>13</v>
      </c>
    </row>
    <row r="428">
      <c r="A428" s="4" t="s">
        <v>4084</v>
      </c>
      <c r="B428" s="4" t="str">
        <f t="shared" si="1"/>
        <v>13</v>
      </c>
    </row>
    <row r="429">
      <c r="A429" s="4" t="s">
        <v>4160</v>
      </c>
      <c r="B429" s="4" t="str">
        <f t="shared" si="1"/>
        <v>14</v>
      </c>
    </row>
    <row r="430">
      <c r="A430" s="4" t="s">
        <v>3941</v>
      </c>
      <c r="B430" s="4" t="str">
        <f t="shared" si="1"/>
        <v>18</v>
      </c>
    </row>
    <row r="431">
      <c r="A431" s="4" t="s">
        <v>4082</v>
      </c>
      <c r="B431" s="4" t="str">
        <f t="shared" si="1"/>
        <v>13</v>
      </c>
    </row>
    <row r="432">
      <c r="A432" s="4" t="s">
        <v>4189</v>
      </c>
      <c r="B432" s="4" t="str">
        <f t="shared" si="1"/>
        <v>16</v>
      </c>
    </row>
    <row r="433">
      <c r="A433" s="4" t="s">
        <v>4190</v>
      </c>
      <c r="B433" s="4" t="str">
        <f t="shared" si="1"/>
        <v>17</v>
      </c>
    </row>
    <row r="434">
      <c r="A434" s="4" t="s">
        <v>4191</v>
      </c>
      <c r="B434" s="4" t="str">
        <f t="shared" si="1"/>
        <v>15</v>
      </c>
    </row>
    <row r="435">
      <c r="A435" s="4" t="s">
        <v>3910</v>
      </c>
      <c r="B435" s="4" t="str">
        <f t="shared" si="1"/>
        <v>16</v>
      </c>
    </row>
    <row r="436">
      <c r="A436" s="4" t="s">
        <v>3982</v>
      </c>
      <c r="B436" s="4" t="str">
        <f t="shared" si="1"/>
        <v>18</v>
      </c>
    </row>
    <row r="437">
      <c r="A437" s="4" t="s">
        <v>4192</v>
      </c>
      <c r="B437" s="4" t="str">
        <f t="shared" si="1"/>
        <v>01</v>
      </c>
    </row>
    <row r="438">
      <c r="A438" s="4" t="s">
        <v>4193</v>
      </c>
      <c r="B438" s="4" t="str">
        <f t="shared" si="1"/>
        <v>11</v>
      </c>
    </row>
    <row r="439">
      <c r="A439" s="4" t="s">
        <v>4194</v>
      </c>
      <c r="B439" s="4" t="str">
        <f t="shared" si="1"/>
        <v>16</v>
      </c>
    </row>
    <row r="440">
      <c r="A440" s="4" t="s">
        <v>4195</v>
      </c>
      <c r="B440" s="4" t="str">
        <f t="shared" si="1"/>
        <v>16</v>
      </c>
    </row>
    <row r="441">
      <c r="A441" s="4" t="s">
        <v>4196</v>
      </c>
      <c r="B441" s="4" t="str">
        <f t="shared" si="1"/>
        <v>14</v>
      </c>
    </row>
    <row r="442">
      <c r="A442" s="4" t="s">
        <v>4149</v>
      </c>
      <c r="B442" s="4" t="str">
        <f t="shared" si="1"/>
        <v>14</v>
      </c>
    </row>
    <row r="443">
      <c r="A443" s="4" t="s">
        <v>4197</v>
      </c>
      <c r="B443" s="4" t="str">
        <f t="shared" si="1"/>
        <v>17</v>
      </c>
    </row>
    <row r="444">
      <c r="A444" s="4" t="s">
        <v>4198</v>
      </c>
      <c r="B444" s="4" t="str">
        <f t="shared" si="1"/>
        <v>16</v>
      </c>
    </row>
    <row r="445">
      <c r="A445" s="4" t="s">
        <v>4008</v>
      </c>
      <c r="B445" s="4" t="str">
        <f t="shared" si="1"/>
        <v>16</v>
      </c>
    </row>
    <row r="446">
      <c r="A446" s="4" t="s">
        <v>4199</v>
      </c>
      <c r="B446" s="4" t="str">
        <f t="shared" si="1"/>
        <v>10</v>
      </c>
    </row>
    <row r="447">
      <c r="A447" s="4" t="s">
        <v>4200</v>
      </c>
      <c r="B447" s="4" t="str">
        <f t="shared" si="1"/>
        <v>13</v>
      </c>
    </row>
    <row r="448">
      <c r="A448" s="4" t="s">
        <v>4043</v>
      </c>
      <c r="B448" s="4" t="str">
        <f t="shared" si="1"/>
        <v>14</v>
      </c>
    </row>
    <row r="449">
      <c r="A449" s="4" t="s">
        <v>4159</v>
      </c>
      <c r="B449" s="4" t="str">
        <f t="shared" si="1"/>
        <v>14</v>
      </c>
    </row>
    <row r="450">
      <c r="A450" s="4" t="s">
        <v>4017</v>
      </c>
      <c r="B450" s="4" t="str">
        <f t="shared" si="1"/>
        <v>23</v>
      </c>
    </row>
    <row r="451">
      <c r="A451" s="4" t="s">
        <v>4201</v>
      </c>
      <c r="B451" s="4" t="str">
        <f t="shared" si="1"/>
        <v>08</v>
      </c>
    </row>
    <row r="452">
      <c r="A452" s="4" t="s">
        <v>4202</v>
      </c>
      <c r="B452" s="4" t="str">
        <f t="shared" si="1"/>
        <v>10</v>
      </c>
    </row>
    <row r="453">
      <c r="A453" s="4" t="s">
        <v>4203</v>
      </c>
      <c r="B453" s="4" t="str">
        <f t="shared" si="1"/>
        <v>12</v>
      </c>
    </row>
    <row r="454">
      <c r="A454" s="4" t="s">
        <v>4203</v>
      </c>
      <c r="B454" s="4" t="str">
        <f t="shared" si="1"/>
        <v>12</v>
      </c>
    </row>
    <row r="455">
      <c r="A455" s="4" t="s">
        <v>4203</v>
      </c>
      <c r="B455" s="4" t="str">
        <f t="shared" si="1"/>
        <v>12</v>
      </c>
    </row>
    <row r="456">
      <c r="A456" s="4" t="s">
        <v>4203</v>
      </c>
      <c r="B456" s="4" t="str">
        <f t="shared" si="1"/>
        <v>12</v>
      </c>
    </row>
    <row r="457">
      <c r="A457" s="4" t="s">
        <v>4204</v>
      </c>
      <c r="B457" s="4" t="str">
        <f t="shared" si="1"/>
        <v>12</v>
      </c>
    </row>
    <row r="458">
      <c r="A458" s="4" t="s">
        <v>4205</v>
      </c>
      <c r="B458" s="4" t="str">
        <f t="shared" si="1"/>
        <v>13</v>
      </c>
    </row>
    <row r="459">
      <c r="A459" s="4" t="s">
        <v>4205</v>
      </c>
      <c r="B459" s="4" t="str">
        <f t="shared" si="1"/>
        <v>13</v>
      </c>
    </row>
    <row r="460">
      <c r="A460" s="4" t="s">
        <v>4205</v>
      </c>
      <c r="B460" s="4" t="str">
        <f t="shared" si="1"/>
        <v>13</v>
      </c>
    </row>
    <row r="461">
      <c r="A461" s="4" t="s">
        <v>4206</v>
      </c>
      <c r="B461" s="4" t="str">
        <f t="shared" si="1"/>
        <v>13</v>
      </c>
    </row>
    <row r="462">
      <c r="A462" s="4" t="s">
        <v>4207</v>
      </c>
      <c r="B462" s="4" t="str">
        <f t="shared" si="1"/>
        <v>13</v>
      </c>
    </row>
    <row r="463">
      <c r="A463" s="4" t="s">
        <v>4189</v>
      </c>
      <c r="B463" s="4" t="str">
        <f t="shared" si="1"/>
        <v>16</v>
      </c>
    </row>
    <row r="464">
      <c r="A464" s="4" t="s">
        <v>3958</v>
      </c>
      <c r="B464" s="4" t="str">
        <f t="shared" si="1"/>
        <v>16</v>
      </c>
    </row>
    <row r="465">
      <c r="A465" s="4" t="s">
        <v>4208</v>
      </c>
      <c r="B465" s="4" t="str">
        <f t="shared" si="1"/>
        <v>08</v>
      </c>
    </row>
    <row r="466">
      <c r="A466" s="4" t="s">
        <v>4209</v>
      </c>
      <c r="B466" s="4" t="str">
        <f t="shared" si="1"/>
        <v>10</v>
      </c>
    </row>
    <row r="467">
      <c r="A467" s="4" t="s">
        <v>4210</v>
      </c>
      <c r="B467" s="4" t="str">
        <f t="shared" si="1"/>
        <v>10</v>
      </c>
    </row>
    <row r="468">
      <c r="A468" s="4" t="s">
        <v>4174</v>
      </c>
      <c r="B468" s="4" t="str">
        <f t="shared" si="1"/>
        <v>11</v>
      </c>
    </row>
    <row r="469">
      <c r="A469" s="4" t="s">
        <v>4103</v>
      </c>
      <c r="B469" s="4" t="str">
        <f t="shared" si="1"/>
        <v>15</v>
      </c>
    </row>
    <row r="470">
      <c r="A470" s="4" t="s">
        <v>4185</v>
      </c>
      <c r="B470" s="4" t="str">
        <f t="shared" si="1"/>
        <v>18</v>
      </c>
    </row>
    <row r="471">
      <c r="A471" s="4" t="s">
        <v>3978</v>
      </c>
      <c r="B471" s="4" t="str">
        <f t="shared" si="1"/>
        <v>15</v>
      </c>
    </row>
    <row r="472">
      <c r="A472" s="4" t="s">
        <v>3957</v>
      </c>
      <c r="B472" s="4" t="str">
        <f t="shared" si="1"/>
        <v>16</v>
      </c>
    </row>
    <row r="473">
      <c r="A473" s="4" t="s">
        <v>4211</v>
      </c>
      <c r="B473" s="4" t="str">
        <f t="shared" si="1"/>
        <v>11</v>
      </c>
    </row>
    <row r="474">
      <c r="A474" s="4" t="s">
        <v>3890</v>
      </c>
      <c r="B474" s="4" t="str">
        <f t="shared" si="1"/>
        <v>14</v>
      </c>
    </row>
    <row r="475">
      <c r="A475" s="4" t="s">
        <v>4212</v>
      </c>
      <c r="B475" s="4" t="str">
        <f t="shared" si="1"/>
        <v>15</v>
      </c>
    </row>
    <row r="476">
      <c r="A476" s="4" t="s">
        <v>4213</v>
      </c>
      <c r="B476" s="4" t="str">
        <f t="shared" si="1"/>
        <v>16</v>
      </c>
    </row>
    <row r="477">
      <c r="A477" s="4" t="s">
        <v>3931</v>
      </c>
      <c r="B477" s="4" t="str">
        <f t="shared" si="1"/>
        <v>16</v>
      </c>
    </row>
    <row r="478">
      <c r="A478" s="4" t="s">
        <v>3989</v>
      </c>
      <c r="B478" s="4" t="str">
        <f t="shared" si="1"/>
        <v>16</v>
      </c>
    </row>
    <row r="479">
      <c r="A479" s="4" t="s">
        <v>4123</v>
      </c>
      <c r="B479" s="4" t="str">
        <f t="shared" si="1"/>
        <v>14</v>
      </c>
    </row>
    <row r="480">
      <c r="A480" s="4" t="s">
        <v>3881</v>
      </c>
      <c r="B480" s="4" t="str">
        <f t="shared" si="1"/>
        <v>13</v>
      </c>
    </row>
    <row r="481">
      <c r="A481" s="4" t="s">
        <v>4214</v>
      </c>
      <c r="B481" s="4" t="str">
        <f t="shared" si="1"/>
        <v>15</v>
      </c>
    </row>
    <row r="482">
      <c r="A482" s="4" t="s">
        <v>4090</v>
      </c>
      <c r="B482" s="4" t="str">
        <f t="shared" si="1"/>
        <v>15</v>
      </c>
    </row>
    <row r="483">
      <c r="A483" s="4" t="s">
        <v>4215</v>
      </c>
      <c r="B483" s="4" t="str">
        <f t="shared" si="1"/>
        <v>17</v>
      </c>
    </row>
    <row r="484">
      <c r="A484" s="4" t="s">
        <v>4147</v>
      </c>
      <c r="B484" s="4" t="str">
        <f t="shared" si="1"/>
        <v>15</v>
      </c>
    </row>
    <row r="485">
      <c r="A485" s="4" t="s">
        <v>4033</v>
      </c>
      <c r="B485" s="4" t="str">
        <f t="shared" si="1"/>
        <v>15</v>
      </c>
    </row>
    <row r="486">
      <c r="A486" s="4" t="s">
        <v>3950</v>
      </c>
      <c r="B486" s="4" t="str">
        <f t="shared" si="1"/>
        <v>13</v>
      </c>
    </row>
    <row r="487">
      <c r="A487" s="4" t="s">
        <v>4216</v>
      </c>
      <c r="B487" s="4" t="str">
        <f t="shared" si="1"/>
        <v>13</v>
      </c>
    </row>
    <row r="488">
      <c r="A488" s="4" t="s">
        <v>4183</v>
      </c>
      <c r="B488" s="4" t="str">
        <f t="shared" si="1"/>
        <v>14</v>
      </c>
    </row>
    <row r="489">
      <c r="A489" s="4" t="s">
        <v>3892</v>
      </c>
      <c r="B489" s="4" t="str">
        <f t="shared" si="1"/>
        <v>15</v>
      </c>
    </row>
    <row r="490">
      <c r="A490" s="4" t="s">
        <v>4217</v>
      </c>
      <c r="B490" s="4" t="str">
        <f t="shared" si="1"/>
        <v>19</v>
      </c>
    </row>
    <row r="491">
      <c r="A491" s="4" t="s">
        <v>4218</v>
      </c>
      <c r="B491" s="4" t="str">
        <f t="shared" si="1"/>
        <v>17</v>
      </c>
    </row>
    <row r="492">
      <c r="A492" s="4" t="s">
        <v>4148</v>
      </c>
      <c r="B492" s="4" t="str">
        <f t="shared" si="1"/>
        <v>14</v>
      </c>
    </row>
    <row r="493">
      <c r="A493" s="4" t="s">
        <v>4056</v>
      </c>
      <c r="B493" s="4" t="str">
        <f t="shared" si="1"/>
        <v>17</v>
      </c>
    </row>
    <row r="494">
      <c r="A494" s="4" t="s">
        <v>4219</v>
      </c>
      <c r="B494" s="4" t="str">
        <f t="shared" si="1"/>
        <v>18</v>
      </c>
    </row>
    <row r="495">
      <c r="A495" s="4" t="s">
        <v>4220</v>
      </c>
      <c r="B495" s="4" t="str">
        <f t="shared" si="1"/>
        <v>22</v>
      </c>
    </row>
    <row r="496">
      <c r="A496" s="4" t="s">
        <v>4221</v>
      </c>
      <c r="B496" s="4" t="str">
        <f t="shared" si="1"/>
        <v>02</v>
      </c>
    </row>
    <row r="497">
      <c r="A497" s="4" t="s">
        <v>4156</v>
      </c>
      <c r="B497" s="4" t="str">
        <f t="shared" si="1"/>
        <v>16</v>
      </c>
    </row>
    <row r="498">
      <c r="A498" s="4" t="s">
        <v>3933</v>
      </c>
      <c r="B498" s="4" t="str">
        <f t="shared" si="1"/>
        <v>14</v>
      </c>
    </row>
    <row r="499">
      <c r="A499" s="4" t="s">
        <v>4216</v>
      </c>
      <c r="B499" s="4" t="str">
        <f t="shared" si="1"/>
        <v>13</v>
      </c>
    </row>
    <row r="500">
      <c r="A500" s="4" t="s">
        <v>4222</v>
      </c>
      <c r="B500" s="4" t="str">
        <f t="shared" si="1"/>
        <v>17</v>
      </c>
    </row>
    <row r="501">
      <c r="A501" s="4" t="s">
        <v>4223</v>
      </c>
      <c r="B501" s="4" t="str">
        <f t="shared" si="1"/>
        <v>04</v>
      </c>
    </row>
    <row r="502">
      <c r="A502" s="4" t="s">
        <v>3929</v>
      </c>
      <c r="B502" s="4" t="str">
        <f t="shared" si="1"/>
        <v>14</v>
      </c>
    </row>
    <row r="503">
      <c r="A503" s="4" t="s">
        <v>4224</v>
      </c>
      <c r="B503" s="4" t="str">
        <f t="shared" si="1"/>
        <v>17</v>
      </c>
    </row>
    <row r="504">
      <c r="A504" s="4" t="s">
        <v>4161</v>
      </c>
      <c r="B504" s="4" t="str">
        <f t="shared" si="1"/>
        <v>12</v>
      </c>
    </row>
    <row r="505">
      <c r="A505" s="4" t="s">
        <v>4225</v>
      </c>
      <c r="B505" s="4" t="str">
        <f t="shared" si="1"/>
        <v>10</v>
      </c>
    </row>
    <row r="506">
      <c r="A506" s="4" t="s">
        <v>4160</v>
      </c>
      <c r="B506" s="4" t="str">
        <f t="shared" si="1"/>
        <v>14</v>
      </c>
    </row>
    <row r="507">
      <c r="A507" s="4" t="s">
        <v>4072</v>
      </c>
      <c r="B507" s="4" t="str">
        <f t="shared" si="1"/>
        <v>16</v>
      </c>
    </row>
    <row r="508">
      <c r="A508" s="4" t="s">
        <v>4226</v>
      </c>
      <c r="B508" s="4" t="str">
        <f t="shared" si="1"/>
        <v>12</v>
      </c>
    </row>
    <row r="509">
      <c r="A509" s="4" t="s">
        <v>4227</v>
      </c>
      <c r="B509" s="4" t="str">
        <f t="shared" si="1"/>
        <v>13</v>
      </c>
    </row>
    <row r="510">
      <c r="A510" s="4" t="s">
        <v>3961</v>
      </c>
      <c r="B510" s="4" t="str">
        <f t="shared" si="1"/>
        <v>14</v>
      </c>
    </row>
    <row r="511">
      <c r="A511" s="4" t="s">
        <v>4228</v>
      </c>
      <c r="B511" s="4" t="str">
        <f t="shared" si="1"/>
        <v>16</v>
      </c>
    </row>
    <row r="512">
      <c r="A512" s="4" t="s">
        <v>4190</v>
      </c>
      <c r="B512" s="4" t="str">
        <f t="shared" si="1"/>
        <v>17</v>
      </c>
    </row>
    <row r="513">
      <c r="A513" s="4" t="s">
        <v>4229</v>
      </c>
      <c r="B513" s="4" t="str">
        <f t="shared" si="1"/>
        <v>02</v>
      </c>
    </row>
    <row r="514">
      <c r="A514" s="4" t="s">
        <v>4096</v>
      </c>
      <c r="B514" s="4" t="str">
        <f t="shared" si="1"/>
        <v>12</v>
      </c>
    </row>
    <row r="515">
      <c r="A515" s="4" t="s">
        <v>4102</v>
      </c>
      <c r="B515" s="4" t="str">
        <f t="shared" si="1"/>
        <v>13</v>
      </c>
    </row>
    <row r="516">
      <c r="A516" s="4" t="s">
        <v>3946</v>
      </c>
      <c r="B516" s="4" t="str">
        <f t="shared" si="1"/>
        <v>16</v>
      </c>
    </row>
    <row r="517">
      <c r="A517" s="4" t="s">
        <v>4124</v>
      </c>
      <c r="B517" s="4" t="str">
        <f t="shared" si="1"/>
        <v>16</v>
      </c>
    </row>
    <row r="518">
      <c r="A518" s="4" t="s">
        <v>4230</v>
      </c>
      <c r="B518" s="4" t="str">
        <f t="shared" si="1"/>
        <v>01</v>
      </c>
    </row>
    <row r="519">
      <c r="A519" s="4" t="s">
        <v>3890</v>
      </c>
      <c r="B519" s="4" t="str">
        <f t="shared" si="1"/>
        <v>14</v>
      </c>
    </row>
    <row r="520">
      <c r="A520" s="4" t="s">
        <v>4231</v>
      </c>
      <c r="B520" s="4" t="str">
        <f t="shared" si="1"/>
        <v>14</v>
      </c>
    </row>
    <row r="521">
      <c r="A521" s="4" t="s">
        <v>4051</v>
      </c>
      <c r="B521" s="4" t="str">
        <f t="shared" si="1"/>
        <v>15</v>
      </c>
    </row>
    <row r="522">
      <c r="A522" s="4" t="s">
        <v>3985</v>
      </c>
      <c r="B522" s="4" t="str">
        <f t="shared" si="1"/>
        <v>13</v>
      </c>
    </row>
    <row r="523">
      <c r="A523" s="4" t="s">
        <v>4232</v>
      </c>
      <c r="B523" s="4" t="str">
        <f t="shared" si="1"/>
        <v>14</v>
      </c>
    </row>
    <row r="524">
      <c r="A524" s="4" t="s">
        <v>4233</v>
      </c>
      <c r="B524" s="4" t="str">
        <f t="shared" si="1"/>
        <v>14</v>
      </c>
    </row>
    <row r="525">
      <c r="A525" s="4" t="s">
        <v>4234</v>
      </c>
      <c r="B525" s="4" t="str">
        <f t="shared" si="1"/>
        <v>07</v>
      </c>
    </row>
    <row r="526">
      <c r="A526" s="4" t="s">
        <v>4235</v>
      </c>
      <c r="B526" s="4" t="str">
        <f t="shared" si="1"/>
        <v>16</v>
      </c>
    </row>
    <row r="527">
      <c r="A527" s="4" t="s">
        <v>3896</v>
      </c>
      <c r="B527" s="4" t="str">
        <f t="shared" si="1"/>
        <v>14</v>
      </c>
    </row>
    <row r="528">
      <c r="A528" s="4" t="s">
        <v>4141</v>
      </c>
      <c r="B528" s="4" t="str">
        <f t="shared" si="1"/>
        <v>14</v>
      </c>
    </row>
    <row r="529">
      <c r="A529" s="4" t="s">
        <v>4132</v>
      </c>
      <c r="B529" s="4" t="str">
        <f t="shared" si="1"/>
        <v>14</v>
      </c>
    </row>
    <row r="530">
      <c r="A530" s="4" t="s">
        <v>4236</v>
      </c>
      <c r="B530" s="4" t="str">
        <f t="shared" si="1"/>
        <v>14</v>
      </c>
    </row>
    <row r="531">
      <c r="A531" s="4" t="s">
        <v>4237</v>
      </c>
      <c r="B531" s="4" t="str">
        <f t="shared" si="1"/>
        <v>16</v>
      </c>
    </row>
    <row r="532">
      <c r="A532" s="4" t="s">
        <v>4159</v>
      </c>
      <c r="B532" s="4" t="str">
        <f t="shared" si="1"/>
        <v>14</v>
      </c>
    </row>
    <row r="533">
      <c r="A533" s="4" t="s">
        <v>4228</v>
      </c>
      <c r="B533" s="4" t="str">
        <f t="shared" si="1"/>
        <v>16</v>
      </c>
    </row>
    <row r="534">
      <c r="A534" s="4" t="s">
        <v>4238</v>
      </c>
      <c r="B534" s="4" t="str">
        <f t="shared" si="1"/>
        <v>17</v>
      </c>
    </row>
    <row r="535">
      <c r="A535" s="4" t="s">
        <v>4239</v>
      </c>
      <c r="B535" s="4" t="str">
        <f t="shared" si="1"/>
        <v>18</v>
      </c>
    </row>
    <row r="536">
      <c r="A536" s="4" t="s">
        <v>4120</v>
      </c>
      <c r="B536" s="4" t="str">
        <f t="shared" si="1"/>
        <v>09</v>
      </c>
    </row>
    <row r="537">
      <c r="A537" s="4" t="s">
        <v>3890</v>
      </c>
      <c r="B537" s="4" t="str">
        <f t="shared" si="1"/>
        <v>14</v>
      </c>
    </row>
    <row r="538">
      <c r="A538" s="4" t="s">
        <v>4072</v>
      </c>
      <c r="B538" s="4" t="str">
        <f t="shared" si="1"/>
        <v>16</v>
      </c>
    </row>
    <row r="539">
      <c r="A539" s="4" t="s">
        <v>3890</v>
      </c>
      <c r="B539" s="4" t="str">
        <f t="shared" si="1"/>
        <v>14</v>
      </c>
    </row>
    <row r="540">
      <c r="A540" s="4" t="s">
        <v>4240</v>
      </c>
      <c r="B540" s="4" t="str">
        <f t="shared" si="1"/>
        <v>18</v>
      </c>
    </row>
    <row r="541">
      <c r="A541" s="4" t="s">
        <v>4241</v>
      </c>
      <c r="B541" s="4" t="str">
        <f t="shared" si="1"/>
        <v>19</v>
      </c>
    </row>
    <row r="542">
      <c r="A542" s="4" t="s">
        <v>4206</v>
      </c>
      <c r="B542" s="4" t="str">
        <f t="shared" si="1"/>
        <v>13</v>
      </c>
    </row>
    <row r="543">
      <c r="A543" s="4" t="s">
        <v>4242</v>
      </c>
      <c r="B543" s="4" t="str">
        <f t="shared" si="1"/>
        <v>15</v>
      </c>
    </row>
    <row r="544">
      <c r="A544" s="4" t="s">
        <v>4243</v>
      </c>
      <c r="B544" s="4" t="str">
        <f t="shared" si="1"/>
        <v>07</v>
      </c>
    </row>
    <row r="545">
      <c r="A545" s="4" t="s">
        <v>4061</v>
      </c>
      <c r="B545" s="4" t="str">
        <f t="shared" si="1"/>
        <v>13</v>
      </c>
    </row>
    <row r="546">
      <c r="A546" s="4" t="s">
        <v>4119</v>
      </c>
      <c r="B546" s="4" t="str">
        <f t="shared" si="1"/>
        <v>18</v>
      </c>
    </row>
    <row r="547">
      <c r="A547" s="4" t="s">
        <v>4244</v>
      </c>
      <c r="B547" s="4" t="str">
        <f t="shared" si="1"/>
        <v>15</v>
      </c>
    </row>
    <row r="548">
      <c r="A548" s="4" t="s">
        <v>3976</v>
      </c>
      <c r="B548" s="4" t="str">
        <f t="shared" si="1"/>
        <v>11</v>
      </c>
    </row>
    <row r="549">
      <c r="A549" s="4" t="s">
        <v>4245</v>
      </c>
      <c r="B549" s="4" t="str">
        <f t="shared" si="1"/>
        <v>12</v>
      </c>
    </row>
    <row r="550">
      <c r="A550" s="4" t="s">
        <v>4029</v>
      </c>
      <c r="B550" s="4" t="str">
        <f t="shared" si="1"/>
        <v>14</v>
      </c>
    </row>
    <row r="551">
      <c r="A551" s="4" t="s">
        <v>4246</v>
      </c>
      <c r="B551" s="4" t="str">
        <f t="shared" si="1"/>
        <v>15</v>
      </c>
    </row>
    <row r="552">
      <c r="A552" s="4" t="s">
        <v>4131</v>
      </c>
      <c r="B552" s="4" t="str">
        <f t="shared" si="1"/>
        <v>13</v>
      </c>
    </row>
    <row r="553">
      <c r="A553" s="4" t="s">
        <v>4039</v>
      </c>
      <c r="B553" s="4" t="str">
        <f t="shared" si="1"/>
        <v>14</v>
      </c>
    </row>
    <row r="554">
      <c r="A554" s="4" t="s">
        <v>3894</v>
      </c>
      <c r="B554" s="4" t="str">
        <f t="shared" si="1"/>
        <v>13</v>
      </c>
    </row>
    <row r="555">
      <c r="A555" s="4" t="s">
        <v>4056</v>
      </c>
      <c r="B555" s="4" t="str">
        <f t="shared" si="1"/>
        <v>17</v>
      </c>
    </row>
    <row r="556">
      <c r="A556" s="4" t="s">
        <v>4240</v>
      </c>
      <c r="B556" s="4" t="str">
        <f t="shared" si="1"/>
        <v>18</v>
      </c>
    </row>
    <row r="557">
      <c r="A557" s="4" t="s">
        <v>4247</v>
      </c>
      <c r="B557" s="4" t="str">
        <f t="shared" si="1"/>
        <v>08</v>
      </c>
    </row>
    <row r="558">
      <c r="A558" s="4" t="s">
        <v>4248</v>
      </c>
      <c r="B558" s="4" t="str">
        <f t="shared" si="1"/>
        <v>17</v>
      </c>
    </row>
    <row r="559">
      <c r="A559" s="4" t="s">
        <v>3916</v>
      </c>
      <c r="B559" s="4" t="str">
        <f t="shared" si="1"/>
        <v>15</v>
      </c>
    </row>
    <row r="560">
      <c r="A560" s="4" t="s">
        <v>4249</v>
      </c>
      <c r="B560" s="4" t="str">
        <f t="shared" si="1"/>
        <v>21</v>
      </c>
    </row>
    <row r="561">
      <c r="A561" s="4" t="s">
        <v>3942</v>
      </c>
      <c r="B561" s="4" t="str">
        <f t="shared" si="1"/>
        <v>22</v>
      </c>
    </row>
    <row r="562">
      <c r="A562" s="4" t="s">
        <v>4250</v>
      </c>
      <c r="B562" s="4" t="str">
        <f t="shared" si="1"/>
        <v>08</v>
      </c>
    </row>
    <row r="563">
      <c r="A563" s="4" t="s">
        <v>4251</v>
      </c>
      <c r="B563" s="4" t="str">
        <f t="shared" si="1"/>
        <v>12</v>
      </c>
    </row>
    <row r="564">
      <c r="A564" s="4" t="s">
        <v>4252</v>
      </c>
      <c r="B564" s="4" t="str">
        <f t="shared" si="1"/>
        <v>14</v>
      </c>
    </row>
    <row r="565">
      <c r="A565" s="4" t="s">
        <v>4253</v>
      </c>
      <c r="B565" s="4" t="str">
        <f t="shared" si="1"/>
        <v>15</v>
      </c>
    </row>
    <row r="566">
      <c r="A566" s="4" t="s">
        <v>3986</v>
      </c>
      <c r="B566" s="4" t="str">
        <f t="shared" si="1"/>
        <v>15</v>
      </c>
    </row>
    <row r="567">
      <c r="A567" s="4" t="s">
        <v>4208</v>
      </c>
      <c r="B567" s="4" t="str">
        <f t="shared" si="1"/>
        <v>08</v>
      </c>
    </row>
    <row r="568">
      <c r="A568" s="4" t="s">
        <v>4081</v>
      </c>
      <c r="B568" s="4" t="str">
        <f t="shared" si="1"/>
        <v>11</v>
      </c>
    </row>
    <row r="569">
      <c r="A569" s="4" t="s">
        <v>4254</v>
      </c>
      <c r="B569" s="4" t="str">
        <f t="shared" si="1"/>
        <v>14</v>
      </c>
    </row>
    <row r="570">
      <c r="A570" s="4" t="s">
        <v>4211</v>
      </c>
      <c r="B570" s="4" t="str">
        <f t="shared" si="1"/>
        <v>11</v>
      </c>
    </row>
    <row r="571">
      <c r="A571" s="4" t="s">
        <v>3978</v>
      </c>
      <c r="B571" s="4" t="str">
        <f t="shared" si="1"/>
        <v>15</v>
      </c>
    </row>
    <row r="572">
      <c r="A572" s="4" t="s">
        <v>4143</v>
      </c>
      <c r="B572" s="4" t="str">
        <f t="shared" si="1"/>
        <v>16</v>
      </c>
    </row>
    <row r="573">
      <c r="A573" s="4" t="s">
        <v>4185</v>
      </c>
      <c r="B573" s="4" t="str">
        <f t="shared" si="1"/>
        <v>18</v>
      </c>
    </row>
    <row r="574">
      <c r="A574" s="4" t="s">
        <v>4255</v>
      </c>
      <c r="B574" s="4" t="str">
        <f t="shared" si="1"/>
        <v>10</v>
      </c>
    </row>
    <row r="575">
      <c r="A575" s="4" t="s">
        <v>4216</v>
      </c>
      <c r="B575" s="4" t="str">
        <f t="shared" si="1"/>
        <v>13</v>
      </c>
    </row>
    <row r="576">
      <c r="A576" s="4" t="s">
        <v>3904</v>
      </c>
      <c r="B576" s="4" t="str">
        <f t="shared" si="1"/>
        <v>14</v>
      </c>
    </row>
    <row r="577">
      <c r="A577" s="4" t="s">
        <v>4026</v>
      </c>
      <c r="B577" s="4" t="str">
        <f t="shared" si="1"/>
        <v>18</v>
      </c>
    </row>
    <row r="578">
      <c r="A578" s="4" t="s">
        <v>4256</v>
      </c>
      <c r="B578" s="4" t="str">
        <f t="shared" si="1"/>
        <v>04</v>
      </c>
    </row>
    <row r="579">
      <c r="A579" s="4" t="s">
        <v>4257</v>
      </c>
      <c r="B579" s="4" t="str">
        <f t="shared" si="1"/>
        <v>11</v>
      </c>
    </row>
    <row r="580">
      <c r="A580" s="4" t="s">
        <v>4182</v>
      </c>
      <c r="B580" s="4" t="str">
        <f t="shared" si="1"/>
        <v>13</v>
      </c>
    </row>
    <row r="581">
      <c r="A581" s="4" t="s">
        <v>4258</v>
      </c>
      <c r="B581" s="4" t="str">
        <f t="shared" si="1"/>
        <v>10</v>
      </c>
    </row>
    <row r="582">
      <c r="A582" s="4" t="s">
        <v>4259</v>
      </c>
      <c r="B582" s="4" t="str">
        <f t="shared" si="1"/>
        <v>14</v>
      </c>
    </row>
    <row r="583">
      <c r="A583" s="4" t="s">
        <v>3956</v>
      </c>
      <c r="B583" s="4" t="str">
        <f t="shared" si="1"/>
        <v>23</v>
      </c>
    </row>
    <row r="584">
      <c r="A584" s="4" t="s">
        <v>4260</v>
      </c>
      <c r="B584" s="4" t="str">
        <f t="shared" si="1"/>
        <v>13</v>
      </c>
    </row>
    <row r="585">
      <c r="A585" s="4" t="s">
        <v>4261</v>
      </c>
      <c r="B585" s="4" t="str">
        <f t="shared" si="1"/>
        <v>09</v>
      </c>
    </row>
    <row r="586">
      <c r="A586" s="4" t="s">
        <v>3952</v>
      </c>
      <c r="B586" s="4" t="str">
        <f t="shared" si="1"/>
        <v>13</v>
      </c>
    </row>
    <row r="587">
      <c r="A587" s="4" t="s">
        <v>3953</v>
      </c>
      <c r="B587" s="4" t="str">
        <f t="shared" si="1"/>
        <v>13</v>
      </c>
    </row>
    <row r="588">
      <c r="A588" s="4" t="s">
        <v>4124</v>
      </c>
      <c r="B588" s="4" t="str">
        <f t="shared" si="1"/>
        <v>16</v>
      </c>
    </row>
    <row r="589">
      <c r="A589" s="4" t="s">
        <v>3924</v>
      </c>
      <c r="B589" s="4" t="str">
        <f t="shared" si="1"/>
        <v>16</v>
      </c>
    </row>
    <row r="590">
      <c r="A590" s="4" t="s">
        <v>4262</v>
      </c>
      <c r="B590" s="4" t="str">
        <f t="shared" si="1"/>
        <v>19</v>
      </c>
    </row>
    <row r="591">
      <c r="A591" s="4" t="s">
        <v>4263</v>
      </c>
      <c r="B591" s="4" t="str">
        <f t="shared" si="1"/>
        <v>20</v>
      </c>
    </row>
    <row r="592">
      <c r="A592" s="4" t="s">
        <v>4118</v>
      </c>
      <c r="B592" s="4" t="str">
        <f t="shared" si="1"/>
        <v>15</v>
      </c>
    </row>
    <row r="593">
      <c r="A593" s="4" t="s">
        <v>4160</v>
      </c>
      <c r="B593" s="4" t="str">
        <f t="shared" si="1"/>
        <v>14</v>
      </c>
    </row>
    <row r="594">
      <c r="A594" s="4" t="s">
        <v>4264</v>
      </c>
      <c r="B594" s="4" t="str">
        <f t="shared" si="1"/>
        <v>18</v>
      </c>
    </row>
    <row r="595">
      <c r="A595" s="4" t="s">
        <v>4265</v>
      </c>
      <c r="B595" s="4" t="str">
        <f t="shared" si="1"/>
        <v>17</v>
      </c>
    </row>
    <row r="596">
      <c r="A596" s="4" t="s">
        <v>4043</v>
      </c>
      <c r="B596" s="4" t="str">
        <f t="shared" si="1"/>
        <v>14</v>
      </c>
    </row>
    <row r="597">
      <c r="A597" s="4" t="s">
        <v>3914</v>
      </c>
      <c r="B597" s="4" t="str">
        <f t="shared" si="1"/>
        <v>15</v>
      </c>
    </row>
    <row r="598">
      <c r="A598" s="4" t="s">
        <v>4266</v>
      </c>
      <c r="B598" s="4" t="str">
        <f t="shared" si="1"/>
        <v>15</v>
      </c>
    </row>
    <row r="599">
      <c r="A599" s="4" t="s">
        <v>3993</v>
      </c>
      <c r="B599" s="4" t="str">
        <f t="shared" si="1"/>
        <v>14</v>
      </c>
    </row>
    <row r="600">
      <c r="A600" s="4" t="s">
        <v>4267</v>
      </c>
      <c r="B600" s="4" t="str">
        <f t="shared" si="1"/>
        <v>14</v>
      </c>
    </row>
    <row r="601">
      <c r="A601" s="4" t="s">
        <v>4268</v>
      </c>
      <c r="B601" s="4" t="str">
        <f t="shared" si="1"/>
        <v>21</v>
      </c>
    </row>
    <row r="602">
      <c r="A602" s="4" t="s">
        <v>4269</v>
      </c>
      <c r="B602" s="4" t="str">
        <f t="shared" si="1"/>
        <v>21</v>
      </c>
    </row>
    <row r="603">
      <c r="A603" s="4" t="s">
        <v>4269</v>
      </c>
      <c r="B603" s="4" t="str">
        <f t="shared" si="1"/>
        <v>21</v>
      </c>
    </row>
    <row r="604">
      <c r="A604" s="4" t="s">
        <v>4268</v>
      </c>
      <c r="B604" s="4" t="str">
        <f t="shared" si="1"/>
        <v>21</v>
      </c>
    </row>
    <row r="605">
      <c r="A605" s="4" t="s">
        <v>4268</v>
      </c>
      <c r="B605" s="4" t="str">
        <f t="shared" si="1"/>
        <v>21</v>
      </c>
    </row>
    <row r="606">
      <c r="A606" s="4" t="s">
        <v>3942</v>
      </c>
      <c r="B606" s="4" t="str">
        <f t="shared" si="1"/>
        <v>22</v>
      </c>
    </row>
    <row r="607">
      <c r="A607" s="4" t="s">
        <v>3942</v>
      </c>
      <c r="B607" s="4" t="str">
        <f t="shared" si="1"/>
        <v>22</v>
      </c>
    </row>
    <row r="608">
      <c r="A608" s="4" t="s">
        <v>4270</v>
      </c>
      <c r="B608" s="4" t="str">
        <f t="shared" si="1"/>
        <v>23</v>
      </c>
    </row>
    <row r="609">
      <c r="A609" s="4" t="s">
        <v>4176</v>
      </c>
      <c r="B609" s="4" t="str">
        <f t="shared" si="1"/>
        <v>00</v>
      </c>
    </row>
    <row r="610">
      <c r="A610" s="4" t="s">
        <v>4271</v>
      </c>
      <c r="B610" s="4" t="str">
        <f t="shared" si="1"/>
        <v>00</v>
      </c>
    </row>
    <row r="611">
      <c r="A611" s="4" t="s">
        <v>4272</v>
      </c>
      <c r="B611" s="4" t="str">
        <f t="shared" si="1"/>
        <v>23</v>
      </c>
    </row>
    <row r="612">
      <c r="A612" s="4" t="s">
        <v>4273</v>
      </c>
      <c r="B612" s="4" t="str">
        <f t="shared" si="1"/>
        <v>23</v>
      </c>
    </row>
    <row r="613">
      <c r="A613" s="4" t="s">
        <v>4274</v>
      </c>
      <c r="B613" s="4" t="str">
        <f t="shared" si="1"/>
        <v>00</v>
      </c>
    </row>
    <row r="614">
      <c r="A614" s="4" t="s">
        <v>4275</v>
      </c>
      <c r="B614" s="4" t="str">
        <f t="shared" si="1"/>
        <v>03</v>
      </c>
    </row>
    <row r="615">
      <c r="A615" s="4" t="s">
        <v>3943</v>
      </c>
      <c r="B615" s="4" t="str">
        <f t="shared" si="1"/>
        <v>13</v>
      </c>
    </row>
    <row r="616">
      <c r="A616" s="4" t="s">
        <v>3998</v>
      </c>
      <c r="B616" s="4" t="str">
        <f t="shared" si="1"/>
        <v>16</v>
      </c>
    </row>
    <row r="617">
      <c r="A617" s="4" t="s">
        <v>3930</v>
      </c>
      <c r="B617" s="4" t="str">
        <f t="shared" si="1"/>
        <v>14</v>
      </c>
    </row>
    <row r="618">
      <c r="A618" s="4" t="s">
        <v>4169</v>
      </c>
      <c r="B618" s="4" t="str">
        <f t="shared" si="1"/>
        <v>14</v>
      </c>
    </row>
    <row r="619">
      <c r="A619" s="4" t="s">
        <v>4246</v>
      </c>
      <c r="B619" s="4" t="str">
        <f t="shared" si="1"/>
        <v>15</v>
      </c>
    </row>
    <row r="620">
      <c r="A620" s="4" t="s">
        <v>3996</v>
      </c>
      <c r="B620" s="4" t="str">
        <f t="shared" si="1"/>
        <v>15</v>
      </c>
    </row>
    <row r="621">
      <c r="A621" s="4" t="s">
        <v>4092</v>
      </c>
      <c r="B621" s="4" t="str">
        <f t="shared" si="1"/>
        <v>13</v>
      </c>
    </row>
    <row r="622">
      <c r="A622" s="4" t="s">
        <v>3940</v>
      </c>
      <c r="B622" s="4" t="str">
        <f t="shared" si="1"/>
        <v>12</v>
      </c>
    </row>
    <row r="623">
      <c r="A623" s="4" t="s">
        <v>3940</v>
      </c>
      <c r="B623" s="4" t="str">
        <f t="shared" si="1"/>
        <v>12</v>
      </c>
    </row>
    <row r="624">
      <c r="A624" s="4" t="s">
        <v>4121</v>
      </c>
      <c r="B624" s="4" t="str">
        <f t="shared" si="1"/>
        <v>10</v>
      </c>
    </row>
    <row r="625">
      <c r="A625" s="4" t="s">
        <v>4276</v>
      </c>
      <c r="B625" s="4" t="str">
        <f t="shared" si="1"/>
        <v>12</v>
      </c>
    </row>
    <row r="626">
      <c r="A626" s="4" t="s">
        <v>4108</v>
      </c>
      <c r="B626" s="4" t="str">
        <f t="shared" si="1"/>
        <v>15</v>
      </c>
    </row>
    <row r="627">
      <c r="A627" s="4" t="s">
        <v>4277</v>
      </c>
      <c r="B627" s="4" t="str">
        <f t="shared" si="1"/>
        <v>19</v>
      </c>
    </row>
    <row r="628">
      <c r="A628" s="4" t="s">
        <v>4278</v>
      </c>
      <c r="B628" s="4" t="str">
        <f t="shared" si="1"/>
        <v>06</v>
      </c>
    </row>
    <row r="629">
      <c r="A629" s="4" t="s">
        <v>4181</v>
      </c>
      <c r="B629" s="4" t="str">
        <f t="shared" si="1"/>
        <v>12</v>
      </c>
    </row>
    <row r="630">
      <c r="A630" s="4" t="s">
        <v>4252</v>
      </c>
      <c r="B630" s="4" t="str">
        <f t="shared" si="1"/>
        <v>14</v>
      </c>
    </row>
    <row r="631">
      <c r="A631" s="4" t="s">
        <v>4279</v>
      </c>
      <c r="B631" s="4" t="str">
        <f t="shared" si="1"/>
        <v>16</v>
      </c>
    </row>
    <row r="632">
      <c r="A632" s="4" t="s">
        <v>4224</v>
      </c>
      <c r="B632" s="4" t="str">
        <f t="shared" si="1"/>
        <v>17</v>
      </c>
    </row>
    <row r="633">
      <c r="A633" s="4" t="s">
        <v>4280</v>
      </c>
      <c r="B633" s="4" t="str">
        <f t="shared" si="1"/>
        <v>17</v>
      </c>
    </row>
    <row r="634">
      <c r="A634" s="4" t="s">
        <v>4176</v>
      </c>
      <c r="B634" s="4" t="str">
        <f t="shared" si="1"/>
        <v>00</v>
      </c>
    </row>
    <row r="635">
      <c r="A635" s="4" t="s">
        <v>4102</v>
      </c>
      <c r="B635" s="4" t="str">
        <f t="shared" si="1"/>
        <v>13</v>
      </c>
    </row>
    <row r="636">
      <c r="A636" s="4" t="s">
        <v>4281</v>
      </c>
      <c r="B636" s="4" t="str">
        <f t="shared" si="1"/>
        <v>14</v>
      </c>
    </row>
    <row r="637">
      <c r="A637" s="4" t="s">
        <v>3912</v>
      </c>
      <c r="B637" s="4" t="str">
        <f t="shared" si="1"/>
        <v>14</v>
      </c>
    </row>
    <row r="638">
      <c r="A638" s="4" t="s">
        <v>4282</v>
      </c>
      <c r="B638" s="4" t="str">
        <f t="shared" si="1"/>
        <v>12</v>
      </c>
    </row>
    <row r="639">
      <c r="A639" s="4" t="s">
        <v>4283</v>
      </c>
      <c r="B639" s="4" t="str">
        <f t="shared" si="1"/>
        <v>19</v>
      </c>
    </row>
    <row r="640">
      <c r="A640" s="4" t="s">
        <v>3947</v>
      </c>
      <c r="B640" s="4" t="str">
        <f t="shared" si="1"/>
        <v>15</v>
      </c>
    </row>
    <row r="641">
      <c r="A641" s="4" t="s">
        <v>4284</v>
      </c>
      <c r="B641" s="4" t="str">
        <f t="shared" si="1"/>
        <v>11</v>
      </c>
    </row>
    <row r="642">
      <c r="A642" s="4" t="s">
        <v>4285</v>
      </c>
      <c r="B642" s="4" t="str">
        <f t="shared" si="1"/>
        <v>16</v>
      </c>
    </row>
    <row r="643">
      <c r="A643" s="4" t="s">
        <v>4286</v>
      </c>
      <c r="B643" s="4" t="str">
        <f t="shared" si="1"/>
        <v>15</v>
      </c>
    </row>
    <row r="644">
      <c r="A644" s="4" t="s">
        <v>4134</v>
      </c>
      <c r="B644" s="4" t="str">
        <f t="shared" si="1"/>
        <v>13</v>
      </c>
    </row>
    <row r="645">
      <c r="A645" s="4" t="s">
        <v>4287</v>
      </c>
      <c r="B645" s="4" t="str">
        <f t="shared" si="1"/>
        <v>19</v>
      </c>
    </row>
    <row r="646">
      <c r="A646" s="4" t="s">
        <v>4288</v>
      </c>
      <c r="B646" s="4" t="str">
        <f t="shared" si="1"/>
        <v>19</v>
      </c>
    </row>
    <row r="647">
      <c r="A647" s="4" t="s">
        <v>4289</v>
      </c>
      <c r="B647" s="4" t="str">
        <f t="shared" si="1"/>
        <v>13</v>
      </c>
    </row>
    <row r="648">
      <c r="A648" s="4" t="s">
        <v>4267</v>
      </c>
      <c r="B648" s="4" t="str">
        <f t="shared" si="1"/>
        <v>14</v>
      </c>
    </row>
    <row r="649">
      <c r="A649" s="4" t="s">
        <v>4290</v>
      </c>
      <c r="B649" s="4" t="str">
        <f t="shared" si="1"/>
        <v>21</v>
      </c>
    </row>
    <row r="650">
      <c r="A650" s="4" t="s">
        <v>4291</v>
      </c>
      <c r="B650" s="4" t="str">
        <f t="shared" si="1"/>
        <v>08</v>
      </c>
    </row>
    <row r="651">
      <c r="A651" s="4" t="s">
        <v>4114</v>
      </c>
      <c r="B651" s="4" t="str">
        <f t="shared" si="1"/>
        <v>11</v>
      </c>
    </row>
    <row r="652">
      <c r="A652" s="4" t="s">
        <v>3916</v>
      </c>
      <c r="B652" s="4" t="str">
        <f t="shared" si="1"/>
        <v>15</v>
      </c>
    </row>
    <row r="653">
      <c r="A653" s="4" t="s">
        <v>4124</v>
      </c>
      <c r="B653" s="4" t="str">
        <f t="shared" si="1"/>
        <v>16</v>
      </c>
    </row>
    <row r="654">
      <c r="A654" s="4" t="s">
        <v>4292</v>
      </c>
      <c r="B654" s="4" t="str">
        <f t="shared" si="1"/>
        <v>20</v>
      </c>
    </row>
    <row r="655">
      <c r="A655" s="4" t="s">
        <v>4293</v>
      </c>
      <c r="B655" s="4" t="str">
        <f t="shared" si="1"/>
        <v>11</v>
      </c>
    </row>
    <row r="656">
      <c r="A656" s="4" t="s">
        <v>4099</v>
      </c>
      <c r="B656" s="4" t="str">
        <f t="shared" si="1"/>
        <v>12</v>
      </c>
    </row>
    <row r="657">
      <c r="A657" s="4" t="s">
        <v>4294</v>
      </c>
      <c r="B657" s="4" t="str">
        <f t="shared" si="1"/>
        <v>12</v>
      </c>
    </row>
    <row r="658">
      <c r="A658" s="4" t="s">
        <v>3996</v>
      </c>
      <c r="B658" s="4" t="str">
        <f t="shared" si="1"/>
        <v>15</v>
      </c>
    </row>
    <row r="659">
      <c r="A659" s="4" t="s">
        <v>3938</v>
      </c>
      <c r="B659" s="4" t="str">
        <f t="shared" si="1"/>
        <v>15</v>
      </c>
    </row>
    <row r="660">
      <c r="A660" s="4" t="s">
        <v>4074</v>
      </c>
      <c r="B660" s="4" t="str">
        <f t="shared" si="1"/>
        <v>16</v>
      </c>
    </row>
    <row r="661">
      <c r="A661" s="4" t="s">
        <v>3890</v>
      </c>
      <c r="B661" s="4" t="str">
        <f t="shared" si="1"/>
        <v>14</v>
      </c>
    </row>
    <row r="662">
      <c r="A662" s="4" t="s">
        <v>3912</v>
      </c>
      <c r="B662" s="4" t="str">
        <f t="shared" si="1"/>
        <v>14</v>
      </c>
    </row>
    <row r="663">
      <c r="A663" s="4" t="s">
        <v>4149</v>
      </c>
      <c r="B663" s="4" t="str">
        <f t="shared" si="1"/>
        <v>14</v>
      </c>
    </row>
    <row r="664">
      <c r="A664" s="4" t="s">
        <v>4118</v>
      </c>
      <c r="B664" s="4" t="str">
        <f t="shared" si="1"/>
        <v>15</v>
      </c>
    </row>
    <row r="665">
      <c r="A665" s="4" t="s">
        <v>4295</v>
      </c>
      <c r="B665" s="4" t="str">
        <f t="shared" si="1"/>
        <v>14</v>
      </c>
    </row>
    <row r="666">
      <c r="A666" s="4" t="s">
        <v>4124</v>
      </c>
      <c r="B666" s="4" t="str">
        <f t="shared" si="1"/>
        <v>16</v>
      </c>
    </row>
    <row r="667">
      <c r="A667" s="4" t="s">
        <v>4296</v>
      </c>
      <c r="B667" s="4" t="str">
        <f t="shared" si="1"/>
        <v>00</v>
      </c>
    </row>
    <row r="668">
      <c r="A668" s="4" t="s">
        <v>3888</v>
      </c>
      <c r="B668" s="4" t="str">
        <f t="shared" si="1"/>
        <v>14</v>
      </c>
    </row>
    <row r="669">
      <c r="A669" s="4" t="s">
        <v>4297</v>
      </c>
      <c r="B669" s="4" t="str">
        <f t="shared" si="1"/>
        <v>15</v>
      </c>
    </row>
    <row r="670">
      <c r="A670" s="4" t="s">
        <v>4105</v>
      </c>
      <c r="B670" s="4" t="str">
        <f t="shared" si="1"/>
        <v>18</v>
      </c>
    </row>
    <row r="671">
      <c r="A671" s="4" t="s">
        <v>4283</v>
      </c>
      <c r="B671" s="4" t="str">
        <f t="shared" si="1"/>
        <v>19</v>
      </c>
    </row>
    <row r="672">
      <c r="A672" s="4" t="s">
        <v>4298</v>
      </c>
      <c r="B672" s="4" t="str">
        <f t="shared" si="1"/>
        <v>10</v>
      </c>
    </row>
    <row r="673">
      <c r="A673" s="4" t="s">
        <v>4299</v>
      </c>
      <c r="B673" s="4" t="str">
        <f t="shared" si="1"/>
        <v>23</v>
      </c>
    </row>
    <row r="674">
      <c r="A674" s="4" t="s">
        <v>4300</v>
      </c>
      <c r="B674" s="4" t="str">
        <f t="shared" si="1"/>
        <v>09</v>
      </c>
    </row>
    <row r="675">
      <c r="A675" s="4" t="s">
        <v>3932</v>
      </c>
      <c r="B675" s="4" t="str">
        <f t="shared" si="1"/>
        <v>11</v>
      </c>
    </row>
    <row r="676">
      <c r="A676" s="4" t="s">
        <v>3989</v>
      </c>
      <c r="B676" s="4" t="str">
        <f t="shared" si="1"/>
        <v>16</v>
      </c>
    </row>
    <row r="677">
      <c r="A677" s="4" t="s">
        <v>4066</v>
      </c>
      <c r="B677" s="4" t="str">
        <f t="shared" si="1"/>
        <v>13</v>
      </c>
    </row>
    <row r="678">
      <c r="A678" s="4" t="s">
        <v>4159</v>
      </c>
      <c r="B678" s="4" t="str">
        <f t="shared" si="1"/>
        <v>14</v>
      </c>
    </row>
    <row r="679">
      <c r="A679" s="4" t="s">
        <v>4080</v>
      </c>
      <c r="B679" s="4" t="str">
        <f t="shared" si="1"/>
        <v>09</v>
      </c>
    </row>
    <row r="680">
      <c r="A680" s="4" t="s">
        <v>4301</v>
      </c>
      <c r="B680" s="4" t="str">
        <f t="shared" si="1"/>
        <v>14</v>
      </c>
    </row>
    <row r="681">
      <c r="A681" s="4" t="s">
        <v>4302</v>
      </c>
      <c r="B681" s="4" t="str">
        <f t="shared" si="1"/>
        <v>12</v>
      </c>
    </row>
    <row r="682">
      <c r="A682" s="4" t="s">
        <v>4051</v>
      </c>
      <c r="B682" s="4" t="str">
        <f t="shared" si="1"/>
        <v>15</v>
      </c>
    </row>
    <row r="683">
      <c r="A683" s="4" t="s">
        <v>4303</v>
      </c>
      <c r="B683" s="4" t="str">
        <f t="shared" si="1"/>
        <v>20</v>
      </c>
    </row>
    <row r="684">
      <c r="A684" s="4" t="s">
        <v>4010</v>
      </c>
      <c r="B684" s="4" t="str">
        <f t="shared" si="1"/>
        <v>04</v>
      </c>
    </row>
    <row r="685">
      <c r="A685" s="4" t="s">
        <v>4304</v>
      </c>
      <c r="B685" s="4" t="str">
        <f t="shared" si="1"/>
        <v>12</v>
      </c>
    </row>
    <row r="686">
      <c r="A686" s="4" t="s">
        <v>4156</v>
      </c>
      <c r="B686" s="4" t="str">
        <f t="shared" si="1"/>
        <v>16</v>
      </c>
    </row>
    <row r="687">
      <c r="A687" s="4" t="s">
        <v>4305</v>
      </c>
      <c r="B687" s="4" t="str">
        <f t="shared" si="1"/>
        <v>23</v>
      </c>
    </row>
    <row r="688">
      <c r="A688" s="4" t="s">
        <v>4306</v>
      </c>
      <c r="B688" s="4" t="str">
        <f t="shared" si="1"/>
        <v>01</v>
      </c>
    </row>
    <row r="689">
      <c r="A689" s="4" t="s">
        <v>4307</v>
      </c>
      <c r="B689" s="4" t="str">
        <f t="shared" si="1"/>
        <v>01</v>
      </c>
    </row>
    <row r="690">
      <c r="A690" s="4" t="s">
        <v>4308</v>
      </c>
      <c r="B690" s="4" t="str">
        <f t="shared" si="1"/>
        <v>01</v>
      </c>
    </row>
    <row r="691">
      <c r="A691" s="4" t="s">
        <v>3890</v>
      </c>
      <c r="B691" s="4" t="str">
        <f t="shared" si="1"/>
        <v>14</v>
      </c>
    </row>
    <row r="692">
      <c r="A692" s="4" t="s">
        <v>3912</v>
      </c>
      <c r="B692" s="4" t="str">
        <f t="shared" si="1"/>
        <v>14</v>
      </c>
    </row>
    <row r="693">
      <c r="A693" s="4" t="s">
        <v>4053</v>
      </c>
      <c r="B693" s="4" t="str">
        <f t="shared" si="1"/>
        <v>15</v>
      </c>
    </row>
    <row r="694">
      <c r="A694" s="4" t="s">
        <v>4068</v>
      </c>
      <c r="B694" s="4" t="str">
        <f t="shared" si="1"/>
        <v>12</v>
      </c>
    </row>
    <row r="695">
      <c r="A695" s="4" t="s">
        <v>4309</v>
      </c>
      <c r="B695" s="4" t="str">
        <f t="shared" si="1"/>
        <v>14</v>
      </c>
    </row>
    <row r="696">
      <c r="A696" s="4" t="s">
        <v>4310</v>
      </c>
      <c r="B696" s="4" t="str">
        <f t="shared" si="1"/>
        <v>15</v>
      </c>
    </row>
    <row r="697">
      <c r="A697" s="4" t="s">
        <v>4311</v>
      </c>
      <c r="B697" s="4" t="str">
        <f t="shared" si="1"/>
        <v>15</v>
      </c>
    </row>
    <row r="698">
      <c r="A698" s="4" t="s">
        <v>4312</v>
      </c>
      <c r="B698" s="4" t="str">
        <f t="shared" si="1"/>
        <v>10</v>
      </c>
    </row>
    <row r="699">
      <c r="A699" s="4" t="s">
        <v>3940</v>
      </c>
      <c r="B699" s="4" t="str">
        <f t="shared" si="1"/>
        <v>12</v>
      </c>
    </row>
    <row r="700">
      <c r="A700" s="4" t="s">
        <v>4161</v>
      </c>
      <c r="B700" s="4" t="str">
        <f t="shared" si="1"/>
        <v>12</v>
      </c>
    </row>
    <row r="701">
      <c r="A701" s="4" t="s">
        <v>4117</v>
      </c>
      <c r="B701" s="4" t="str">
        <f t="shared" si="1"/>
        <v>13</v>
      </c>
    </row>
    <row r="702">
      <c r="A702" s="4" t="s">
        <v>4204</v>
      </c>
      <c r="B702" s="4" t="str">
        <f t="shared" si="1"/>
        <v>12</v>
      </c>
    </row>
    <row r="703">
      <c r="A703" s="4" t="s">
        <v>3881</v>
      </c>
      <c r="B703" s="4" t="str">
        <f t="shared" si="1"/>
        <v>13</v>
      </c>
    </row>
    <row r="704">
      <c r="A704" s="4" t="s">
        <v>3916</v>
      </c>
      <c r="B704" s="4" t="str">
        <f t="shared" si="1"/>
        <v>15</v>
      </c>
    </row>
    <row r="705">
      <c r="A705" s="4" t="s">
        <v>4313</v>
      </c>
      <c r="B705" s="4" t="str">
        <f t="shared" si="1"/>
        <v>19</v>
      </c>
    </row>
    <row r="706">
      <c r="A706" s="4" t="s">
        <v>4314</v>
      </c>
      <c r="B706" s="4" t="str">
        <f t="shared" si="1"/>
        <v>05</v>
      </c>
    </row>
    <row r="707">
      <c r="A707" s="4" t="s">
        <v>3874</v>
      </c>
      <c r="B707" s="4" t="str">
        <f t="shared" si="1"/>
        <v>16</v>
      </c>
    </row>
    <row r="708">
      <c r="A708" s="4" t="s">
        <v>3944</v>
      </c>
      <c r="B708" s="4" t="str">
        <f t="shared" si="1"/>
        <v>14</v>
      </c>
    </row>
    <row r="709">
      <c r="A709" s="4" t="s">
        <v>4160</v>
      </c>
      <c r="B709" s="4" t="str">
        <f t="shared" si="1"/>
        <v>14</v>
      </c>
    </row>
    <row r="710">
      <c r="A710" s="4" t="s">
        <v>4315</v>
      </c>
      <c r="B710" s="4" t="str">
        <f t="shared" si="1"/>
        <v>21</v>
      </c>
    </row>
    <row r="711">
      <c r="A711" s="4" t="s">
        <v>4220</v>
      </c>
      <c r="B711" s="4" t="str">
        <f t="shared" si="1"/>
        <v>22</v>
      </c>
    </row>
    <row r="712">
      <c r="A712" s="4" t="s">
        <v>4316</v>
      </c>
      <c r="B712" s="4" t="str">
        <f t="shared" si="1"/>
        <v>03</v>
      </c>
    </row>
    <row r="713">
      <c r="A713" s="4" t="s">
        <v>4317</v>
      </c>
      <c r="B713" s="4" t="str">
        <f t="shared" si="1"/>
        <v>10</v>
      </c>
    </row>
    <row r="714">
      <c r="A714" s="4" t="s">
        <v>3890</v>
      </c>
      <c r="B714" s="4" t="str">
        <f t="shared" si="1"/>
        <v>14</v>
      </c>
    </row>
    <row r="715">
      <c r="A715" s="4" t="s">
        <v>4257</v>
      </c>
      <c r="B715" s="4" t="str">
        <f t="shared" si="1"/>
        <v>11</v>
      </c>
    </row>
    <row r="716">
      <c r="A716" s="4" t="s">
        <v>3948</v>
      </c>
      <c r="B716" s="4" t="str">
        <f t="shared" si="1"/>
        <v>08</v>
      </c>
    </row>
    <row r="717">
      <c r="A717" s="4" t="s">
        <v>3960</v>
      </c>
      <c r="B717" s="4" t="str">
        <f t="shared" si="1"/>
        <v>12</v>
      </c>
    </row>
    <row r="718">
      <c r="A718" s="4" t="s">
        <v>4169</v>
      </c>
      <c r="B718" s="4" t="str">
        <f t="shared" si="1"/>
        <v>14</v>
      </c>
    </row>
    <row r="719">
      <c r="A719" s="4" t="s">
        <v>4318</v>
      </c>
      <c r="B719" s="4" t="str">
        <f t="shared" si="1"/>
        <v>06</v>
      </c>
    </row>
    <row r="720">
      <c r="A720" s="4" t="s">
        <v>4319</v>
      </c>
      <c r="B720" s="4" t="str">
        <f t="shared" si="1"/>
        <v>11</v>
      </c>
    </row>
    <row r="721">
      <c r="A721" s="4" t="s">
        <v>4320</v>
      </c>
      <c r="B721" s="4" t="str">
        <f t="shared" si="1"/>
        <v>12</v>
      </c>
    </row>
    <row r="722">
      <c r="A722" s="4" t="s">
        <v>4321</v>
      </c>
      <c r="B722" s="4" t="str">
        <f t="shared" si="1"/>
        <v>11</v>
      </c>
    </row>
    <row r="723">
      <c r="A723" s="4" t="s">
        <v>3965</v>
      </c>
      <c r="B723" s="4" t="str">
        <f t="shared" si="1"/>
        <v>13</v>
      </c>
    </row>
    <row r="724">
      <c r="A724" s="4" t="s">
        <v>4225</v>
      </c>
      <c r="B724" s="4" t="str">
        <f t="shared" si="1"/>
        <v>10</v>
      </c>
    </row>
    <row r="725">
      <c r="A725" s="4" t="s">
        <v>3942</v>
      </c>
      <c r="B725" s="4" t="str">
        <f t="shared" si="1"/>
        <v>22</v>
      </c>
    </row>
    <row r="726">
      <c r="A726" s="4" t="s">
        <v>4322</v>
      </c>
      <c r="B726" s="4" t="str">
        <f t="shared" si="1"/>
        <v>10</v>
      </c>
    </row>
    <row r="727">
      <c r="A727" s="4" t="s">
        <v>4159</v>
      </c>
      <c r="B727" s="4" t="str">
        <f t="shared" si="1"/>
        <v>14</v>
      </c>
    </row>
    <row r="728">
      <c r="A728" s="4" t="s">
        <v>4032</v>
      </c>
      <c r="B728" s="4" t="str">
        <f t="shared" si="1"/>
        <v>14</v>
      </c>
    </row>
    <row r="729">
      <c r="A729" s="4" t="s">
        <v>4323</v>
      </c>
      <c r="B729" s="4" t="str">
        <f t="shared" si="1"/>
        <v>12</v>
      </c>
    </row>
    <row r="730">
      <c r="A730" s="4" t="s">
        <v>4324</v>
      </c>
      <c r="B730" s="4" t="str">
        <f t="shared" si="1"/>
        <v>12</v>
      </c>
    </row>
    <row r="731">
      <c r="A731" s="4" t="s">
        <v>4000</v>
      </c>
      <c r="B731" s="4" t="str">
        <f t="shared" si="1"/>
        <v>11</v>
      </c>
    </row>
    <row r="732">
      <c r="A732" s="4" t="s">
        <v>4325</v>
      </c>
      <c r="B732" s="4" t="str">
        <f t="shared" si="1"/>
        <v>12</v>
      </c>
    </row>
    <row r="733">
      <c r="A733" s="4" t="s">
        <v>4303</v>
      </c>
      <c r="B733" s="4" t="str">
        <f t="shared" si="1"/>
        <v>20</v>
      </c>
    </row>
    <row r="734">
      <c r="A734" s="4" t="s">
        <v>4326</v>
      </c>
      <c r="B734" s="4" t="str">
        <f t="shared" si="1"/>
        <v>12</v>
      </c>
    </row>
    <row r="735">
      <c r="A735" s="4" t="s">
        <v>4327</v>
      </c>
      <c r="B735" s="4" t="str">
        <f t="shared" si="1"/>
        <v>11</v>
      </c>
    </row>
    <row r="736">
      <c r="A736" s="4" t="s">
        <v>4183</v>
      </c>
      <c r="B736" s="4" t="str">
        <f t="shared" si="1"/>
        <v>14</v>
      </c>
    </row>
    <row r="737">
      <c r="A737" s="4" t="s">
        <v>4295</v>
      </c>
      <c r="B737" s="4" t="str">
        <f t="shared" si="1"/>
        <v>14</v>
      </c>
    </row>
    <row r="738">
      <c r="A738" s="4" t="s">
        <v>4328</v>
      </c>
      <c r="B738" s="4" t="str">
        <f t="shared" si="1"/>
        <v>22</v>
      </c>
    </row>
    <row r="739">
      <c r="A739" s="4" t="s">
        <v>4329</v>
      </c>
      <c r="B739" s="4" t="str">
        <f t="shared" si="1"/>
        <v>21</v>
      </c>
    </row>
    <row r="740">
      <c r="A740" s="4" t="s">
        <v>4330</v>
      </c>
      <c r="B740" s="4" t="str">
        <f t="shared" si="1"/>
        <v>10</v>
      </c>
    </row>
    <row r="741">
      <c r="A741" s="4" t="s">
        <v>4030</v>
      </c>
      <c r="B741" s="4" t="str">
        <f t="shared" si="1"/>
        <v>17</v>
      </c>
    </row>
    <row r="742">
      <c r="A742" s="4" t="s">
        <v>4331</v>
      </c>
      <c r="B742" s="4" t="str">
        <f t="shared" si="1"/>
        <v>11</v>
      </c>
    </row>
    <row r="743">
      <c r="A743" s="4" t="s">
        <v>4284</v>
      </c>
      <c r="B743" s="4" t="str">
        <f t="shared" si="1"/>
        <v>11</v>
      </c>
    </row>
    <row r="744">
      <c r="A744" s="4" t="s">
        <v>4211</v>
      </c>
      <c r="B744" s="4" t="str">
        <f t="shared" si="1"/>
        <v>11</v>
      </c>
    </row>
    <row r="745">
      <c r="A745" s="4" t="s">
        <v>4206</v>
      </c>
      <c r="B745" s="4" t="str">
        <f t="shared" si="1"/>
        <v>13</v>
      </c>
    </row>
    <row r="746">
      <c r="A746" s="4" t="s">
        <v>4332</v>
      </c>
      <c r="B746" s="4" t="str">
        <f t="shared" si="1"/>
        <v>14</v>
      </c>
    </row>
    <row r="747">
      <c r="A747" s="4" t="s">
        <v>4177</v>
      </c>
      <c r="B747" s="4" t="str">
        <f t="shared" si="1"/>
        <v>14</v>
      </c>
    </row>
    <row r="748">
      <c r="A748" s="4" t="s">
        <v>4177</v>
      </c>
      <c r="B748" s="4" t="str">
        <f t="shared" si="1"/>
        <v>14</v>
      </c>
    </row>
    <row r="749">
      <c r="A749" s="4" t="s">
        <v>4333</v>
      </c>
      <c r="B749" s="4" t="str">
        <f t="shared" si="1"/>
        <v>22</v>
      </c>
    </row>
    <row r="750">
      <c r="A750" s="4" t="s">
        <v>4007</v>
      </c>
      <c r="B750" s="4" t="str">
        <f t="shared" si="1"/>
        <v>16</v>
      </c>
    </row>
    <row r="751">
      <c r="A751" s="4" t="s">
        <v>4334</v>
      </c>
      <c r="B751" s="4" t="str">
        <f t="shared" si="1"/>
        <v>10</v>
      </c>
    </row>
    <row r="752">
      <c r="A752" s="4" t="s">
        <v>4335</v>
      </c>
      <c r="B752" s="4" t="str">
        <f t="shared" si="1"/>
        <v>17</v>
      </c>
    </row>
    <row r="753">
      <c r="A753" s="4" t="s">
        <v>4336</v>
      </c>
      <c r="B753" s="4" t="str">
        <f t="shared" si="1"/>
        <v>08</v>
      </c>
    </row>
    <row r="754">
      <c r="A754" s="4" t="s">
        <v>4070</v>
      </c>
      <c r="B754" s="4" t="str">
        <f t="shared" si="1"/>
        <v>11</v>
      </c>
    </row>
    <row r="755">
      <c r="A755" s="4" t="s">
        <v>4044</v>
      </c>
      <c r="B755" s="4" t="str">
        <f t="shared" si="1"/>
        <v>14</v>
      </c>
    </row>
    <row r="756">
      <c r="A756" s="4" t="s">
        <v>4337</v>
      </c>
      <c r="B756" s="4" t="str">
        <f t="shared" si="1"/>
        <v>01</v>
      </c>
    </row>
    <row r="757">
      <c r="A757" s="4" t="s">
        <v>3995</v>
      </c>
      <c r="B757" s="4" t="str">
        <f t="shared" si="1"/>
        <v>13</v>
      </c>
    </row>
    <row r="758">
      <c r="A758" s="4" t="s">
        <v>4338</v>
      </c>
      <c r="B758" s="4" t="str">
        <f t="shared" si="1"/>
        <v>11</v>
      </c>
    </row>
    <row r="759">
      <c r="A759" s="4" t="s">
        <v>4339</v>
      </c>
      <c r="B759" s="4" t="str">
        <f t="shared" si="1"/>
        <v>08</v>
      </c>
    </row>
    <row r="760">
      <c r="A760" s="4" t="s">
        <v>4340</v>
      </c>
      <c r="B760" s="4" t="str">
        <f t="shared" si="1"/>
        <v>06</v>
      </c>
    </row>
    <row r="761">
      <c r="A761" s="4" t="s">
        <v>4341</v>
      </c>
      <c r="B761" s="4" t="str">
        <f t="shared" si="1"/>
        <v>16</v>
      </c>
    </row>
    <row r="762">
      <c r="A762" s="4" t="s">
        <v>4342</v>
      </c>
      <c r="B762" s="4" t="str">
        <f t="shared" si="1"/>
        <v>15</v>
      </c>
    </row>
    <row r="763">
      <c r="A763" s="4" t="s">
        <v>4151</v>
      </c>
      <c r="B763" s="4" t="str">
        <f t="shared" si="1"/>
        <v>16</v>
      </c>
    </row>
    <row r="764">
      <c r="A764" s="4" t="s">
        <v>4343</v>
      </c>
      <c r="B764" s="4" t="str">
        <f t="shared" si="1"/>
        <v>11</v>
      </c>
    </row>
    <row r="765">
      <c r="A765" s="4" t="s">
        <v>4344</v>
      </c>
      <c r="B765" s="4" t="str">
        <f t="shared" si="1"/>
        <v>06</v>
      </c>
    </row>
    <row r="766">
      <c r="A766" s="4" t="s">
        <v>4251</v>
      </c>
      <c r="B766" s="4" t="str">
        <f t="shared" si="1"/>
        <v>12</v>
      </c>
    </row>
    <row r="767">
      <c r="A767" s="4" t="s">
        <v>4345</v>
      </c>
      <c r="B767" s="4" t="str">
        <f t="shared" si="1"/>
        <v>12</v>
      </c>
    </row>
    <row r="768">
      <c r="A768" s="4" t="s">
        <v>4346</v>
      </c>
      <c r="B768" s="4" t="str">
        <f t="shared" si="1"/>
        <v>23</v>
      </c>
    </row>
    <row r="769">
      <c r="A769" s="4" t="s">
        <v>4206</v>
      </c>
      <c r="B769" s="4" t="str">
        <f t="shared" si="1"/>
        <v>13</v>
      </c>
    </row>
    <row r="770">
      <c r="A770" s="4" t="s">
        <v>3922</v>
      </c>
      <c r="B770" s="4" t="str">
        <f t="shared" si="1"/>
        <v>13</v>
      </c>
    </row>
    <row r="771">
      <c r="A771" s="4" t="s">
        <v>4306</v>
      </c>
      <c r="B771" s="4" t="str">
        <f t="shared" si="1"/>
        <v>01</v>
      </c>
    </row>
    <row r="772">
      <c r="A772" s="4" t="s">
        <v>4176</v>
      </c>
      <c r="B772" s="4" t="str">
        <f t="shared" si="1"/>
        <v>00</v>
      </c>
    </row>
    <row r="773">
      <c r="A773" s="4" t="s">
        <v>4070</v>
      </c>
      <c r="B773" s="4" t="str">
        <f t="shared" si="1"/>
        <v>11</v>
      </c>
    </row>
    <row r="774">
      <c r="A774" s="4" t="s">
        <v>4130</v>
      </c>
      <c r="B774" s="4" t="str">
        <f t="shared" si="1"/>
        <v>13</v>
      </c>
    </row>
    <row r="775">
      <c r="A775" s="4" t="s">
        <v>4029</v>
      </c>
      <c r="B775" s="4" t="str">
        <f t="shared" si="1"/>
        <v>14</v>
      </c>
    </row>
    <row r="776">
      <c r="A776" s="4" t="s">
        <v>3942</v>
      </c>
      <c r="B776" s="4" t="str">
        <f t="shared" si="1"/>
        <v>22</v>
      </c>
    </row>
    <row r="777">
      <c r="A777" s="4" t="s">
        <v>4347</v>
      </c>
      <c r="B777" s="4" t="str">
        <f t="shared" si="1"/>
        <v>17</v>
      </c>
    </row>
    <row r="778">
      <c r="A778" s="4" t="s">
        <v>4106</v>
      </c>
      <c r="B778" s="4" t="str">
        <f t="shared" si="1"/>
        <v>15</v>
      </c>
    </row>
    <row r="779">
      <c r="A779" s="4" t="s">
        <v>3936</v>
      </c>
      <c r="B779" s="4" t="str">
        <f t="shared" si="1"/>
        <v>15</v>
      </c>
    </row>
    <row r="780">
      <c r="A780" s="4" t="s">
        <v>4004</v>
      </c>
      <c r="B780" s="4" t="str">
        <f t="shared" si="1"/>
        <v>13</v>
      </c>
    </row>
    <row r="781">
      <c r="A781" s="4" t="s">
        <v>4226</v>
      </c>
      <c r="B781" s="4" t="str">
        <f t="shared" si="1"/>
        <v>12</v>
      </c>
    </row>
    <row r="782">
      <c r="A782" s="4" t="s">
        <v>4058</v>
      </c>
      <c r="B782" s="4" t="str">
        <f t="shared" si="1"/>
        <v>16</v>
      </c>
    </row>
    <row r="783">
      <c r="A783" s="4" t="s">
        <v>4259</v>
      </c>
      <c r="B783" s="4" t="str">
        <f t="shared" si="1"/>
        <v>14</v>
      </c>
    </row>
    <row r="784">
      <c r="A784" s="4" t="s">
        <v>4052</v>
      </c>
      <c r="B784" s="4" t="str">
        <f t="shared" si="1"/>
        <v>21</v>
      </c>
    </row>
    <row r="785">
      <c r="A785" s="4" t="s">
        <v>4026</v>
      </c>
      <c r="B785" s="4" t="str">
        <f t="shared" si="1"/>
        <v>18</v>
      </c>
    </row>
    <row r="786">
      <c r="A786" s="4" t="s">
        <v>4075</v>
      </c>
      <c r="B786" s="4" t="str">
        <f t="shared" si="1"/>
        <v>21</v>
      </c>
    </row>
    <row r="787">
      <c r="A787" s="4" t="s">
        <v>4348</v>
      </c>
      <c r="B787" s="4" t="str">
        <f t="shared" si="1"/>
        <v>12</v>
      </c>
    </row>
    <row r="788">
      <c r="A788" s="4" t="s">
        <v>3926</v>
      </c>
      <c r="B788" s="4" t="str">
        <f t="shared" si="1"/>
        <v>16</v>
      </c>
    </row>
    <row r="789">
      <c r="A789" s="4" t="s">
        <v>4349</v>
      </c>
      <c r="B789" s="4" t="str">
        <f t="shared" si="1"/>
        <v>21</v>
      </c>
    </row>
    <row r="790">
      <c r="A790" s="4" t="s">
        <v>3910</v>
      </c>
      <c r="B790" s="4" t="str">
        <f t="shared" si="1"/>
        <v>16</v>
      </c>
    </row>
    <row r="791">
      <c r="A791" s="4" t="s">
        <v>4188</v>
      </c>
      <c r="B791" s="4" t="str">
        <f t="shared" si="1"/>
        <v>15</v>
      </c>
    </row>
    <row r="792">
      <c r="A792" s="4" t="s">
        <v>4042</v>
      </c>
      <c r="B792" s="4" t="str">
        <f t="shared" si="1"/>
        <v>13</v>
      </c>
    </row>
    <row r="793">
      <c r="A793" s="4" t="s">
        <v>4042</v>
      </c>
      <c r="B793" s="4" t="str">
        <f t="shared" si="1"/>
        <v>13</v>
      </c>
    </row>
    <row r="794">
      <c r="A794" s="4" t="s">
        <v>3957</v>
      </c>
      <c r="B794" s="4" t="str">
        <f t="shared" si="1"/>
        <v>16</v>
      </c>
    </row>
    <row r="795">
      <c r="A795" s="4" t="s">
        <v>4350</v>
      </c>
      <c r="B795" s="4" t="str">
        <f t="shared" si="1"/>
        <v>15</v>
      </c>
    </row>
    <row r="796">
      <c r="A796" s="4" t="s">
        <v>4351</v>
      </c>
      <c r="B796" s="4" t="str">
        <f t="shared" si="1"/>
        <v>12</v>
      </c>
    </row>
    <row r="797">
      <c r="A797" s="4" t="s">
        <v>4094</v>
      </c>
      <c r="B797" s="4" t="str">
        <f t="shared" si="1"/>
        <v>11</v>
      </c>
    </row>
    <row r="798">
      <c r="A798" s="4" t="s">
        <v>4352</v>
      </c>
      <c r="B798" s="4" t="str">
        <f t="shared" si="1"/>
        <v>08</v>
      </c>
    </row>
    <row r="799">
      <c r="A799" s="4" t="s">
        <v>3912</v>
      </c>
      <c r="B799" s="4" t="str">
        <f t="shared" si="1"/>
        <v>14</v>
      </c>
    </row>
    <row r="800">
      <c r="A800" s="4" t="s">
        <v>3914</v>
      </c>
      <c r="B800" s="4" t="str">
        <f t="shared" si="1"/>
        <v>15</v>
      </c>
    </row>
    <row r="801">
      <c r="A801" s="4" t="s">
        <v>4353</v>
      </c>
      <c r="B801" s="4" t="str">
        <f t="shared" si="1"/>
        <v>19</v>
      </c>
    </row>
    <row r="802">
      <c r="A802" s="4" t="s">
        <v>4354</v>
      </c>
      <c r="B802" s="4" t="str">
        <f t="shared" si="1"/>
        <v>23</v>
      </c>
    </row>
    <row r="803">
      <c r="A803" s="4" t="s">
        <v>4259</v>
      </c>
      <c r="B803" s="4" t="str">
        <f t="shared" si="1"/>
        <v>14</v>
      </c>
    </row>
    <row r="804">
      <c r="A804" s="4" t="s">
        <v>4196</v>
      </c>
      <c r="B804" s="4" t="str">
        <f t="shared" si="1"/>
        <v>14</v>
      </c>
    </row>
    <row r="805">
      <c r="A805" s="4" t="s">
        <v>4212</v>
      </c>
      <c r="B805" s="4" t="str">
        <f t="shared" si="1"/>
        <v>15</v>
      </c>
    </row>
    <row r="806">
      <c r="A806" s="4" t="s">
        <v>4036</v>
      </c>
      <c r="B806" s="4" t="str">
        <f t="shared" si="1"/>
        <v>15</v>
      </c>
    </row>
    <row r="807">
      <c r="A807" s="4" t="s">
        <v>4056</v>
      </c>
      <c r="B807" s="4" t="str">
        <f t="shared" si="1"/>
        <v>17</v>
      </c>
    </row>
    <row r="808">
      <c r="A808" s="4" t="s">
        <v>4075</v>
      </c>
      <c r="B808" s="4" t="str">
        <f t="shared" si="1"/>
        <v>21</v>
      </c>
    </row>
    <row r="809">
      <c r="A809" s="4" t="s">
        <v>4355</v>
      </c>
      <c r="B809" s="4" t="str">
        <f t="shared" si="1"/>
        <v>06</v>
      </c>
    </row>
    <row r="810">
      <c r="A810" s="4" t="s">
        <v>4356</v>
      </c>
      <c r="B810" s="4" t="str">
        <f t="shared" si="1"/>
        <v>11</v>
      </c>
    </row>
    <row r="811">
      <c r="A811" s="4" t="s">
        <v>4147</v>
      </c>
      <c r="B811" s="4" t="str">
        <f t="shared" si="1"/>
        <v>15</v>
      </c>
    </row>
    <row r="812">
      <c r="A812" s="4" t="s">
        <v>4357</v>
      </c>
      <c r="B812" s="4" t="str">
        <f t="shared" si="1"/>
        <v>14</v>
      </c>
    </row>
    <row r="813">
      <c r="A813" s="4" t="s">
        <v>4358</v>
      </c>
      <c r="B813" s="4" t="str">
        <f t="shared" si="1"/>
        <v>20</v>
      </c>
    </row>
    <row r="814">
      <c r="A814" s="4" t="s">
        <v>4163</v>
      </c>
      <c r="B814" s="4" t="str">
        <f t="shared" si="1"/>
        <v>15</v>
      </c>
    </row>
    <row r="815">
      <c r="A815" s="4" t="s">
        <v>4163</v>
      </c>
      <c r="B815" s="4" t="str">
        <f t="shared" si="1"/>
        <v>15</v>
      </c>
    </row>
    <row r="816">
      <c r="A816" s="4" t="s">
        <v>4286</v>
      </c>
      <c r="B816" s="4" t="str">
        <f t="shared" si="1"/>
        <v>15</v>
      </c>
    </row>
    <row r="817">
      <c r="A817" s="4" t="s">
        <v>4098</v>
      </c>
      <c r="B817" s="4" t="str">
        <f t="shared" si="1"/>
        <v>13</v>
      </c>
    </row>
    <row r="818">
      <c r="A818" s="4" t="s">
        <v>4030</v>
      </c>
      <c r="B818" s="4" t="str">
        <f t="shared" si="1"/>
        <v>17</v>
      </c>
    </row>
    <row r="819">
      <c r="A819" s="4" t="s">
        <v>4359</v>
      </c>
      <c r="B819" s="4" t="str">
        <f t="shared" si="1"/>
        <v>17</v>
      </c>
    </row>
    <row r="820">
      <c r="A820" s="4" t="s">
        <v>4360</v>
      </c>
      <c r="B820" s="4" t="str">
        <f t="shared" si="1"/>
        <v>16</v>
      </c>
    </row>
    <row r="821">
      <c r="A821" s="4" t="s">
        <v>4361</v>
      </c>
      <c r="B821" s="4" t="str">
        <f t="shared" si="1"/>
        <v>06</v>
      </c>
    </row>
    <row r="822">
      <c r="A822" s="4" t="s">
        <v>4148</v>
      </c>
      <c r="B822" s="4" t="str">
        <f t="shared" si="1"/>
        <v>14</v>
      </c>
    </row>
    <row r="823">
      <c r="A823" s="4" t="s">
        <v>4362</v>
      </c>
      <c r="B823" s="4" t="str">
        <f t="shared" si="1"/>
        <v>21</v>
      </c>
    </row>
    <row r="824">
      <c r="A824" s="4" t="s">
        <v>4123</v>
      </c>
      <c r="B824" s="4" t="str">
        <f t="shared" si="1"/>
        <v>14</v>
      </c>
    </row>
    <row r="825">
      <c r="A825" s="4" t="s">
        <v>4148</v>
      </c>
      <c r="B825" s="4" t="str">
        <f t="shared" si="1"/>
        <v>14</v>
      </c>
    </row>
    <row r="826">
      <c r="A826" s="4" t="s">
        <v>4297</v>
      </c>
      <c r="B826" s="4" t="str">
        <f t="shared" si="1"/>
        <v>15</v>
      </c>
    </row>
    <row r="827">
      <c r="A827" s="4" t="s">
        <v>4363</v>
      </c>
      <c r="B827" s="4" t="str">
        <f t="shared" si="1"/>
        <v>19</v>
      </c>
    </row>
    <row r="828">
      <c r="A828" s="4" t="s">
        <v>4364</v>
      </c>
      <c r="B828" s="4" t="str">
        <f t="shared" si="1"/>
        <v>09</v>
      </c>
    </row>
    <row r="829">
      <c r="A829" s="4" t="s">
        <v>4365</v>
      </c>
      <c r="B829" s="4" t="str">
        <f t="shared" si="1"/>
        <v>18</v>
      </c>
    </row>
    <row r="830">
      <c r="A830" s="4" t="s">
        <v>4366</v>
      </c>
      <c r="B830" s="4" t="str">
        <f t="shared" si="1"/>
        <v>13</v>
      </c>
    </row>
    <row r="831">
      <c r="A831" s="4" t="s">
        <v>3926</v>
      </c>
      <c r="B831" s="4" t="str">
        <f t="shared" si="1"/>
        <v>16</v>
      </c>
    </row>
    <row r="832">
      <c r="A832" s="4" t="s">
        <v>4119</v>
      </c>
      <c r="B832" s="4" t="str">
        <f t="shared" si="1"/>
        <v>18</v>
      </c>
    </row>
    <row r="833">
      <c r="A833" s="4" t="s">
        <v>4203</v>
      </c>
      <c r="B833" s="4" t="str">
        <f t="shared" si="1"/>
        <v>12</v>
      </c>
    </row>
    <row r="834">
      <c r="A834" s="4" t="s">
        <v>4367</v>
      </c>
      <c r="B834" s="4" t="str">
        <f t="shared" si="1"/>
        <v>16</v>
      </c>
    </row>
    <row r="835">
      <c r="A835" s="4" t="s">
        <v>4276</v>
      </c>
      <c r="B835" s="4" t="str">
        <f t="shared" si="1"/>
        <v>12</v>
      </c>
    </row>
    <row r="836">
      <c r="A836" s="4" t="s">
        <v>4368</v>
      </c>
      <c r="B836" s="4" t="str">
        <f t="shared" si="1"/>
        <v>20</v>
      </c>
    </row>
    <row r="837">
      <c r="A837" s="4" t="s">
        <v>4293</v>
      </c>
      <c r="B837" s="4" t="str">
        <f t="shared" si="1"/>
        <v>11</v>
      </c>
    </row>
    <row r="838">
      <c r="A838" s="4" t="s">
        <v>4369</v>
      </c>
      <c r="B838" s="4" t="str">
        <f t="shared" si="1"/>
        <v>05</v>
      </c>
    </row>
    <row r="839">
      <c r="A839" s="4" t="s">
        <v>4370</v>
      </c>
      <c r="B839" s="4" t="str">
        <f t="shared" si="1"/>
        <v>05</v>
      </c>
    </row>
    <row r="840">
      <c r="A840" s="4" t="s">
        <v>4371</v>
      </c>
      <c r="B840" s="4" t="str">
        <f t="shared" si="1"/>
        <v>14</v>
      </c>
    </row>
    <row r="841">
      <c r="A841" s="4" t="s">
        <v>4319</v>
      </c>
      <c r="B841" s="4" t="str">
        <f t="shared" si="1"/>
        <v>11</v>
      </c>
    </row>
    <row r="842">
      <c r="A842" s="4" t="s">
        <v>4128</v>
      </c>
      <c r="B842" s="4" t="str">
        <f t="shared" si="1"/>
        <v>18</v>
      </c>
    </row>
    <row r="843">
      <c r="A843" s="4" t="s">
        <v>4372</v>
      </c>
      <c r="B843" s="4" t="str">
        <f t="shared" si="1"/>
        <v>10</v>
      </c>
    </row>
    <row r="844">
      <c r="A844" s="4" t="s">
        <v>4373</v>
      </c>
      <c r="B844" s="4" t="str">
        <f t="shared" si="1"/>
        <v>13</v>
      </c>
    </row>
    <row r="845">
      <c r="A845" s="4" t="s">
        <v>4374</v>
      </c>
      <c r="B845" s="4" t="str">
        <f t="shared" si="1"/>
        <v>11</v>
      </c>
    </row>
    <row r="846">
      <c r="A846" s="4" t="s">
        <v>4375</v>
      </c>
      <c r="B846" s="4" t="str">
        <f t="shared" si="1"/>
        <v>16</v>
      </c>
    </row>
    <row r="847">
      <c r="A847" s="4" t="s">
        <v>4156</v>
      </c>
      <c r="B847" s="4" t="str">
        <f t="shared" si="1"/>
        <v>16</v>
      </c>
    </row>
    <row r="848">
      <c r="A848" s="4" t="s">
        <v>4376</v>
      </c>
      <c r="B848" s="4" t="str">
        <f t="shared" si="1"/>
        <v>13</v>
      </c>
    </row>
    <row r="849">
      <c r="A849" s="4" t="s">
        <v>4040</v>
      </c>
      <c r="B849" s="4" t="str">
        <f t="shared" si="1"/>
        <v>15</v>
      </c>
    </row>
    <row r="850">
      <c r="A850" s="4" t="s">
        <v>4377</v>
      </c>
      <c r="B850" s="4" t="str">
        <f t="shared" si="1"/>
        <v>16</v>
      </c>
    </row>
    <row r="851">
      <c r="A851" s="4" t="s">
        <v>3896</v>
      </c>
      <c r="B851" s="4" t="str">
        <f t="shared" si="1"/>
        <v>14</v>
      </c>
    </row>
    <row r="852">
      <c r="A852" s="4" t="s">
        <v>4378</v>
      </c>
      <c r="B852" s="4" t="str">
        <f t="shared" si="1"/>
        <v>17</v>
      </c>
    </row>
    <row r="853">
      <c r="A853" s="4" t="s">
        <v>4226</v>
      </c>
      <c r="B853" s="4" t="str">
        <f t="shared" si="1"/>
        <v>12</v>
      </c>
    </row>
    <row r="854">
      <c r="A854" s="4" t="s">
        <v>4084</v>
      </c>
      <c r="B854" s="4" t="str">
        <f t="shared" si="1"/>
        <v>13</v>
      </c>
    </row>
    <row r="855">
      <c r="A855" s="4" t="s">
        <v>4066</v>
      </c>
      <c r="B855" s="4" t="str">
        <f t="shared" si="1"/>
        <v>13</v>
      </c>
    </row>
    <row r="856">
      <c r="A856" s="4" t="s">
        <v>3912</v>
      </c>
      <c r="B856" s="4" t="str">
        <f t="shared" si="1"/>
        <v>14</v>
      </c>
    </row>
    <row r="857">
      <c r="A857" s="4" t="s">
        <v>4090</v>
      </c>
      <c r="B857" s="4" t="str">
        <f t="shared" si="1"/>
        <v>15</v>
      </c>
    </row>
    <row r="858">
      <c r="A858" s="4" t="s">
        <v>4379</v>
      </c>
      <c r="B858" s="4" t="str">
        <f t="shared" si="1"/>
        <v>06</v>
      </c>
    </row>
    <row r="859">
      <c r="A859" s="4" t="s">
        <v>4259</v>
      </c>
      <c r="B859" s="4" t="str">
        <f t="shared" si="1"/>
        <v>14</v>
      </c>
    </row>
    <row r="860">
      <c r="A860" s="4" t="s">
        <v>4380</v>
      </c>
      <c r="B860" s="4" t="str">
        <f t="shared" si="1"/>
        <v>07</v>
      </c>
    </row>
    <row r="861">
      <c r="A861" s="4" t="s">
        <v>3958</v>
      </c>
      <c r="B861" s="4" t="str">
        <f t="shared" si="1"/>
        <v>16</v>
      </c>
    </row>
    <row r="862">
      <c r="A862" s="4" t="s">
        <v>4072</v>
      </c>
      <c r="B862" s="4" t="str">
        <f t="shared" si="1"/>
        <v>16</v>
      </c>
    </row>
    <row r="863">
      <c r="A863" s="4" t="s">
        <v>4381</v>
      </c>
      <c r="B863" s="4" t="str">
        <f t="shared" si="1"/>
        <v>16</v>
      </c>
    </row>
    <row r="864">
      <c r="A864" s="4" t="s">
        <v>4382</v>
      </c>
      <c r="B864" s="4" t="str">
        <f t="shared" si="1"/>
        <v>21</v>
      </c>
    </row>
    <row r="865">
      <c r="A865" s="4" t="s">
        <v>4254</v>
      </c>
      <c r="B865" s="4" t="str">
        <f t="shared" si="1"/>
        <v>14</v>
      </c>
    </row>
    <row r="866">
      <c r="A866" s="4" t="s">
        <v>4326</v>
      </c>
      <c r="B866" s="4" t="str">
        <f t="shared" si="1"/>
        <v>12</v>
      </c>
    </row>
    <row r="867">
      <c r="A867" s="4" t="s">
        <v>4147</v>
      </c>
      <c r="B867" s="4" t="str">
        <f t="shared" si="1"/>
        <v>15</v>
      </c>
    </row>
    <row r="868">
      <c r="A868" s="4" t="s">
        <v>3966</v>
      </c>
      <c r="B868" s="4" t="str">
        <f t="shared" si="1"/>
        <v>13</v>
      </c>
    </row>
    <row r="869">
      <c r="A869" s="4" t="s">
        <v>4259</v>
      </c>
      <c r="B869" s="4" t="str">
        <f t="shared" si="1"/>
        <v>14</v>
      </c>
    </row>
    <row r="870">
      <c r="A870" s="4" t="s">
        <v>3984</v>
      </c>
      <c r="B870" s="4" t="str">
        <f t="shared" si="1"/>
        <v>12</v>
      </c>
    </row>
    <row r="871">
      <c r="A871" s="4" t="s">
        <v>4383</v>
      </c>
      <c r="B871" s="4" t="str">
        <f t="shared" si="1"/>
        <v>23</v>
      </c>
    </row>
    <row r="872">
      <c r="A872" s="4" t="s">
        <v>4158</v>
      </c>
      <c r="B872" s="4" t="str">
        <f t="shared" si="1"/>
        <v>12</v>
      </c>
    </row>
    <row r="873">
      <c r="A873" s="4" t="s">
        <v>4295</v>
      </c>
      <c r="B873" s="4" t="str">
        <f t="shared" si="1"/>
        <v>14</v>
      </c>
    </row>
    <row r="874">
      <c r="A874" s="4" t="s">
        <v>4384</v>
      </c>
      <c r="B874" s="4" t="str">
        <f t="shared" si="1"/>
        <v>06</v>
      </c>
    </row>
    <row r="875">
      <c r="A875" s="4" t="s">
        <v>4385</v>
      </c>
      <c r="B875" s="4" t="str">
        <f t="shared" si="1"/>
        <v>12</v>
      </c>
    </row>
    <row r="876">
      <c r="A876" s="4" t="s">
        <v>3890</v>
      </c>
      <c r="B876" s="4" t="str">
        <f t="shared" si="1"/>
        <v>14</v>
      </c>
    </row>
    <row r="877">
      <c r="A877" s="4" t="s">
        <v>4386</v>
      </c>
      <c r="B877" s="4" t="str">
        <f t="shared" si="1"/>
        <v>12</v>
      </c>
    </row>
    <row r="878">
      <c r="A878" s="4" t="s">
        <v>4386</v>
      </c>
      <c r="B878" s="4" t="str">
        <f t="shared" si="1"/>
        <v>12</v>
      </c>
    </row>
    <row r="879">
      <c r="A879" s="4" t="s">
        <v>4387</v>
      </c>
      <c r="B879" s="4" t="str">
        <f t="shared" si="1"/>
        <v>13</v>
      </c>
    </row>
    <row r="880">
      <c r="A880" s="4" t="s">
        <v>3914</v>
      </c>
      <c r="B880" s="4" t="str">
        <f t="shared" si="1"/>
        <v>15</v>
      </c>
    </row>
    <row r="881">
      <c r="A881" s="4" t="s">
        <v>4388</v>
      </c>
      <c r="B881" s="4" t="str">
        <f t="shared" si="1"/>
        <v>16</v>
      </c>
    </row>
    <row r="882">
      <c r="A882" s="4" t="s">
        <v>4388</v>
      </c>
      <c r="B882" s="4" t="str">
        <f t="shared" si="1"/>
        <v>16</v>
      </c>
    </row>
    <row r="883">
      <c r="A883" s="4" t="s">
        <v>4326</v>
      </c>
      <c r="B883" s="4" t="str">
        <f t="shared" si="1"/>
        <v>12</v>
      </c>
    </row>
    <row r="884">
      <c r="A884" s="4" t="s">
        <v>3874</v>
      </c>
      <c r="B884" s="4" t="str">
        <f t="shared" si="1"/>
        <v>16</v>
      </c>
    </row>
    <row r="885">
      <c r="A885" s="4" t="s">
        <v>4389</v>
      </c>
      <c r="B885" s="4" t="str">
        <f t="shared" si="1"/>
        <v>09</v>
      </c>
    </row>
    <row r="886">
      <c r="A886" s="4" t="s">
        <v>4354</v>
      </c>
      <c r="B886" s="4" t="str">
        <f t="shared" si="1"/>
        <v>23</v>
      </c>
    </row>
    <row r="887">
      <c r="A887" s="4" t="s">
        <v>4303</v>
      </c>
      <c r="B887" s="4" t="str">
        <f t="shared" si="1"/>
        <v>20</v>
      </c>
    </row>
    <row r="888">
      <c r="A888" s="4" t="s">
        <v>4390</v>
      </c>
      <c r="B888" s="4" t="str">
        <f t="shared" si="1"/>
        <v>21</v>
      </c>
    </row>
    <row r="889">
      <c r="A889" s="4" t="s">
        <v>4385</v>
      </c>
      <c r="B889" s="4" t="str">
        <f t="shared" si="1"/>
        <v>12</v>
      </c>
    </row>
    <row r="890">
      <c r="A890" s="4" t="s">
        <v>4097</v>
      </c>
      <c r="B890" s="4" t="str">
        <f t="shared" si="1"/>
        <v>13</v>
      </c>
    </row>
    <row r="891">
      <c r="A891" s="4" t="s">
        <v>4391</v>
      </c>
      <c r="B891" s="4" t="str">
        <f t="shared" si="1"/>
        <v>03</v>
      </c>
    </row>
    <row r="892">
      <c r="A892" s="4" t="s">
        <v>4392</v>
      </c>
      <c r="B892" s="4" t="str">
        <f t="shared" si="1"/>
        <v>18</v>
      </c>
    </row>
    <row r="893">
      <c r="A893" s="4" t="s">
        <v>4393</v>
      </c>
      <c r="B893" s="4" t="str">
        <f t="shared" si="1"/>
        <v>22</v>
      </c>
    </row>
    <row r="894">
      <c r="A894" s="4" t="s">
        <v>4373</v>
      </c>
      <c r="B894" s="4" t="str">
        <f t="shared" si="1"/>
        <v>13</v>
      </c>
    </row>
    <row r="895">
      <c r="A895" s="4" t="s">
        <v>3944</v>
      </c>
      <c r="B895" s="4" t="str">
        <f t="shared" si="1"/>
        <v>14</v>
      </c>
    </row>
    <row r="896">
      <c r="A896" s="4" t="s">
        <v>4394</v>
      </c>
      <c r="B896" s="4" t="str">
        <f t="shared" si="1"/>
        <v>14</v>
      </c>
    </row>
    <row r="897">
      <c r="A897" s="4" t="s">
        <v>4395</v>
      </c>
      <c r="B897" s="4" t="str">
        <f t="shared" si="1"/>
        <v>15</v>
      </c>
    </row>
    <row r="898">
      <c r="A898" s="4" t="s">
        <v>4396</v>
      </c>
      <c r="B898" s="4" t="str">
        <f t="shared" si="1"/>
        <v>12</v>
      </c>
    </row>
    <row r="899">
      <c r="A899" s="4" t="s">
        <v>4397</v>
      </c>
      <c r="B899" s="4" t="str">
        <f t="shared" si="1"/>
        <v>17</v>
      </c>
    </row>
    <row r="900">
      <c r="A900" s="4" t="s">
        <v>4195</v>
      </c>
      <c r="B900" s="4" t="str">
        <f t="shared" si="1"/>
        <v>16</v>
      </c>
    </row>
    <row r="901">
      <c r="A901" s="4" t="s">
        <v>4398</v>
      </c>
      <c r="B901" s="4" t="str">
        <f t="shared" si="1"/>
        <v>17</v>
      </c>
    </row>
    <row r="902">
      <c r="A902" s="4" t="s">
        <v>4399</v>
      </c>
      <c r="B902" s="4" t="str">
        <f t="shared" si="1"/>
        <v>20</v>
      </c>
    </row>
    <row r="903">
      <c r="A903" s="4" t="s">
        <v>4002</v>
      </c>
      <c r="B903" s="4" t="str">
        <f t="shared" si="1"/>
        <v>21</v>
      </c>
    </row>
    <row r="904">
      <c r="A904" s="4" t="s">
        <v>4400</v>
      </c>
      <c r="B904" s="4" t="str">
        <f t="shared" si="1"/>
        <v>10</v>
      </c>
    </row>
    <row r="905">
      <c r="A905" s="4" t="s">
        <v>4401</v>
      </c>
      <c r="B905" s="4" t="str">
        <f t="shared" si="1"/>
        <v>19</v>
      </c>
    </row>
    <row r="906">
      <c r="A906" s="4" t="s">
        <v>4099</v>
      </c>
      <c r="B906" s="4" t="str">
        <f t="shared" si="1"/>
        <v>12</v>
      </c>
    </row>
    <row r="907">
      <c r="A907" s="4" t="s">
        <v>4402</v>
      </c>
      <c r="B907" s="4" t="str">
        <f t="shared" si="1"/>
        <v>11</v>
      </c>
    </row>
    <row r="908">
      <c r="A908" s="4" t="s">
        <v>4128</v>
      </c>
      <c r="B908" s="4" t="str">
        <f t="shared" si="1"/>
        <v>18</v>
      </c>
    </row>
    <row r="909">
      <c r="A909" s="4" t="s">
        <v>4082</v>
      </c>
      <c r="B909" s="4" t="str">
        <f t="shared" si="1"/>
        <v>13</v>
      </c>
    </row>
    <row r="910">
      <c r="A910" s="4" t="s">
        <v>4260</v>
      </c>
      <c r="B910" s="4" t="str">
        <f t="shared" si="1"/>
        <v>13</v>
      </c>
    </row>
    <row r="911">
      <c r="A911" s="4" t="s">
        <v>4403</v>
      </c>
      <c r="B911" s="4" t="str">
        <f t="shared" si="1"/>
        <v>15</v>
      </c>
    </row>
    <row r="912">
      <c r="A912" s="4" t="s">
        <v>4404</v>
      </c>
      <c r="B912" s="4" t="str">
        <f t="shared" si="1"/>
        <v>13</v>
      </c>
    </row>
    <row r="913">
      <c r="A913" s="4" t="s">
        <v>4151</v>
      </c>
      <c r="B913" s="4" t="str">
        <f t="shared" si="1"/>
        <v>16</v>
      </c>
    </row>
    <row r="914">
      <c r="A914" s="4" t="s">
        <v>4030</v>
      </c>
      <c r="B914" s="4" t="str">
        <f t="shared" si="1"/>
        <v>17</v>
      </c>
    </row>
    <row r="915">
      <c r="A915" s="4" t="s">
        <v>4055</v>
      </c>
      <c r="B915" s="4" t="str">
        <f t="shared" si="1"/>
        <v>17</v>
      </c>
    </row>
    <row r="916">
      <c r="A916" s="4" t="s">
        <v>4405</v>
      </c>
      <c r="B916" s="4" t="str">
        <f t="shared" si="1"/>
        <v>00</v>
      </c>
    </row>
    <row r="917">
      <c r="A917" s="4" t="s">
        <v>4162</v>
      </c>
      <c r="B917" s="4" t="str">
        <f t="shared" si="1"/>
        <v>11</v>
      </c>
    </row>
    <row r="918">
      <c r="A918" s="4" t="s">
        <v>4406</v>
      </c>
      <c r="B918" s="4" t="str">
        <f t="shared" si="1"/>
        <v>12</v>
      </c>
    </row>
    <row r="919">
      <c r="A919" s="4" t="s">
        <v>4406</v>
      </c>
      <c r="B919" s="4" t="str">
        <f t="shared" si="1"/>
        <v>12</v>
      </c>
    </row>
    <row r="920">
      <c r="A920" s="4" t="s">
        <v>4141</v>
      </c>
      <c r="B920" s="4" t="str">
        <f t="shared" si="1"/>
        <v>14</v>
      </c>
    </row>
    <row r="921">
      <c r="A921" s="4" t="s">
        <v>4011</v>
      </c>
      <c r="B921" s="4" t="str">
        <f t="shared" si="1"/>
        <v>12</v>
      </c>
    </row>
    <row r="922">
      <c r="A922" s="4" t="s">
        <v>4160</v>
      </c>
      <c r="B922" s="4" t="str">
        <f t="shared" si="1"/>
        <v>14</v>
      </c>
    </row>
    <row r="923">
      <c r="A923" s="4" t="s">
        <v>4309</v>
      </c>
      <c r="B923" s="4" t="str">
        <f t="shared" si="1"/>
        <v>14</v>
      </c>
    </row>
    <row r="924">
      <c r="A924" s="4" t="s">
        <v>4066</v>
      </c>
      <c r="B924" s="4" t="str">
        <f t="shared" si="1"/>
        <v>13</v>
      </c>
    </row>
    <row r="925">
      <c r="A925" s="4" t="s">
        <v>4258</v>
      </c>
      <c r="B925" s="4" t="str">
        <f t="shared" si="1"/>
        <v>10</v>
      </c>
    </row>
    <row r="926">
      <c r="A926" s="4" t="s">
        <v>4045</v>
      </c>
      <c r="B926" s="4" t="str">
        <f t="shared" si="1"/>
        <v>15</v>
      </c>
    </row>
    <row r="927">
      <c r="A927" s="4" t="s">
        <v>3930</v>
      </c>
      <c r="B927" s="4" t="str">
        <f t="shared" si="1"/>
        <v>14</v>
      </c>
    </row>
    <row r="928">
      <c r="A928" s="4" t="s">
        <v>4407</v>
      </c>
      <c r="B928" s="4" t="str">
        <f t="shared" si="1"/>
        <v>15</v>
      </c>
    </row>
    <row r="929">
      <c r="A929" s="4" t="s">
        <v>4141</v>
      </c>
      <c r="B929" s="4" t="str">
        <f t="shared" si="1"/>
        <v>14</v>
      </c>
    </row>
    <row r="930">
      <c r="A930" s="4" t="s">
        <v>3898</v>
      </c>
      <c r="B930" s="4" t="str">
        <f t="shared" si="1"/>
        <v>14</v>
      </c>
    </row>
    <row r="931">
      <c r="A931" s="4" t="s">
        <v>3957</v>
      </c>
      <c r="B931" s="4" t="str">
        <f t="shared" si="1"/>
        <v>16</v>
      </c>
    </row>
    <row r="932">
      <c r="A932" s="4" t="s">
        <v>3964</v>
      </c>
      <c r="B932" s="4" t="str">
        <f t="shared" si="1"/>
        <v>16</v>
      </c>
    </row>
    <row r="933">
      <c r="A933" s="4" t="s">
        <v>3890</v>
      </c>
      <c r="B933" s="4" t="str">
        <f t="shared" si="1"/>
        <v>14</v>
      </c>
    </row>
    <row r="934">
      <c r="A934" s="4" t="s">
        <v>4408</v>
      </c>
      <c r="B934" s="4" t="str">
        <f t="shared" si="1"/>
        <v>20</v>
      </c>
    </row>
    <row r="935">
      <c r="A935" s="4" t="s">
        <v>4304</v>
      </c>
      <c r="B935" s="4" t="str">
        <f t="shared" si="1"/>
        <v>12</v>
      </c>
    </row>
    <row r="936">
      <c r="A936" s="4" t="s">
        <v>3890</v>
      </c>
      <c r="B936" s="4" t="str">
        <f t="shared" si="1"/>
        <v>14</v>
      </c>
    </row>
    <row r="937">
      <c r="A937" s="4" t="s">
        <v>4302</v>
      </c>
      <c r="B937" s="4" t="str">
        <f t="shared" si="1"/>
        <v>12</v>
      </c>
    </row>
    <row r="938">
      <c r="A938" s="4" t="s">
        <v>4369</v>
      </c>
      <c r="B938" s="4" t="str">
        <f t="shared" si="1"/>
        <v>05</v>
      </c>
    </row>
    <row r="939">
      <c r="A939" s="4" t="s">
        <v>4197</v>
      </c>
      <c r="B939" s="4" t="str">
        <f t="shared" si="1"/>
        <v>17</v>
      </c>
    </row>
    <row r="940">
      <c r="A940" s="4" t="s">
        <v>4409</v>
      </c>
      <c r="B940" s="4" t="str">
        <f t="shared" si="1"/>
        <v>14</v>
      </c>
    </row>
    <row r="941">
      <c r="A941" s="4" t="s">
        <v>4409</v>
      </c>
      <c r="B941" s="4" t="str">
        <f t="shared" si="1"/>
        <v>14</v>
      </c>
    </row>
    <row r="942">
      <c r="A942" s="4" t="s">
        <v>4006</v>
      </c>
      <c r="B942" s="4" t="str">
        <f t="shared" si="1"/>
        <v>15</v>
      </c>
    </row>
    <row r="943">
      <c r="A943" s="4" t="s">
        <v>4036</v>
      </c>
      <c r="B943" s="4" t="str">
        <f t="shared" si="1"/>
        <v>15</v>
      </c>
    </row>
    <row r="944">
      <c r="A944" s="4" t="s">
        <v>4410</v>
      </c>
      <c r="B944" s="4" t="str">
        <f t="shared" si="1"/>
        <v>02</v>
      </c>
    </row>
    <row r="945">
      <c r="A945" s="4" t="s">
        <v>4160</v>
      </c>
      <c r="B945" s="4" t="str">
        <f t="shared" si="1"/>
        <v>14</v>
      </c>
    </row>
    <row r="946">
      <c r="A946" s="4" t="s">
        <v>4411</v>
      </c>
      <c r="B946" s="4" t="str">
        <f t="shared" si="1"/>
        <v>22</v>
      </c>
    </row>
    <row r="947">
      <c r="A947" s="4" t="s">
        <v>4412</v>
      </c>
      <c r="B947" s="4" t="str">
        <f t="shared" si="1"/>
        <v>18</v>
      </c>
    </row>
    <row r="948">
      <c r="A948" s="4" t="s">
        <v>4413</v>
      </c>
      <c r="B948" s="4" t="str">
        <f t="shared" si="1"/>
        <v>23</v>
      </c>
    </row>
    <row r="949">
      <c r="A949" s="4" t="s">
        <v>4023</v>
      </c>
      <c r="B949" s="4" t="str">
        <f t="shared" si="1"/>
        <v>18</v>
      </c>
    </row>
    <row r="950">
      <c r="A950" s="4" t="s">
        <v>4304</v>
      </c>
      <c r="B950" s="4" t="str">
        <f t="shared" si="1"/>
        <v>12</v>
      </c>
    </row>
    <row r="951">
      <c r="A951" s="4" t="s">
        <v>4339</v>
      </c>
      <c r="B951" s="4" t="str">
        <f t="shared" si="1"/>
        <v>08</v>
      </c>
    </row>
    <row r="952">
      <c r="A952" s="4" t="s">
        <v>4020</v>
      </c>
      <c r="B952" s="4" t="str">
        <f t="shared" si="1"/>
        <v>13</v>
      </c>
    </row>
    <row r="953">
      <c r="A953" s="4" t="s">
        <v>3932</v>
      </c>
      <c r="B953" s="4" t="str">
        <f t="shared" si="1"/>
        <v>11</v>
      </c>
    </row>
    <row r="954">
      <c r="A954" s="4" t="s">
        <v>4284</v>
      </c>
      <c r="B954" s="4" t="str">
        <f t="shared" si="1"/>
        <v>11</v>
      </c>
    </row>
    <row r="955">
      <c r="A955" s="4" t="s">
        <v>4227</v>
      </c>
      <c r="B955" s="4" t="str">
        <f t="shared" si="1"/>
        <v>13</v>
      </c>
    </row>
    <row r="956">
      <c r="A956" s="4" t="s">
        <v>4409</v>
      </c>
      <c r="B956" s="4" t="str">
        <f t="shared" si="1"/>
        <v>14</v>
      </c>
    </row>
    <row r="957">
      <c r="A957" s="4" t="s">
        <v>3944</v>
      </c>
      <c r="B957" s="4" t="str">
        <f t="shared" si="1"/>
        <v>14</v>
      </c>
    </row>
    <row r="958">
      <c r="A958" s="4" t="s">
        <v>4053</v>
      </c>
      <c r="B958" s="4" t="str">
        <f t="shared" si="1"/>
        <v>15</v>
      </c>
    </row>
    <row r="959">
      <c r="A959" s="4" t="s">
        <v>4414</v>
      </c>
      <c r="B959" s="4" t="str">
        <f t="shared" si="1"/>
        <v>04</v>
      </c>
    </row>
    <row r="960">
      <c r="A960" s="4" t="s">
        <v>4415</v>
      </c>
      <c r="B960" s="4" t="str">
        <f t="shared" si="1"/>
        <v>06</v>
      </c>
    </row>
    <row r="961">
      <c r="A961" s="4" t="s">
        <v>4416</v>
      </c>
      <c r="B961" s="4" t="str">
        <f t="shared" si="1"/>
        <v>08</v>
      </c>
    </row>
    <row r="962">
      <c r="A962" s="4" t="s">
        <v>4417</v>
      </c>
      <c r="B962" s="4" t="str">
        <f t="shared" si="1"/>
        <v>17</v>
      </c>
    </row>
    <row r="963">
      <c r="A963" s="4" t="s">
        <v>4177</v>
      </c>
      <c r="B963" s="4" t="str">
        <f t="shared" si="1"/>
        <v>14</v>
      </c>
    </row>
    <row r="964">
      <c r="A964" s="4" t="s">
        <v>4132</v>
      </c>
      <c r="B964" s="4" t="str">
        <f t="shared" si="1"/>
        <v>14</v>
      </c>
    </row>
    <row r="965">
      <c r="A965" s="4" t="s">
        <v>4418</v>
      </c>
      <c r="B965" s="4" t="str">
        <f t="shared" si="1"/>
        <v>09</v>
      </c>
    </row>
    <row r="966">
      <c r="A966" s="4" t="s">
        <v>4347</v>
      </c>
      <c r="B966" s="4" t="str">
        <f t="shared" si="1"/>
        <v>17</v>
      </c>
    </row>
    <row r="967">
      <c r="A967" s="4" t="s">
        <v>4245</v>
      </c>
      <c r="B967" s="4" t="str">
        <f t="shared" si="1"/>
        <v>12</v>
      </c>
    </row>
    <row r="968">
      <c r="A968" s="4" t="s">
        <v>4015</v>
      </c>
      <c r="B968" s="4" t="str">
        <f t="shared" si="1"/>
        <v>17</v>
      </c>
    </row>
    <row r="969">
      <c r="A969" s="4" t="s">
        <v>4115</v>
      </c>
      <c r="B969" s="4" t="str">
        <f t="shared" si="1"/>
        <v>12</v>
      </c>
    </row>
    <row r="970">
      <c r="A970" s="4" t="s">
        <v>4419</v>
      </c>
      <c r="B970" s="4" t="str">
        <f t="shared" si="1"/>
        <v>00</v>
      </c>
    </row>
    <row r="971">
      <c r="A971" s="4" t="s">
        <v>4420</v>
      </c>
      <c r="B971" s="4" t="str">
        <f t="shared" si="1"/>
        <v>14</v>
      </c>
    </row>
    <row r="972">
      <c r="A972" s="4" t="s">
        <v>4096</v>
      </c>
      <c r="B972" s="4" t="str">
        <f t="shared" si="1"/>
        <v>12</v>
      </c>
    </row>
    <row r="973">
      <c r="A973" s="4" t="s">
        <v>4396</v>
      </c>
      <c r="B973" s="4" t="str">
        <f t="shared" si="1"/>
        <v>12</v>
      </c>
    </row>
    <row r="974">
      <c r="A974" s="4" t="s">
        <v>4421</v>
      </c>
      <c r="B974" s="4" t="str">
        <f t="shared" si="1"/>
        <v>20</v>
      </c>
    </row>
    <row r="975">
      <c r="A975" s="4" t="s">
        <v>4309</v>
      </c>
      <c r="B975" s="4" t="str">
        <f t="shared" si="1"/>
        <v>14</v>
      </c>
    </row>
    <row r="976">
      <c r="A976" s="4" t="s">
        <v>4422</v>
      </c>
      <c r="B976" s="4" t="str">
        <f t="shared" si="1"/>
        <v>15</v>
      </c>
    </row>
    <row r="977">
      <c r="A977" s="4" t="s">
        <v>4242</v>
      </c>
      <c r="B977" s="4" t="str">
        <f t="shared" si="1"/>
        <v>15</v>
      </c>
    </row>
    <row r="978">
      <c r="A978" s="4" t="s">
        <v>4423</v>
      </c>
      <c r="B978" s="4" t="str">
        <f t="shared" si="1"/>
        <v>17</v>
      </c>
    </row>
    <row r="979">
      <c r="A979" s="4" t="s">
        <v>4417</v>
      </c>
      <c r="B979" s="4" t="str">
        <f t="shared" si="1"/>
        <v>17</v>
      </c>
    </row>
    <row r="980">
      <c r="A980" s="4" t="s">
        <v>4055</v>
      </c>
      <c r="B980" s="4" t="str">
        <f t="shared" si="1"/>
        <v>17</v>
      </c>
    </row>
    <row r="981">
      <c r="A981" s="4" t="s">
        <v>4013</v>
      </c>
      <c r="B981" s="4" t="str">
        <f t="shared" si="1"/>
        <v>16</v>
      </c>
    </row>
    <row r="982">
      <c r="A982" s="4" t="s">
        <v>4424</v>
      </c>
      <c r="B982" s="4" t="str">
        <f t="shared" si="1"/>
        <v>00</v>
      </c>
    </row>
    <row r="983">
      <c r="A983" s="4" t="s">
        <v>4424</v>
      </c>
      <c r="B983" s="4" t="str">
        <f t="shared" si="1"/>
        <v>00</v>
      </c>
    </row>
    <row r="984">
      <c r="A984" s="4" t="s">
        <v>4424</v>
      </c>
      <c r="B984" s="4" t="str">
        <f t="shared" si="1"/>
        <v>00</v>
      </c>
    </row>
    <row r="985">
      <c r="A985" s="4" t="s">
        <v>4424</v>
      </c>
      <c r="B985" s="4" t="str">
        <f t="shared" si="1"/>
        <v>00</v>
      </c>
    </row>
    <row r="986">
      <c r="A986" s="4" t="s">
        <v>4425</v>
      </c>
      <c r="B986" s="4" t="str">
        <f t="shared" si="1"/>
        <v>17</v>
      </c>
    </row>
    <row r="987">
      <c r="A987" s="4" t="s">
        <v>3967</v>
      </c>
      <c r="B987" s="4" t="str">
        <f t="shared" si="1"/>
        <v>18</v>
      </c>
    </row>
    <row r="988">
      <c r="A988" s="4" t="s">
        <v>4185</v>
      </c>
      <c r="B988" s="4" t="str">
        <f t="shared" si="1"/>
        <v>18</v>
      </c>
    </row>
    <row r="989">
      <c r="A989" s="4" t="s">
        <v>4426</v>
      </c>
      <c r="B989" s="4" t="str">
        <f t="shared" si="1"/>
        <v>19</v>
      </c>
    </row>
    <row r="990">
      <c r="A990" s="4" t="s">
        <v>4427</v>
      </c>
      <c r="B990" s="4" t="str">
        <f t="shared" si="1"/>
        <v>11</v>
      </c>
    </row>
    <row r="991">
      <c r="A991" s="4" t="s">
        <v>4428</v>
      </c>
      <c r="B991" s="4" t="str">
        <f t="shared" si="1"/>
        <v>08</v>
      </c>
    </row>
    <row r="992">
      <c r="A992" s="4" t="s">
        <v>3962</v>
      </c>
      <c r="B992" s="4" t="str">
        <f t="shared" si="1"/>
        <v>11</v>
      </c>
    </row>
    <row r="993">
      <c r="A993" s="4" t="s">
        <v>4429</v>
      </c>
      <c r="B993" s="4" t="str">
        <f t="shared" si="1"/>
        <v>10</v>
      </c>
    </row>
    <row r="994">
      <c r="A994" s="4" t="s">
        <v>3939</v>
      </c>
      <c r="B994" s="4" t="str">
        <f t="shared" si="1"/>
        <v>12</v>
      </c>
    </row>
    <row r="995">
      <c r="A995" s="4" t="s">
        <v>3960</v>
      </c>
      <c r="B995" s="4" t="str">
        <f t="shared" si="1"/>
        <v>12</v>
      </c>
    </row>
    <row r="996">
      <c r="A996" s="4" t="s">
        <v>3974</v>
      </c>
      <c r="B996" s="4" t="str">
        <f t="shared" si="1"/>
        <v>10</v>
      </c>
    </row>
    <row r="997">
      <c r="A997" s="4" t="s">
        <v>4430</v>
      </c>
      <c r="B997" s="4" t="str">
        <f t="shared" si="1"/>
        <v>10</v>
      </c>
    </row>
    <row r="998">
      <c r="A998" s="4" t="s">
        <v>4181</v>
      </c>
      <c r="B998" s="4" t="str">
        <f t="shared" si="1"/>
        <v>12</v>
      </c>
    </row>
    <row r="999">
      <c r="A999" s="4" t="s">
        <v>4431</v>
      </c>
      <c r="B999" s="4" t="str">
        <f t="shared" si="1"/>
        <v>11</v>
      </c>
    </row>
    <row r="1000">
      <c r="A1000" s="4" t="s">
        <v>4130</v>
      </c>
      <c r="B1000" s="4" t="str">
        <f t="shared" si="1"/>
        <v>13</v>
      </c>
    </row>
    <row r="1001">
      <c r="A1001" s="4" t="s">
        <v>4432</v>
      </c>
      <c r="B1001" s="4" t="str">
        <f t="shared" si="1"/>
        <v>14</v>
      </c>
    </row>
    <row r="1002">
      <c r="A1002" s="4" t="s">
        <v>3950</v>
      </c>
      <c r="B1002" s="4" t="str">
        <f t="shared" si="1"/>
        <v>13</v>
      </c>
    </row>
    <row r="1003">
      <c r="A1003" s="4" t="s">
        <v>4042</v>
      </c>
      <c r="B1003" s="4" t="str">
        <f t="shared" si="1"/>
        <v>13</v>
      </c>
    </row>
    <row r="1004">
      <c r="A1004" s="4" t="s">
        <v>4149</v>
      </c>
      <c r="B1004" s="4" t="str">
        <f t="shared" si="1"/>
        <v>14</v>
      </c>
    </row>
    <row r="1005">
      <c r="A1005" s="4" t="s">
        <v>4433</v>
      </c>
      <c r="B1005" s="4" t="str">
        <f t="shared" si="1"/>
        <v>14</v>
      </c>
    </row>
    <row r="1006">
      <c r="A1006" s="4" t="s">
        <v>4434</v>
      </c>
      <c r="B1006" s="4" t="str">
        <f t="shared" si="1"/>
        <v>10</v>
      </c>
    </row>
    <row r="1007">
      <c r="A1007" s="4" t="s">
        <v>3938</v>
      </c>
      <c r="B1007" s="4" t="str">
        <f t="shared" si="1"/>
        <v>15</v>
      </c>
    </row>
    <row r="1008">
      <c r="A1008" s="4" t="s">
        <v>4377</v>
      </c>
      <c r="B1008" s="4" t="str">
        <f t="shared" si="1"/>
        <v>16</v>
      </c>
    </row>
    <row r="1009">
      <c r="A1009" s="4" t="s">
        <v>3874</v>
      </c>
      <c r="B1009" s="4" t="str">
        <f t="shared" si="1"/>
        <v>16</v>
      </c>
    </row>
    <row r="1010">
      <c r="A1010" s="4" t="s">
        <v>4226</v>
      </c>
      <c r="B1010" s="4" t="str">
        <f t="shared" si="1"/>
        <v>12</v>
      </c>
    </row>
    <row r="1011">
      <c r="A1011" s="4" t="s">
        <v>4218</v>
      </c>
      <c r="B1011" s="4" t="str">
        <f t="shared" si="1"/>
        <v>17</v>
      </c>
    </row>
    <row r="1012">
      <c r="A1012" s="4" t="s">
        <v>4435</v>
      </c>
      <c r="B1012" s="4" t="str">
        <f t="shared" si="1"/>
        <v>09</v>
      </c>
    </row>
    <row r="1013">
      <c r="A1013" s="4" t="s">
        <v>4082</v>
      </c>
      <c r="B1013" s="4" t="str">
        <f t="shared" si="1"/>
        <v>13</v>
      </c>
    </row>
    <row r="1014">
      <c r="A1014" s="4" t="s">
        <v>4436</v>
      </c>
      <c r="B1014" s="4" t="str">
        <f t="shared" si="1"/>
        <v>15</v>
      </c>
    </row>
    <row r="1015">
      <c r="A1015" s="4" t="s">
        <v>4107</v>
      </c>
      <c r="B1015" s="4" t="str">
        <f t="shared" si="1"/>
        <v>16</v>
      </c>
    </row>
    <row r="1016">
      <c r="A1016" s="4" t="s">
        <v>4103</v>
      </c>
      <c r="B1016" s="4" t="str">
        <f t="shared" si="1"/>
        <v>15</v>
      </c>
    </row>
    <row r="1017">
      <c r="A1017" s="4" t="s">
        <v>4283</v>
      </c>
      <c r="B1017" s="4" t="str">
        <f t="shared" si="1"/>
        <v>19</v>
      </c>
    </row>
    <row r="1018">
      <c r="A1018" s="4" t="s">
        <v>3966</v>
      </c>
      <c r="B1018" s="4" t="str">
        <f t="shared" si="1"/>
        <v>13</v>
      </c>
    </row>
    <row r="1019">
      <c r="A1019" s="4" t="s">
        <v>3874</v>
      </c>
      <c r="B1019" s="4" t="str">
        <f t="shared" si="1"/>
        <v>16</v>
      </c>
    </row>
    <row r="1020">
      <c r="A1020" s="4" t="s">
        <v>4117</v>
      </c>
      <c r="B1020" s="4" t="str">
        <f t="shared" si="1"/>
        <v>13</v>
      </c>
    </row>
    <row r="1021">
      <c r="A1021" s="4" t="s">
        <v>4096</v>
      </c>
      <c r="B1021" s="4" t="str">
        <f t="shared" si="1"/>
        <v>12</v>
      </c>
    </row>
    <row r="1022">
      <c r="A1022" s="4" t="s">
        <v>3914</v>
      </c>
      <c r="B1022" s="4" t="str">
        <f t="shared" si="1"/>
        <v>15</v>
      </c>
    </row>
    <row r="1023">
      <c r="A1023" s="4" t="s">
        <v>3965</v>
      </c>
      <c r="B1023" s="4" t="str">
        <f t="shared" si="1"/>
        <v>13</v>
      </c>
    </row>
    <row r="1024">
      <c r="A1024" s="4" t="s">
        <v>4097</v>
      </c>
      <c r="B1024" s="4" t="str">
        <f t="shared" si="1"/>
        <v>13</v>
      </c>
    </row>
    <row r="1025">
      <c r="A1025" s="4" t="s">
        <v>4131</v>
      </c>
      <c r="B1025" s="4" t="str">
        <f t="shared" si="1"/>
        <v>13</v>
      </c>
    </row>
    <row r="1026">
      <c r="A1026" s="4" t="s">
        <v>4207</v>
      </c>
      <c r="B1026" s="4" t="str">
        <f t="shared" si="1"/>
        <v>13</v>
      </c>
    </row>
    <row r="1027">
      <c r="A1027" s="4" t="s">
        <v>4237</v>
      </c>
      <c r="B1027" s="4" t="str">
        <f t="shared" si="1"/>
        <v>16</v>
      </c>
    </row>
    <row r="1028">
      <c r="A1028" s="4" t="s">
        <v>4357</v>
      </c>
      <c r="B1028" s="4" t="str">
        <f t="shared" si="1"/>
        <v>14</v>
      </c>
    </row>
    <row r="1029">
      <c r="A1029" s="4" t="s">
        <v>4437</v>
      </c>
      <c r="B1029" s="4" t="str">
        <f t="shared" si="1"/>
        <v>03</v>
      </c>
    </row>
    <row r="1030">
      <c r="A1030" s="4" t="s">
        <v>4109</v>
      </c>
      <c r="B1030" s="4" t="str">
        <f t="shared" si="1"/>
        <v>15</v>
      </c>
    </row>
    <row r="1031">
      <c r="A1031" s="4" t="s">
        <v>4438</v>
      </c>
      <c r="B1031" s="4" t="str">
        <f t="shared" si="1"/>
        <v>04</v>
      </c>
    </row>
    <row r="1032">
      <c r="A1032" s="4" t="s">
        <v>4439</v>
      </c>
      <c r="B1032" s="4" t="str">
        <f t="shared" si="1"/>
        <v>17</v>
      </c>
    </row>
    <row r="1033">
      <c r="A1033" s="4" t="s">
        <v>4128</v>
      </c>
      <c r="B1033" s="4" t="str">
        <f t="shared" si="1"/>
        <v>18</v>
      </c>
    </row>
    <row r="1034">
      <c r="A1034" s="4" t="s">
        <v>4440</v>
      </c>
      <c r="B1034" s="4" t="str">
        <f t="shared" si="1"/>
        <v>17</v>
      </c>
    </row>
    <row r="1035">
      <c r="A1035" s="4" t="s">
        <v>4441</v>
      </c>
      <c r="B1035" s="4" t="str">
        <f t="shared" si="1"/>
        <v>21</v>
      </c>
    </row>
    <row r="1036">
      <c r="A1036" s="4" t="s">
        <v>4237</v>
      </c>
      <c r="B1036" s="4" t="str">
        <f t="shared" si="1"/>
        <v>16</v>
      </c>
    </row>
    <row r="1037">
      <c r="A1037" s="4" t="s">
        <v>4002</v>
      </c>
      <c r="B1037" s="4" t="str">
        <f t="shared" si="1"/>
        <v>21</v>
      </c>
    </row>
    <row r="1038">
      <c r="A1038" s="4" t="s">
        <v>4442</v>
      </c>
      <c r="B1038" s="4" t="str">
        <f t="shared" si="1"/>
        <v>20</v>
      </c>
    </row>
    <row r="1039">
      <c r="A1039" s="4" t="s">
        <v>4443</v>
      </c>
      <c r="B1039" s="4" t="str">
        <f t="shared" si="1"/>
        <v>07</v>
      </c>
    </row>
    <row r="1040">
      <c r="A1040" s="4" t="s">
        <v>4444</v>
      </c>
      <c r="B1040" s="4" t="str">
        <f t="shared" si="1"/>
        <v>01</v>
      </c>
    </row>
    <row r="1041">
      <c r="A1041" s="4" t="s">
        <v>4445</v>
      </c>
      <c r="B1041" s="4" t="str">
        <f t="shared" si="1"/>
        <v>06</v>
      </c>
    </row>
    <row r="1042">
      <c r="A1042" s="4" t="s">
        <v>4446</v>
      </c>
      <c r="B1042" s="4" t="str">
        <f t="shared" si="1"/>
        <v>09</v>
      </c>
    </row>
    <row r="1043">
      <c r="A1043" s="4" t="s">
        <v>4447</v>
      </c>
      <c r="B1043" s="4" t="str">
        <f t="shared" si="1"/>
        <v>10</v>
      </c>
    </row>
    <row r="1044">
      <c r="A1044" s="4" t="s">
        <v>4025</v>
      </c>
      <c r="B1044" s="4" t="str">
        <f t="shared" si="1"/>
        <v>22</v>
      </c>
    </row>
    <row r="1045">
      <c r="A1045" s="4" t="s">
        <v>4448</v>
      </c>
      <c r="B1045" s="4" t="str">
        <f t="shared" si="1"/>
        <v>11</v>
      </c>
    </row>
    <row r="1046">
      <c r="A1046" s="4" t="s">
        <v>3939</v>
      </c>
      <c r="B1046" s="4" t="str">
        <f t="shared" si="1"/>
        <v>12</v>
      </c>
    </row>
    <row r="1047">
      <c r="A1047" s="4" t="s">
        <v>4449</v>
      </c>
      <c r="B1047" s="4" t="str">
        <f t="shared" si="1"/>
        <v>11</v>
      </c>
    </row>
    <row r="1048">
      <c r="A1048" s="4" t="s">
        <v>4450</v>
      </c>
      <c r="B1048" s="4" t="str">
        <f t="shared" si="1"/>
        <v>11</v>
      </c>
    </row>
    <row r="1049">
      <c r="A1049" s="4" t="s">
        <v>4048</v>
      </c>
      <c r="B1049" s="4" t="str">
        <f t="shared" si="1"/>
        <v>12</v>
      </c>
    </row>
    <row r="1050">
      <c r="A1050" s="4" t="s">
        <v>4181</v>
      </c>
      <c r="B1050" s="4" t="str">
        <f t="shared" si="1"/>
        <v>12</v>
      </c>
    </row>
    <row r="1051">
      <c r="A1051" s="4" t="s">
        <v>4351</v>
      </c>
      <c r="B1051" s="4" t="str">
        <f t="shared" si="1"/>
        <v>12</v>
      </c>
    </row>
    <row r="1052">
      <c r="A1052" s="4" t="s">
        <v>3966</v>
      </c>
      <c r="B1052" s="4" t="str">
        <f t="shared" si="1"/>
        <v>13</v>
      </c>
    </row>
    <row r="1053">
      <c r="A1053" s="4" t="s">
        <v>4385</v>
      </c>
      <c r="B1053" s="4" t="str">
        <f t="shared" si="1"/>
        <v>12</v>
      </c>
    </row>
    <row r="1054">
      <c r="A1054" s="4" t="s">
        <v>3953</v>
      </c>
      <c r="B1054" s="4" t="str">
        <f t="shared" si="1"/>
        <v>13</v>
      </c>
    </row>
    <row r="1055">
      <c r="A1055" s="4" t="s">
        <v>3985</v>
      </c>
      <c r="B1055" s="4" t="str">
        <f t="shared" si="1"/>
        <v>13</v>
      </c>
    </row>
    <row r="1056">
      <c r="A1056" s="4" t="s">
        <v>4451</v>
      </c>
      <c r="B1056" s="4" t="str">
        <f t="shared" si="1"/>
        <v>14</v>
      </c>
    </row>
    <row r="1057">
      <c r="A1057" s="4" t="s">
        <v>3898</v>
      </c>
      <c r="B1057" s="4" t="str">
        <f t="shared" si="1"/>
        <v>14</v>
      </c>
    </row>
    <row r="1058">
      <c r="A1058" s="4" t="s">
        <v>4452</v>
      </c>
      <c r="B1058" s="4" t="str">
        <f t="shared" si="1"/>
        <v>13</v>
      </c>
    </row>
    <row r="1059">
      <c r="A1059" s="4" t="s">
        <v>4453</v>
      </c>
      <c r="B1059" s="4" t="str">
        <f t="shared" si="1"/>
        <v>15</v>
      </c>
    </row>
    <row r="1060">
      <c r="A1060" s="4" t="s">
        <v>4454</v>
      </c>
      <c r="B1060" s="4" t="str">
        <f t="shared" si="1"/>
        <v>13</v>
      </c>
    </row>
    <row r="1061">
      <c r="A1061" s="4" t="s">
        <v>3898</v>
      </c>
      <c r="B1061" s="4" t="str">
        <f t="shared" si="1"/>
        <v>14</v>
      </c>
    </row>
    <row r="1062">
      <c r="A1062" s="4" t="s">
        <v>4141</v>
      </c>
      <c r="B1062" s="4" t="str">
        <f t="shared" si="1"/>
        <v>14</v>
      </c>
    </row>
    <row r="1063">
      <c r="A1063" s="4" t="s">
        <v>4159</v>
      </c>
      <c r="B1063" s="4" t="str">
        <f t="shared" si="1"/>
        <v>14</v>
      </c>
    </row>
    <row r="1064">
      <c r="A1064" s="4" t="s">
        <v>4108</v>
      </c>
      <c r="B1064" s="4" t="str">
        <f t="shared" si="1"/>
        <v>15</v>
      </c>
    </row>
    <row r="1065">
      <c r="A1065" s="4" t="s">
        <v>4417</v>
      </c>
      <c r="B1065" s="4" t="str">
        <f t="shared" si="1"/>
        <v>17</v>
      </c>
    </row>
    <row r="1066">
      <c r="A1066" s="4" t="s">
        <v>3936</v>
      </c>
      <c r="B1066" s="4" t="str">
        <f t="shared" si="1"/>
        <v>15</v>
      </c>
    </row>
    <row r="1067">
      <c r="A1067" s="4" t="s">
        <v>3925</v>
      </c>
      <c r="B1067" s="4" t="str">
        <f t="shared" si="1"/>
        <v>15</v>
      </c>
    </row>
    <row r="1068">
      <c r="A1068" s="4" t="s">
        <v>3923</v>
      </c>
      <c r="B1068" s="4" t="str">
        <f t="shared" si="1"/>
        <v>17</v>
      </c>
    </row>
    <row r="1069">
      <c r="A1069" s="4" t="s">
        <v>4455</v>
      </c>
      <c r="B1069" s="4" t="str">
        <f t="shared" si="1"/>
        <v>17</v>
      </c>
    </row>
    <row r="1070">
      <c r="A1070" s="4" t="s">
        <v>4456</v>
      </c>
      <c r="B1070" s="4" t="str">
        <f t="shared" si="1"/>
        <v>18</v>
      </c>
    </row>
    <row r="1071">
      <c r="A1071" s="4" t="s">
        <v>4457</v>
      </c>
      <c r="B1071" s="4" t="str">
        <f t="shared" si="1"/>
        <v>17</v>
      </c>
    </row>
    <row r="1072">
      <c r="A1072" s="4" t="s">
        <v>4440</v>
      </c>
      <c r="B1072" s="4" t="str">
        <f t="shared" si="1"/>
        <v>17</v>
      </c>
    </row>
    <row r="1073">
      <c r="A1073" s="4" t="s">
        <v>4458</v>
      </c>
      <c r="B1073" s="4" t="str">
        <f t="shared" si="1"/>
        <v>15</v>
      </c>
    </row>
    <row r="1074">
      <c r="A1074" s="4" t="s">
        <v>4429</v>
      </c>
      <c r="B1074" s="4" t="str">
        <f t="shared" si="1"/>
        <v>10</v>
      </c>
    </row>
    <row r="1075">
      <c r="A1075" s="4" t="s">
        <v>4459</v>
      </c>
      <c r="B1075" s="4" t="str">
        <f t="shared" si="1"/>
        <v>07</v>
      </c>
    </row>
    <row r="1076">
      <c r="A1076" s="4" t="s">
        <v>4185</v>
      </c>
      <c r="B1076" s="4" t="str">
        <f t="shared" si="1"/>
        <v>18</v>
      </c>
    </row>
    <row r="1077">
      <c r="A1077" s="4" t="s">
        <v>4460</v>
      </c>
      <c r="B1077" s="4" t="str">
        <f t="shared" si="1"/>
        <v>18</v>
      </c>
    </row>
    <row r="1078">
      <c r="A1078" s="4" t="s">
        <v>4461</v>
      </c>
      <c r="B1078" s="4" t="str">
        <f t="shared" si="1"/>
        <v>14</v>
      </c>
    </row>
    <row r="1079">
      <c r="A1079" s="4" t="s">
        <v>4462</v>
      </c>
      <c r="B1079" s="4" t="str">
        <f t="shared" si="1"/>
        <v>16</v>
      </c>
    </row>
    <row r="1080">
      <c r="A1080" s="4" t="s">
        <v>4134</v>
      </c>
      <c r="B1080" s="4" t="str">
        <f t="shared" si="1"/>
        <v>13</v>
      </c>
    </row>
    <row r="1081">
      <c r="A1081" s="4" t="s">
        <v>3974</v>
      </c>
      <c r="B1081" s="4" t="str">
        <f t="shared" si="1"/>
        <v>10</v>
      </c>
    </row>
    <row r="1082">
      <c r="A1082" s="4" t="s">
        <v>4068</v>
      </c>
      <c r="B1082" s="4" t="str">
        <f t="shared" si="1"/>
        <v>12</v>
      </c>
    </row>
    <row r="1083">
      <c r="A1083" s="4" t="s">
        <v>4463</v>
      </c>
      <c r="B1083" s="4" t="str">
        <f t="shared" si="1"/>
        <v>10</v>
      </c>
    </row>
    <row r="1084">
      <c r="A1084" s="4" t="s">
        <v>3888</v>
      </c>
      <c r="B1084" s="4" t="str">
        <f t="shared" si="1"/>
        <v>14</v>
      </c>
    </row>
    <row r="1085">
      <c r="A1085" s="4" t="s">
        <v>3914</v>
      </c>
      <c r="B1085" s="4" t="str">
        <f t="shared" si="1"/>
        <v>15</v>
      </c>
    </row>
    <row r="1086">
      <c r="A1086" s="4" t="s">
        <v>4464</v>
      </c>
      <c r="B1086" s="4" t="str">
        <f t="shared" si="1"/>
        <v>14</v>
      </c>
    </row>
    <row r="1087">
      <c r="A1087" s="4" t="s">
        <v>3954</v>
      </c>
      <c r="B1087" s="4" t="str">
        <f t="shared" si="1"/>
        <v>23</v>
      </c>
    </row>
    <row r="1088">
      <c r="A1088" s="4" t="s">
        <v>4008</v>
      </c>
      <c r="B1088" s="4" t="str">
        <f t="shared" si="1"/>
        <v>16</v>
      </c>
    </row>
    <row r="1089">
      <c r="A1089" s="4" t="s">
        <v>4417</v>
      </c>
      <c r="B1089" s="4" t="str">
        <f t="shared" si="1"/>
        <v>17</v>
      </c>
    </row>
    <row r="1090">
      <c r="A1090" s="4" t="s">
        <v>4465</v>
      </c>
      <c r="B1090" s="4" t="str">
        <f t="shared" si="1"/>
        <v>16</v>
      </c>
    </row>
    <row r="1091">
      <c r="A1091" s="4" t="s">
        <v>4036</v>
      </c>
      <c r="B1091" s="4" t="str">
        <f t="shared" si="1"/>
        <v>15</v>
      </c>
    </row>
    <row r="1092">
      <c r="A1092" s="4" t="s">
        <v>4156</v>
      </c>
      <c r="B1092" s="4" t="str">
        <f t="shared" si="1"/>
        <v>16</v>
      </c>
    </row>
    <row r="1093">
      <c r="A1093" s="4" t="s">
        <v>4466</v>
      </c>
      <c r="B1093" s="4" t="str">
        <f t="shared" si="1"/>
        <v>14</v>
      </c>
    </row>
    <row r="1094">
      <c r="A1094" s="4" t="s">
        <v>4467</v>
      </c>
      <c r="B1094" s="4" t="str">
        <f t="shared" si="1"/>
        <v>14</v>
      </c>
    </row>
    <row r="1095">
      <c r="A1095" s="4" t="s">
        <v>4050</v>
      </c>
      <c r="B1095" s="4" t="str">
        <f t="shared" si="1"/>
        <v>15</v>
      </c>
    </row>
    <row r="1096">
      <c r="A1096" s="4" t="s">
        <v>4283</v>
      </c>
      <c r="B1096" s="4" t="str">
        <f t="shared" si="1"/>
        <v>19</v>
      </c>
    </row>
    <row r="1097">
      <c r="A1097" s="4" t="s">
        <v>4468</v>
      </c>
      <c r="B1097" s="4" t="str">
        <f t="shared" si="1"/>
        <v>18</v>
      </c>
    </row>
    <row r="1098">
      <c r="A1098" s="4" t="s">
        <v>4469</v>
      </c>
      <c r="B1098" s="4" t="str">
        <f t="shared" si="1"/>
        <v>16</v>
      </c>
    </row>
    <row r="1099">
      <c r="A1099" s="4" t="s">
        <v>3996</v>
      </c>
      <c r="B1099" s="4" t="str">
        <f t="shared" si="1"/>
        <v>15</v>
      </c>
    </row>
    <row r="1100">
      <c r="A1100" s="4" t="s">
        <v>4470</v>
      </c>
      <c r="B1100" s="4" t="str">
        <f t="shared" si="1"/>
        <v>16</v>
      </c>
    </row>
    <row r="1101">
      <c r="A1101" s="4" t="s">
        <v>4470</v>
      </c>
      <c r="B1101" s="4" t="str">
        <f t="shared" si="1"/>
        <v>16</v>
      </c>
    </row>
    <row r="1102">
      <c r="A1102" s="4" t="s">
        <v>4471</v>
      </c>
      <c r="B1102" s="4" t="str">
        <f t="shared" si="1"/>
        <v>14</v>
      </c>
    </row>
    <row r="1103">
      <c r="A1103" s="4" t="s">
        <v>4472</v>
      </c>
      <c r="B1103" s="4" t="str">
        <f t="shared" si="1"/>
        <v>20</v>
      </c>
    </row>
    <row r="1104">
      <c r="A1104" s="4" t="s">
        <v>4473</v>
      </c>
      <c r="B1104" s="4" t="str">
        <f t="shared" si="1"/>
        <v>20</v>
      </c>
    </row>
    <row r="1105">
      <c r="A1105" s="4" t="s">
        <v>4474</v>
      </c>
      <c r="B1105" s="4" t="str">
        <f t="shared" si="1"/>
        <v>17</v>
      </c>
    </row>
    <row r="1106">
      <c r="A1106" s="4" t="s">
        <v>3912</v>
      </c>
      <c r="B1106" s="4" t="str">
        <f t="shared" si="1"/>
        <v>14</v>
      </c>
    </row>
    <row r="1107">
      <c r="A1107" s="4" t="s">
        <v>3912</v>
      </c>
      <c r="B1107" s="4" t="str">
        <f t="shared" si="1"/>
        <v>14</v>
      </c>
    </row>
    <row r="1108">
      <c r="A1108" s="4" t="s">
        <v>4475</v>
      </c>
      <c r="B1108" s="4" t="str">
        <f t="shared" si="1"/>
        <v>03</v>
      </c>
    </row>
    <row r="1109">
      <c r="A1109" s="4" t="s">
        <v>4476</v>
      </c>
      <c r="B1109" s="4" t="str">
        <f t="shared" si="1"/>
        <v>23</v>
      </c>
    </row>
    <row r="1110">
      <c r="A1110" s="4" t="s">
        <v>4477</v>
      </c>
      <c r="B1110" s="4" t="str">
        <f t="shared" si="1"/>
        <v>18</v>
      </c>
    </row>
    <row r="1111">
      <c r="A1111" s="4" t="s">
        <v>4372</v>
      </c>
      <c r="B1111" s="4" t="str">
        <f t="shared" si="1"/>
        <v>10</v>
      </c>
    </row>
    <row r="1112">
      <c r="A1112" s="4" t="s">
        <v>4185</v>
      </c>
      <c r="B1112" s="4" t="str">
        <f t="shared" si="1"/>
        <v>18</v>
      </c>
    </row>
    <row r="1113">
      <c r="A1113" s="4" t="s">
        <v>3942</v>
      </c>
      <c r="B1113" s="4" t="str">
        <f t="shared" si="1"/>
        <v>22</v>
      </c>
    </row>
    <row r="1114">
      <c r="A1114" s="4" t="s">
        <v>4478</v>
      </c>
      <c r="B1114" s="4" t="str">
        <f t="shared" si="1"/>
        <v>10</v>
      </c>
    </row>
    <row r="1115">
      <c r="A1115" s="4" t="s">
        <v>4446</v>
      </c>
      <c r="B1115" s="4" t="str">
        <f t="shared" si="1"/>
        <v>09</v>
      </c>
    </row>
    <row r="1116">
      <c r="A1116" s="4" t="s">
        <v>4479</v>
      </c>
      <c r="B1116" s="4" t="str">
        <f t="shared" si="1"/>
        <v>22</v>
      </c>
    </row>
    <row r="1117">
      <c r="A1117" s="4" t="s">
        <v>4480</v>
      </c>
      <c r="B1117" s="4" t="str">
        <f t="shared" si="1"/>
        <v>03</v>
      </c>
    </row>
    <row r="1118">
      <c r="A1118" s="4" t="s">
        <v>4070</v>
      </c>
      <c r="B1118" s="4" t="str">
        <f t="shared" si="1"/>
        <v>11</v>
      </c>
    </row>
    <row r="1119">
      <c r="A1119" s="4" t="s">
        <v>4356</v>
      </c>
      <c r="B1119" s="4" t="str">
        <f t="shared" si="1"/>
        <v>11</v>
      </c>
    </row>
    <row r="1120">
      <c r="A1120" s="4" t="s">
        <v>4478</v>
      </c>
      <c r="B1120" s="4" t="str">
        <f t="shared" si="1"/>
        <v>10</v>
      </c>
    </row>
    <row r="1121">
      <c r="A1121" s="4" t="s">
        <v>4481</v>
      </c>
      <c r="B1121" s="4" t="str">
        <f t="shared" si="1"/>
        <v>03</v>
      </c>
    </row>
    <row r="1122">
      <c r="A1122" s="4" t="s">
        <v>4157</v>
      </c>
      <c r="B1122" s="4" t="str">
        <f t="shared" si="1"/>
        <v>12</v>
      </c>
    </row>
    <row r="1123">
      <c r="A1123" s="4" t="s">
        <v>4386</v>
      </c>
      <c r="B1123" s="4" t="str">
        <f t="shared" si="1"/>
        <v>12</v>
      </c>
    </row>
    <row r="1124">
      <c r="A1124" s="4" t="s">
        <v>3969</v>
      </c>
      <c r="B1124" s="4" t="str">
        <f t="shared" si="1"/>
        <v>14</v>
      </c>
    </row>
    <row r="1125">
      <c r="A1125" s="4" t="s">
        <v>4482</v>
      </c>
      <c r="B1125" s="4" t="str">
        <f t="shared" si="1"/>
        <v>12</v>
      </c>
    </row>
    <row r="1126">
      <c r="A1126" s="4" t="s">
        <v>4483</v>
      </c>
      <c r="B1126" s="4" t="str">
        <f t="shared" si="1"/>
        <v>13</v>
      </c>
    </row>
    <row r="1127">
      <c r="A1127" s="4" t="s">
        <v>3912</v>
      </c>
      <c r="B1127" s="4" t="str">
        <f t="shared" si="1"/>
        <v>14</v>
      </c>
    </row>
    <row r="1128">
      <c r="A1128" s="4" t="s">
        <v>4050</v>
      </c>
      <c r="B1128" s="4" t="str">
        <f t="shared" si="1"/>
        <v>15</v>
      </c>
    </row>
    <row r="1129">
      <c r="A1129" s="4" t="s">
        <v>4484</v>
      </c>
      <c r="B1129" s="4" t="str">
        <f t="shared" si="1"/>
        <v>13</v>
      </c>
    </row>
    <row r="1130">
      <c r="A1130" s="4" t="s">
        <v>4015</v>
      </c>
      <c r="B1130" s="4" t="str">
        <f t="shared" si="1"/>
        <v>17</v>
      </c>
    </row>
    <row r="1131">
      <c r="A1131" s="4" t="s">
        <v>4141</v>
      </c>
      <c r="B1131" s="4" t="str">
        <f t="shared" si="1"/>
        <v>14</v>
      </c>
    </row>
    <row r="1132">
      <c r="A1132" s="4" t="s">
        <v>4485</v>
      </c>
      <c r="B1132" s="4" t="str">
        <f t="shared" si="1"/>
        <v>02</v>
      </c>
    </row>
    <row r="1133">
      <c r="A1133" s="4" t="s">
        <v>3874</v>
      </c>
      <c r="B1133" s="4" t="str">
        <f t="shared" si="1"/>
        <v>16</v>
      </c>
    </row>
    <row r="1134">
      <c r="A1134" s="4" t="s">
        <v>4160</v>
      </c>
      <c r="B1134" s="4" t="str">
        <f t="shared" si="1"/>
        <v>14</v>
      </c>
    </row>
    <row r="1135">
      <c r="A1135" s="4" t="s">
        <v>3874</v>
      </c>
      <c r="B1135" s="4" t="str">
        <f t="shared" si="1"/>
        <v>16</v>
      </c>
    </row>
    <row r="1136">
      <c r="A1136" s="4" t="s">
        <v>4051</v>
      </c>
      <c r="B1136" s="4" t="str">
        <f t="shared" si="1"/>
        <v>15</v>
      </c>
    </row>
    <row r="1137">
      <c r="A1137" s="4" t="s">
        <v>4103</v>
      </c>
      <c r="B1137" s="4" t="str">
        <f t="shared" si="1"/>
        <v>15</v>
      </c>
    </row>
    <row r="1138">
      <c r="A1138" s="4" t="s">
        <v>4486</v>
      </c>
      <c r="B1138" s="4" t="str">
        <f t="shared" si="1"/>
        <v>13</v>
      </c>
    </row>
    <row r="1139">
      <c r="A1139" s="4" t="s">
        <v>4487</v>
      </c>
      <c r="B1139" s="4" t="str">
        <f t="shared" si="1"/>
        <v>15</v>
      </c>
    </row>
    <row r="1140">
      <c r="A1140" s="4" t="s">
        <v>4488</v>
      </c>
      <c r="B1140" s="4" t="str">
        <f t="shared" si="1"/>
        <v>14</v>
      </c>
    </row>
    <row r="1141">
      <c r="A1141" s="4" t="s">
        <v>4286</v>
      </c>
      <c r="B1141" s="4" t="str">
        <f t="shared" si="1"/>
        <v>15</v>
      </c>
    </row>
    <row r="1142">
      <c r="A1142" s="4" t="s">
        <v>4136</v>
      </c>
      <c r="B1142" s="4" t="str">
        <f t="shared" si="1"/>
        <v>15</v>
      </c>
    </row>
    <row r="1143">
      <c r="A1143" s="4" t="s">
        <v>4051</v>
      </c>
      <c r="B1143" s="4" t="str">
        <f t="shared" si="1"/>
        <v>15</v>
      </c>
    </row>
    <row r="1144">
      <c r="A1144" s="4" t="s">
        <v>4179</v>
      </c>
      <c r="B1144" s="4" t="str">
        <f t="shared" si="1"/>
        <v>16</v>
      </c>
    </row>
    <row r="1145">
      <c r="A1145" s="4" t="s">
        <v>3912</v>
      </c>
      <c r="B1145" s="4" t="str">
        <f t="shared" si="1"/>
        <v>14</v>
      </c>
    </row>
    <row r="1146">
      <c r="A1146" s="4" t="s">
        <v>4489</v>
      </c>
      <c r="B1146" s="4" t="str">
        <f t="shared" si="1"/>
        <v>15</v>
      </c>
    </row>
    <row r="1147">
      <c r="A1147" s="4" t="s">
        <v>4151</v>
      </c>
      <c r="B1147" s="4" t="str">
        <f t="shared" si="1"/>
        <v>16</v>
      </c>
    </row>
    <row r="1148">
      <c r="A1148" s="4" t="s">
        <v>4188</v>
      </c>
      <c r="B1148" s="4" t="str">
        <f t="shared" si="1"/>
        <v>15</v>
      </c>
    </row>
    <row r="1149">
      <c r="A1149" s="4" t="s">
        <v>4045</v>
      </c>
      <c r="B1149" s="4" t="str">
        <f t="shared" si="1"/>
        <v>15</v>
      </c>
    </row>
    <row r="1150">
      <c r="A1150" s="4" t="s">
        <v>4281</v>
      </c>
      <c r="B1150" s="4" t="str">
        <f t="shared" si="1"/>
        <v>14</v>
      </c>
    </row>
    <row r="1151">
      <c r="A1151" s="4" t="s">
        <v>3998</v>
      </c>
      <c r="B1151" s="4" t="str">
        <f t="shared" si="1"/>
        <v>16</v>
      </c>
    </row>
    <row r="1152">
      <c r="A1152" s="4" t="s">
        <v>3926</v>
      </c>
      <c r="B1152" s="4" t="str">
        <f t="shared" si="1"/>
        <v>16</v>
      </c>
    </row>
    <row r="1153">
      <c r="A1153" s="4" t="s">
        <v>4490</v>
      </c>
      <c r="B1153" s="4" t="str">
        <f t="shared" si="1"/>
        <v>16</v>
      </c>
    </row>
    <row r="1154">
      <c r="A1154" s="4" t="s">
        <v>4190</v>
      </c>
      <c r="B1154" s="4" t="str">
        <f t="shared" si="1"/>
        <v>17</v>
      </c>
    </row>
    <row r="1155">
      <c r="A1155" s="4" t="s">
        <v>3957</v>
      </c>
      <c r="B1155" s="4" t="str">
        <f t="shared" si="1"/>
        <v>16</v>
      </c>
    </row>
    <row r="1156">
      <c r="A1156" s="4" t="s">
        <v>4491</v>
      </c>
      <c r="B1156" s="4" t="str">
        <f t="shared" si="1"/>
        <v>09</v>
      </c>
    </row>
    <row r="1157">
      <c r="A1157" s="4" t="s">
        <v>3923</v>
      </c>
      <c r="B1157" s="4" t="str">
        <f t="shared" si="1"/>
        <v>17</v>
      </c>
    </row>
    <row r="1158">
      <c r="A1158" s="4" t="s">
        <v>3874</v>
      </c>
      <c r="B1158" s="4" t="str">
        <f t="shared" si="1"/>
        <v>16</v>
      </c>
    </row>
    <row r="1159">
      <c r="A1159" s="4" t="s">
        <v>4492</v>
      </c>
      <c r="B1159" s="4" t="str">
        <f t="shared" si="1"/>
        <v>16</v>
      </c>
    </row>
    <row r="1160">
      <c r="A1160" s="4" t="s">
        <v>4127</v>
      </c>
      <c r="B1160" s="4" t="str">
        <f t="shared" si="1"/>
        <v>16</v>
      </c>
    </row>
    <row r="1161">
      <c r="A1161" s="4" t="s">
        <v>4074</v>
      </c>
      <c r="B1161" s="4" t="str">
        <f t="shared" si="1"/>
        <v>16</v>
      </c>
    </row>
    <row r="1162">
      <c r="A1162" s="4" t="s">
        <v>4493</v>
      </c>
      <c r="B1162" s="4" t="str">
        <f t="shared" si="1"/>
        <v>18</v>
      </c>
    </row>
    <row r="1163">
      <c r="A1163" s="4" t="s">
        <v>4067</v>
      </c>
      <c r="B1163" s="4" t="str">
        <f t="shared" si="1"/>
        <v>15</v>
      </c>
    </row>
    <row r="1164">
      <c r="A1164" s="4" t="s">
        <v>4494</v>
      </c>
      <c r="B1164" s="4" t="str">
        <f t="shared" si="1"/>
        <v>17</v>
      </c>
    </row>
    <row r="1165">
      <c r="A1165" s="4" t="s">
        <v>4457</v>
      </c>
      <c r="B1165" s="4" t="str">
        <f t="shared" si="1"/>
        <v>17</v>
      </c>
    </row>
    <row r="1166">
      <c r="A1166" s="4" t="s">
        <v>4495</v>
      </c>
      <c r="B1166" s="4" t="str">
        <f t="shared" si="1"/>
        <v>17</v>
      </c>
    </row>
    <row r="1167">
      <c r="A1167" s="4" t="s">
        <v>3957</v>
      </c>
      <c r="B1167" s="4" t="str">
        <f t="shared" si="1"/>
        <v>16</v>
      </c>
    </row>
    <row r="1168">
      <c r="A1168" s="4" t="s">
        <v>4496</v>
      </c>
      <c r="B1168" s="4" t="str">
        <f t="shared" si="1"/>
        <v>06</v>
      </c>
    </row>
    <row r="1169">
      <c r="A1169" s="4" t="s">
        <v>4496</v>
      </c>
      <c r="B1169" s="4" t="str">
        <f t="shared" si="1"/>
        <v>06</v>
      </c>
    </row>
    <row r="1170">
      <c r="A1170" s="4" t="s">
        <v>4066</v>
      </c>
      <c r="B1170" s="4" t="str">
        <f t="shared" si="1"/>
        <v>13</v>
      </c>
    </row>
    <row r="1171">
      <c r="A1171" s="4" t="s">
        <v>4347</v>
      </c>
      <c r="B1171" s="4" t="str">
        <f t="shared" si="1"/>
        <v>17</v>
      </c>
    </row>
    <row r="1172">
      <c r="A1172" s="4" t="s">
        <v>4449</v>
      </c>
      <c r="B1172" s="4" t="str">
        <f t="shared" si="1"/>
        <v>11</v>
      </c>
    </row>
    <row r="1173">
      <c r="A1173" s="4" t="s">
        <v>4156</v>
      </c>
      <c r="B1173" s="4" t="str">
        <f t="shared" si="1"/>
        <v>16</v>
      </c>
    </row>
    <row r="1174">
      <c r="A1174" s="4" t="s">
        <v>4497</v>
      </c>
      <c r="B1174" s="4" t="str">
        <f t="shared" si="1"/>
        <v>14</v>
      </c>
    </row>
    <row r="1175">
      <c r="A1175" s="4" t="s">
        <v>3874</v>
      </c>
      <c r="B1175" s="4" t="str">
        <f t="shared" si="1"/>
        <v>16</v>
      </c>
    </row>
    <row r="1176">
      <c r="A1176" s="4" t="s">
        <v>4498</v>
      </c>
      <c r="B1176" s="4" t="str">
        <f t="shared" si="1"/>
        <v>18</v>
      </c>
    </row>
    <row r="1177">
      <c r="A1177" s="4" t="s">
        <v>4342</v>
      </c>
      <c r="B1177" s="4" t="str">
        <f t="shared" si="1"/>
        <v>15</v>
      </c>
    </row>
    <row r="1178">
      <c r="A1178" s="4" t="s">
        <v>4499</v>
      </c>
      <c r="B1178" s="4" t="str">
        <f t="shared" si="1"/>
        <v>11</v>
      </c>
    </row>
    <row r="1179">
      <c r="A1179" s="4" t="s">
        <v>4139</v>
      </c>
      <c r="B1179" s="4" t="str">
        <f t="shared" si="1"/>
        <v>10</v>
      </c>
    </row>
    <row r="1180">
      <c r="A1180" s="4" t="s">
        <v>3920</v>
      </c>
      <c r="B1180" s="4" t="str">
        <f t="shared" si="1"/>
        <v>12</v>
      </c>
    </row>
    <row r="1181">
      <c r="A1181" s="4" t="s">
        <v>4500</v>
      </c>
      <c r="B1181" s="4" t="str">
        <f t="shared" si="1"/>
        <v>21</v>
      </c>
    </row>
    <row r="1182">
      <c r="A1182" s="4" t="s">
        <v>4079</v>
      </c>
      <c r="B1182" s="4" t="str">
        <f t="shared" si="1"/>
        <v>15</v>
      </c>
    </row>
    <row r="1183">
      <c r="A1183" s="4" t="s">
        <v>4501</v>
      </c>
      <c r="B1183" s="4" t="str">
        <f t="shared" si="1"/>
        <v>22</v>
      </c>
    </row>
    <row r="1184">
      <c r="A1184" s="4" t="s">
        <v>4502</v>
      </c>
      <c r="B1184" s="4" t="str">
        <f t="shared" si="1"/>
        <v>17</v>
      </c>
    </row>
    <row r="1185">
      <c r="A1185" s="4" t="s">
        <v>4503</v>
      </c>
      <c r="B1185" s="4" t="str">
        <f t="shared" si="1"/>
        <v>13</v>
      </c>
    </row>
    <row r="1186">
      <c r="A1186" s="4" t="s">
        <v>3969</v>
      </c>
      <c r="B1186" s="4" t="str">
        <f t="shared" si="1"/>
        <v>14</v>
      </c>
    </row>
    <row r="1187">
      <c r="A1187" s="4" t="s">
        <v>4012</v>
      </c>
      <c r="B1187" s="4" t="str">
        <f t="shared" si="1"/>
        <v>15</v>
      </c>
    </row>
    <row r="1188">
      <c r="A1188" s="4" t="s">
        <v>4504</v>
      </c>
      <c r="B1188" s="4" t="str">
        <f t="shared" si="1"/>
        <v>14</v>
      </c>
    </row>
    <row r="1189">
      <c r="A1189" s="4" t="s">
        <v>4131</v>
      </c>
      <c r="B1189" s="4" t="str">
        <f t="shared" si="1"/>
        <v>13</v>
      </c>
    </row>
    <row r="1190">
      <c r="A1190" s="4" t="s">
        <v>4505</v>
      </c>
      <c r="B1190" s="4" t="str">
        <f t="shared" si="1"/>
        <v>14</v>
      </c>
    </row>
    <row r="1191">
      <c r="A1191" s="4" t="s">
        <v>4149</v>
      </c>
      <c r="B1191" s="4" t="str">
        <f t="shared" si="1"/>
        <v>14</v>
      </c>
    </row>
    <row r="1192">
      <c r="A1192" s="4" t="s">
        <v>4506</v>
      </c>
      <c r="B1192" s="4" t="str">
        <f t="shared" si="1"/>
        <v>15</v>
      </c>
    </row>
    <row r="1193">
      <c r="A1193" s="4" t="s">
        <v>4507</v>
      </c>
      <c r="B1193" s="4" t="str">
        <f t="shared" si="1"/>
        <v>15</v>
      </c>
    </row>
    <row r="1194">
      <c r="A1194" s="4" t="s">
        <v>4253</v>
      </c>
      <c r="B1194" s="4" t="str">
        <f t="shared" si="1"/>
        <v>15</v>
      </c>
    </row>
    <row r="1195">
      <c r="A1195" s="4" t="s">
        <v>4190</v>
      </c>
      <c r="B1195" s="4" t="str">
        <f t="shared" si="1"/>
        <v>17</v>
      </c>
    </row>
    <row r="1196">
      <c r="A1196" s="4" t="s">
        <v>4015</v>
      </c>
      <c r="B1196" s="4" t="str">
        <f t="shared" si="1"/>
        <v>17</v>
      </c>
    </row>
    <row r="1197">
      <c r="A1197" s="4" t="s">
        <v>4283</v>
      </c>
      <c r="B1197" s="4" t="str">
        <f t="shared" si="1"/>
        <v>19</v>
      </c>
    </row>
    <row r="1198">
      <c r="A1198" s="4" t="s">
        <v>4508</v>
      </c>
      <c r="B1198" s="4" t="str">
        <f t="shared" si="1"/>
        <v>04</v>
      </c>
    </row>
    <row r="1199">
      <c r="A1199" s="4" t="s">
        <v>4509</v>
      </c>
      <c r="B1199" s="4" t="str">
        <f t="shared" si="1"/>
        <v>02</v>
      </c>
    </row>
    <row r="1200">
      <c r="A1200" s="4" t="s">
        <v>3951</v>
      </c>
      <c r="B1200" s="4" t="str">
        <f t="shared" si="1"/>
        <v>17</v>
      </c>
    </row>
    <row r="1201">
      <c r="A1201" s="4" t="s">
        <v>4510</v>
      </c>
      <c r="B1201" s="4" t="str">
        <f t="shared" si="1"/>
        <v>16</v>
      </c>
    </row>
    <row r="1202">
      <c r="A1202" s="4" t="s">
        <v>4511</v>
      </c>
      <c r="B1202" s="4" t="str">
        <f t="shared" si="1"/>
        <v>18</v>
      </c>
    </row>
    <row r="1203">
      <c r="A1203" s="4" t="s">
        <v>4185</v>
      </c>
      <c r="B1203" s="4" t="str">
        <f t="shared" si="1"/>
        <v>18</v>
      </c>
    </row>
    <row r="1204">
      <c r="A1204" s="4" t="s">
        <v>4512</v>
      </c>
      <c r="B1204" s="4" t="str">
        <f t="shared" si="1"/>
        <v>18</v>
      </c>
    </row>
    <row r="1205">
      <c r="A1205" s="4" t="s">
        <v>4513</v>
      </c>
      <c r="B1205" s="4" t="str">
        <f t="shared" si="1"/>
        <v>16</v>
      </c>
    </row>
    <row r="1206">
      <c r="A1206" s="4" t="s">
        <v>4283</v>
      </c>
      <c r="B1206" s="4" t="str">
        <f t="shared" si="1"/>
        <v>19</v>
      </c>
    </row>
    <row r="1207">
      <c r="A1207" s="4" t="s">
        <v>4496</v>
      </c>
      <c r="B1207" s="4" t="str">
        <f t="shared" si="1"/>
        <v>06</v>
      </c>
    </row>
    <row r="1208">
      <c r="A1208" s="4" t="s">
        <v>4514</v>
      </c>
      <c r="B1208" s="4" t="str">
        <f t="shared" si="1"/>
        <v>06</v>
      </c>
    </row>
    <row r="1209">
      <c r="A1209" s="4" t="s">
        <v>4515</v>
      </c>
      <c r="B1209" s="4" t="str">
        <f t="shared" si="1"/>
        <v>07</v>
      </c>
    </row>
    <row r="1210">
      <c r="A1210" s="4" t="s">
        <v>4516</v>
      </c>
      <c r="B1210" s="4" t="str">
        <f t="shared" si="1"/>
        <v>08</v>
      </c>
    </row>
    <row r="1211">
      <c r="A1211" s="4" t="s">
        <v>4517</v>
      </c>
      <c r="B1211" s="4" t="str">
        <f t="shared" si="1"/>
        <v>09</v>
      </c>
    </row>
    <row r="1212">
      <c r="A1212" s="4" t="s">
        <v>3969</v>
      </c>
      <c r="B1212" s="4" t="str">
        <f t="shared" si="1"/>
        <v>14</v>
      </c>
    </row>
    <row r="1213">
      <c r="A1213" s="4" t="s">
        <v>4518</v>
      </c>
      <c r="B1213" s="4" t="str">
        <f t="shared" si="1"/>
        <v>06</v>
      </c>
    </row>
    <row r="1214">
      <c r="A1214" s="4" t="s">
        <v>4162</v>
      </c>
      <c r="B1214" s="4" t="str">
        <f t="shared" si="1"/>
        <v>11</v>
      </c>
    </row>
    <row r="1215">
      <c r="A1215" s="4" t="s">
        <v>4519</v>
      </c>
      <c r="B1215" s="4" t="str">
        <f t="shared" si="1"/>
        <v>12</v>
      </c>
    </row>
    <row r="1216">
      <c r="A1216" s="4" t="s">
        <v>4372</v>
      </c>
      <c r="B1216" s="4" t="str">
        <f t="shared" si="1"/>
        <v>10</v>
      </c>
    </row>
    <row r="1217">
      <c r="A1217" s="4" t="s">
        <v>4520</v>
      </c>
      <c r="B1217" s="4" t="str">
        <f t="shared" si="1"/>
        <v>13</v>
      </c>
    </row>
    <row r="1218">
      <c r="A1218" s="4" t="s">
        <v>4521</v>
      </c>
      <c r="B1218" s="4" t="str">
        <f t="shared" si="1"/>
        <v>08</v>
      </c>
    </row>
    <row r="1219">
      <c r="A1219" s="4" t="s">
        <v>4284</v>
      </c>
      <c r="B1219" s="4" t="str">
        <f t="shared" si="1"/>
        <v>11</v>
      </c>
    </row>
    <row r="1220">
      <c r="A1220" s="4" t="s">
        <v>4011</v>
      </c>
      <c r="B1220" s="4" t="str">
        <f t="shared" si="1"/>
        <v>12</v>
      </c>
    </row>
    <row r="1221">
      <c r="A1221" s="4" t="s">
        <v>4095</v>
      </c>
      <c r="B1221" s="4" t="str">
        <f t="shared" si="1"/>
        <v>12</v>
      </c>
    </row>
    <row r="1222">
      <c r="A1222" s="4" t="s">
        <v>4522</v>
      </c>
      <c r="B1222" s="4" t="str">
        <f t="shared" si="1"/>
        <v>11</v>
      </c>
    </row>
    <row r="1223">
      <c r="A1223" s="4" t="s">
        <v>3994</v>
      </c>
      <c r="B1223" s="4" t="str">
        <f t="shared" si="1"/>
        <v>12</v>
      </c>
    </row>
    <row r="1224">
      <c r="A1224" s="4" t="s">
        <v>4523</v>
      </c>
      <c r="B1224" s="4" t="str">
        <f t="shared" si="1"/>
        <v>11</v>
      </c>
    </row>
    <row r="1225">
      <c r="A1225" s="4" t="s">
        <v>4121</v>
      </c>
      <c r="B1225" s="4" t="str">
        <f t="shared" si="1"/>
        <v>10</v>
      </c>
    </row>
    <row r="1226">
      <c r="A1226" s="4" t="s">
        <v>4524</v>
      </c>
      <c r="B1226" s="4" t="str">
        <f t="shared" si="1"/>
        <v>08</v>
      </c>
    </row>
    <row r="1227">
      <c r="A1227" s="4" t="s">
        <v>4372</v>
      </c>
      <c r="B1227" s="4" t="str">
        <f t="shared" si="1"/>
        <v>10</v>
      </c>
    </row>
    <row r="1228">
      <c r="A1228" s="4" t="s">
        <v>4115</v>
      </c>
      <c r="B1228" s="4" t="str">
        <f t="shared" si="1"/>
        <v>12</v>
      </c>
    </row>
    <row r="1229">
      <c r="A1229" s="4" t="s">
        <v>4525</v>
      </c>
      <c r="B1229" s="4" t="str">
        <f t="shared" si="1"/>
        <v>13</v>
      </c>
    </row>
    <row r="1230">
      <c r="A1230" s="4" t="s">
        <v>4212</v>
      </c>
      <c r="B1230" s="4" t="str">
        <f t="shared" si="1"/>
        <v>15</v>
      </c>
    </row>
    <row r="1231">
      <c r="A1231" s="4" t="s">
        <v>4526</v>
      </c>
      <c r="B1231" s="4" t="str">
        <f t="shared" si="1"/>
        <v>11</v>
      </c>
    </row>
    <row r="1232">
      <c r="A1232" s="4" t="s">
        <v>4373</v>
      </c>
      <c r="B1232" s="4" t="str">
        <f t="shared" si="1"/>
        <v>13</v>
      </c>
    </row>
    <row r="1233">
      <c r="A1233" s="4" t="s">
        <v>4160</v>
      </c>
      <c r="B1233" s="4" t="str">
        <f t="shared" si="1"/>
        <v>14</v>
      </c>
    </row>
    <row r="1234">
      <c r="A1234" s="4" t="s">
        <v>4161</v>
      </c>
      <c r="B1234" s="4" t="str">
        <f t="shared" si="1"/>
        <v>12</v>
      </c>
    </row>
    <row r="1235">
      <c r="A1235" s="4" t="s">
        <v>4117</v>
      </c>
      <c r="B1235" s="4" t="str">
        <f t="shared" si="1"/>
        <v>13</v>
      </c>
    </row>
    <row r="1236">
      <c r="A1236" s="4" t="s">
        <v>4000</v>
      </c>
      <c r="B1236" s="4" t="str">
        <f t="shared" si="1"/>
        <v>11</v>
      </c>
    </row>
    <row r="1237">
      <c r="A1237" s="4" t="s">
        <v>4527</v>
      </c>
      <c r="B1237" s="4" t="str">
        <f t="shared" si="1"/>
        <v>14</v>
      </c>
    </row>
    <row r="1238">
      <c r="A1238" s="4" t="s">
        <v>4528</v>
      </c>
      <c r="B1238" s="4" t="str">
        <f t="shared" si="1"/>
        <v>08</v>
      </c>
    </row>
    <row r="1239">
      <c r="A1239" s="4" t="s">
        <v>3940</v>
      </c>
      <c r="B1239" s="4" t="str">
        <f t="shared" si="1"/>
        <v>12</v>
      </c>
    </row>
    <row r="1240">
      <c r="A1240" s="4" t="s">
        <v>4529</v>
      </c>
      <c r="B1240" s="4" t="str">
        <f t="shared" si="1"/>
        <v>11</v>
      </c>
    </row>
    <row r="1241">
      <c r="A1241" s="4" t="s">
        <v>4114</v>
      </c>
      <c r="B1241" s="4" t="str">
        <f t="shared" si="1"/>
        <v>11</v>
      </c>
    </row>
    <row r="1242">
      <c r="A1242" s="4" t="s">
        <v>4530</v>
      </c>
      <c r="B1242" s="4" t="str">
        <f t="shared" si="1"/>
        <v>13</v>
      </c>
    </row>
    <row r="1243">
      <c r="A1243" s="4" t="s">
        <v>4204</v>
      </c>
      <c r="B1243" s="4" t="str">
        <f t="shared" si="1"/>
        <v>12</v>
      </c>
    </row>
    <row r="1244">
      <c r="A1244" s="4" t="s">
        <v>4084</v>
      </c>
      <c r="B1244" s="4" t="str">
        <f t="shared" si="1"/>
        <v>13</v>
      </c>
    </row>
    <row r="1245">
      <c r="A1245" s="4" t="s">
        <v>4531</v>
      </c>
      <c r="B1245" s="4" t="str">
        <f t="shared" si="1"/>
        <v>11</v>
      </c>
    </row>
    <row r="1246">
      <c r="A1246" s="4" t="s">
        <v>4123</v>
      </c>
      <c r="B1246" s="4" t="str">
        <f t="shared" si="1"/>
        <v>14</v>
      </c>
    </row>
    <row r="1247">
      <c r="A1247" s="4" t="s">
        <v>4532</v>
      </c>
      <c r="B1247" s="4" t="str">
        <f t="shared" si="1"/>
        <v>02</v>
      </c>
    </row>
    <row r="1248">
      <c r="A1248" s="4" t="s">
        <v>4071</v>
      </c>
      <c r="B1248" s="4" t="str">
        <f t="shared" si="1"/>
        <v>15</v>
      </c>
    </row>
    <row r="1249">
      <c r="A1249" s="4" t="s">
        <v>4005</v>
      </c>
      <c r="B1249" s="4" t="str">
        <f t="shared" si="1"/>
        <v>14</v>
      </c>
    </row>
    <row r="1250">
      <c r="A1250" s="4" t="s">
        <v>4533</v>
      </c>
      <c r="B1250" s="4" t="str">
        <f t="shared" si="1"/>
        <v>17</v>
      </c>
    </row>
    <row r="1251">
      <c r="A1251" s="4" t="s">
        <v>3914</v>
      </c>
      <c r="B1251" s="4" t="str">
        <f t="shared" si="1"/>
        <v>15</v>
      </c>
    </row>
    <row r="1252">
      <c r="A1252" s="4" t="s">
        <v>4216</v>
      </c>
      <c r="B1252" s="4" t="str">
        <f t="shared" si="1"/>
        <v>13</v>
      </c>
    </row>
    <row r="1253">
      <c r="A1253" s="4" t="s">
        <v>4214</v>
      </c>
      <c r="B1253" s="4" t="str">
        <f t="shared" si="1"/>
        <v>15</v>
      </c>
    </row>
    <row r="1254">
      <c r="A1254" s="4" t="s">
        <v>3976</v>
      </c>
      <c r="B1254" s="4" t="str">
        <f t="shared" si="1"/>
        <v>11</v>
      </c>
    </row>
    <row r="1255">
      <c r="A1255" s="4" t="s">
        <v>4325</v>
      </c>
      <c r="B1255" s="4" t="str">
        <f t="shared" si="1"/>
        <v>12</v>
      </c>
    </row>
    <row r="1256">
      <c r="A1256" s="4" t="s">
        <v>4045</v>
      </c>
      <c r="B1256" s="4" t="str">
        <f t="shared" si="1"/>
        <v>15</v>
      </c>
    </row>
    <row r="1257">
      <c r="A1257" s="4" t="s">
        <v>4326</v>
      </c>
      <c r="B1257" s="4" t="str">
        <f t="shared" si="1"/>
        <v>12</v>
      </c>
    </row>
    <row r="1258">
      <c r="A1258" s="4" t="s">
        <v>3976</v>
      </c>
      <c r="B1258" s="4" t="str">
        <f t="shared" si="1"/>
        <v>11</v>
      </c>
    </row>
    <row r="1259">
      <c r="A1259" s="4" t="s">
        <v>4233</v>
      </c>
      <c r="B1259" s="4" t="str">
        <f t="shared" si="1"/>
        <v>14</v>
      </c>
    </row>
    <row r="1260">
      <c r="A1260" s="4" t="s">
        <v>4071</v>
      </c>
      <c r="B1260" s="4" t="str">
        <f t="shared" si="1"/>
        <v>15</v>
      </c>
    </row>
    <row r="1261">
      <c r="A1261" s="4" t="s">
        <v>3936</v>
      </c>
      <c r="B1261" s="4" t="str">
        <f t="shared" si="1"/>
        <v>15</v>
      </c>
    </row>
    <row r="1262">
      <c r="A1262" s="4" t="s">
        <v>3951</v>
      </c>
      <c r="B1262" s="4" t="str">
        <f t="shared" si="1"/>
        <v>17</v>
      </c>
    </row>
    <row r="1263">
      <c r="A1263" s="4" t="s">
        <v>4534</v>
      </c>
      <c r="B1263" s="4" t="str">
        <f t="shared" si="1"/>
        <v>19</v>
      </c>
    </row>
    <row r="1264">
      <c r="A1264" s="4" t="s">
        <v>3994</v>
      </c>
      <c r="B1264" s="4" t="str">
        <f t="shared" si="1"/>
        <v>12</v>
      </c>
    </row>
    <row r="1265">
      <c r="A1265" s="4" t="s">
        <v>4013</v>
      </c>
      <c r="B1265" s="4" t="str">
        <f t="shared" si="1"/>
        <v>16</v>
      </c>
    </row>
    <row r="1266">
      <c r="A1266" s="4" t="s">
        <v>4186</v>
      </c>
      <c r="B1266" s="4" t="str">
        <f t="shared" si="1"/>
        <v>14</v>
      </c>
    </row>
    <row r="1267">
      <c r="A1267" s="4" t="s">
        <v>4213</v>
      </c>
      <c r="B1267" s="4" t="str">
        <f t="shared" si="1"/>
        <v>16</v>
      </c>
    </row>
    <row r="1268">
      <c r="A1268" s="4" t="s">
        <v>4007</v>
      </c>
      <c r="B1268" s="4" t="str">
        <f t="shared" si="1"/>
        <v>16</v>
      </c>
    </row>
    <row r="1269">
      <c r="A1269" s="4" t="s">
        <v>4006</v>
      </c>
      <c r="B1269" s="4" t="str">
        <f t="shared" si="1"/>
        <v>15</v>
      </c>
    </row>
    <row r="1270">
      <c r="A1270" s="4" t="s">
        <v>4535</v>
      </c>
      <c r="B1270" s="4" t="str">
        <f t="shared" si="1"/>
        <v>15</v>
      </c>
    </row>
    <row r="1271">
      <c r="A1271" s="4" t="s">
        <v>4030</v>
      </c>
      <c r="B1271" s="4" t="str">
        <f t="shared" si="1"/>
        <v>17</v>
      </c>
    </row>
    <row r="1272">
      <c r="A1272" s="4" t="s">
        <v>4536</v>
      </c>
      <c r="B1272" s="4" t="str">
        <f t="shared" si="1"/>
        <v>12</v>
      </c>
    </row>
    <row r="1273">
      <c r="A1273" s="4" t="s">
        <v>4297</v>
      </c>
      <c r="B1273" s="4" t="str">
        <f t="shared" si="1"/>
        <v>15</v>
      </c>
    </row>
    <row r="1274">
      <c r="A1274" s="4" t="s">
        <v>4096</v>
      </c>
      <c r="B1274" s="4" t="str">
        <f t="shared" si="1"/>
        <v>12</v>
      </c>
    </row>
    <row r="1275">
      <c r="A1275" s="4" t="s">
        <v>4350</v>
      </c>
      <c r="B1275" s="4" t="str">
        <f t="shared" si="1"/>
        <v>15</v>
      </c>
    </row>
    <row r="1276">
      <c r="A1276" s="4" t="s">
        <v>4029</v>
      </c>
      <c r="B1276" s="4" t="str">
        <f t="shared" si="1"/>
        <v>14</v>
      </c>
    </row>
    <row r="1277">
      <c r="A1277" s="4" t="s">
        <v>4537</v>
      </c>
      <c r="B1277" s="4" t="str">
        <f t="shared" si="1"/>
        <v>12</v>
      </c>
    </row>
    <row r="1278">
      <c r="A1278" s="4" t="s">
        <v>4325</v>
      </c>
      <c r="B1278" s="4" t="str">
        <f t="shared" si="1"/>
        <v>12</v>
      </c>
    </row>
    <row r="1279">
      <c r="A1279" s="4" t="s">
        <v>4107</v>
      </c>
      <c r="B1279" s="4" t="str">
        <f t="shared" si="1"/>
        <v>16</v>
      </c>
    </row>
    <row r="1280">
      <c r="A1280" s="4" t="s">
        <v>4162</v>
      </c>
      <c r="B1280" s="4" t="str">
        <f t="shared" si="1"/>
        <v>11</v>
      </c>
    </row>
    <row r="1281">
      <c r="A1281" s="4" t="s">
        <v>4538</v>
      </c>
      <c r="B1281" s="4" t="str">
        <f t="shared" si="1"/>
        <v>16</v>
      </c>
    </row>
    <row r="1282">
      <c r="A1282" s="4" t="s">
        <v>3958</v>
      </c>
      <c r="B1282" s="4" t="str">
        <f t="shared" si="1"/>
        <v>16</v>
      </c>
    </row>
    <row r="1283">
      <c r="A1283" s="4" t="s">
        <v>4056</v>
      </c>
      <c r="B1283" s="4" t="str">
        <f t="shared" si="1"/>
        <v>17</v>
      </c>
    </row>
    <row r="1284">
      <c r="A1284" s="4" t="s">
        <v>4539</v>
      </c>
      <c r="B1284" s="4" t="str">
        <f t="shared" si="1"/>
        <v>15</v>
      </c>
    </row>
    <row r="1285">
      <c r="A1285" s="4" t="s">
        <v>4195</v>
      </c>
      <c r="B1285" s="4" t="str">
        <f t="shared" si="1"/>
        <v>16</v>
      </c>
    </row>
    <row r="1286">
      <c r="A1286" s="4" t="s">
        <v>4540</v>
      </c>
      <c r="B1286" s="4" t="str">
        <f t="shared" si="1"/>
        <v>14</v>
      </c>
    </row>
    <row r="1287">
      <c r="A1287" s="4" t="s">
        <v>4541</v>
      </c>
      <c r="B1287" s="4" t="str">
        <f t="shared" si="1"/>
        <v>16</v>
      </c>
    </row>
    <row r="1288">
      <c r="A1288" s="4" t="s">
        <v>4542</v>
      </c>
      <c r="B1288" s="4" t="str">
        <f t="shared" si="1"/>
        <v>16</v>
      </c>
    </row>
    <row r="1289">
      <c r="A1289" s="4" t="s">
        <v>4222</v>
      </c>
      <c r="B1289" s="4" t="str">
        <f t="shared" si="1"/>
        <v>17</v>
      </c>
    </row>
    <row r="1290">
      <c r="A1290" s="4" t="s">
        <v>4074</v>
      </c>
      <c r="B1290" s="4" t="str">
        <f t="shared" si="1"/>
        <v>16</v>
      </c>
    </row>
    <row r="1291">
      <c r="A1291" s="4" t="s">
        <v>3951</v>
      </c>
      <c r="B1291" s="4" t="str">
        <f t="shared" si="1"/>
        <v>17</v>
      </c>
    </row>
    <row r="1292">
      <c r="A1292" s="4" t="s">
        <v>4488</v>
      </c>
      <c r="B1292" s="4" t="str">
        <f t="shared" si="1"/>
        <v>14</v>
      </c>
    </row>
    <row r="1293">
      <c r="A1293" s="4" t="s">
        <v>4055</v>
      </c>
      <c r="B1293" s="4" t="str">
        <f t="shared" si="1"/>
        <v>17</v>
      </c>
    </row>
    <row r="1294">
      <c r="A1294" s="4" t="s">
        <v>4347</v>
      </c>
      <c r="B1294" s="4" t="str">
        <f t="shared" si="1"/>
        <v>17</v>
      </c>
    </row>
    <row r="1295">
      <c r="A1295" s="4" t="s">
        <v>4543</v>
      </c>
      <c r="B1295" s="4" t="str">
        <f t="shared" si="1"/>
        <v>17</v>
      </c>
    </row>
    <row r="1296">
      <c r="A1296" s="4" t="s">
        <v>4492</v>
      </c>
      <c r="B1296" s="4" t="str">
        <f t="shared" si="1"/>
        <v>16</v>
      </c>
    </row>
    <row r="1297">
      <c r="A1297" s="4" t="s">
        <v>4185</v>
      </c>
      <c r="B1297" s="4" t="str">
        <f t="shared" si="1"/>
        <v>18</v>
      </c>
    </row>
    <row r="1298">
      <c r="A1298" s="4" t="s">
        <v>4030</v>
      </c>
      <c r="B1298" s="4" t="str">
        <f t="shared" si="1"/>
        <v>17</v>
      </c>
    </row>
    <row r="1299">
      <c r="A1299" s="4" t="s">
        <v>4180</v>
      </c>
      <c r="B1299" s="4" t="str">
        <f t="shared" si="1"/>
        <v>17</v>
      </c>
    </row>
    <row r="1300">
      <c r="A1300" s="4" t="s">
        <v>3925</v>
      </c>
      <c r="B1300" s="4" t="str">
        <f t="shared" si="1"/>
        <v>15</v>
      </c>
    </row>
    <row r="1301">
      <c r="A1301" s="4" t="s">
        <v>4015</v>
      </c>
      <c r="B1301" s="4" t="str">
        <f t="shared" si="1"/>
        <v>17</v>
      </c>
    </row>
    <row r="1302">
      <c r="A1302" s="4" t="s">
        <v>4056</v>
      </c>
      <c r="B1302" s="4" t="str">
        <f t="shared" si="1"/>
        <v>17</v>
      </c>
    </row>
    <row r="1303">
      <c r="A1303" s="4" t="s">
        <v>4544</v>
      </c>
      <c r="B1303" s="4" t="str">
        <f t="shared" si="1"/>
        <v>17</v>
      </c>
    </row>
    <row r="1304">
      <c r="A1304" s="4" t="s">
        <v>4044</v>
      </c>
      <c r="B1304" s="4" t="str">
        <f t="shared" si="1"/>
        <v>14</v>
      </c>
    </row>
    <row r="1305">
      <c r="A1305" s="4" t="s">
        <v>4545</v>
      </c>
      <c r="B1305" s="4" t="str">
        <f t="shared" si="1"/>
        <v>11</v>
      </c>
    </row>
    <row r="1306">
      <c r="A1306" s="4" t="s">
        <v>3910</v>
      </c>
      <c r="B1306" s="4" t="str">
        <f t="shared" si="1"/>
        <v>16</v>
      </c>
    </row>
    <row r="1307">
      <c r="A1307" s="4" t="s">
        <v>4546</v>
      </c>
      <c r="B1307" s="4" t="str">
        <f t="shared" si="1"/>
        <v>17</v>
      </c>
    </row>
    <row r="1308">
      <c r="A1308" s="4" t="s">
        <v>4162</v>
      </c>
      <c r="B1308" s="4" t="str">
        <f t="shared" si="1"/>
        <v>11</v>
      </c>
    </row>
    <row r="1309">
      <c r="A1309" s="4" t="s">
        <v>4488</v>
      </c>
      <c r="B1309" s="4" t="str">
        <f t="shared" si="1"/>
        <v>14</v>
      </c>
    </row>
    <row r="1310">
      <c r="A1310" s="4" t="s">
        <v>4547</v>
      </c>
      <c r="B1310" s="4" t="str">
        <f t="shared" si="1"/>
        <v>17</v>
      </c>
    </row>
    <row r="1311">
      <c r="A1311" s="4" t="s">
        <v>4478</v>
      </c>
      <c r="B1311" s="4" t="str">
        <f t="shared" si="1"/>
        <v>10</v>
      </c>
    </row>
    <row r="1312">
      <c r="A1312" s="4" t="s">
        <v>4548</v>
      </c>
      <c r="B1312" s="4" t="str">
        <f t="shared" si="1"/>
        <v>18</v>
      </c>
    </row>
    <row r="1313">
      <c r="A1313" s="4" t="s">
        <v>4220</v>
      </c>
      <c r="B1313" s="4" t="str">
        <f t="shared" si="1"/>
        <v>22</v>
      </c>
    </row>
    <row r="1314">
      <c r="A1314" s="4" t="s">
        <v>3984</v>
      </c>
      <c r="B1314" s="4" t="str">
        <f t="shared" si="1"/>
        <v>12</v>
      </c>
    </row>
    <row r="1315">
      <c r="A1315" s="4" t="s">
        <v>3890</v>
      </c>
      <c r="B1315" s="4" t="str">
        <f t="shared" si="1"/>
        <v>14</v>
      </c>
    </row>
    <row r="1316">
      <c r="A1316" s="4" t="s">
        <v>4549</v>
      </c>
      <c r="B1316" s="4" t="str">
        <f t="shared" si="1"/>
        <v>20</v>
      </c>
    </row>
    <row r="1317">
      <c r="A1317" s="4" t="s">
        <v>4422</v>
      </c>
      <c r="B1317" s="4" t="str">
        <f t="shared" si="1"/>
        <v>15</v>
      </c>
    </row>
    <row r="1318">
      <c r="A1318" s="4" t="s">
        <v>4550</v>
      </c>
      <c r="B1318" s="4" t="str">
        <f t="shared" si="1"/>
        <v>21</v>
      </c>
    </row>
    <row r="1319">
      <c r="A1319" s="4" t="s">
        <v>4551</v>
      </c>
      <c r="B1319" s="4" t="str">
        <f t="shared" si="1"/>
        <v>11</v>
      </c>
    </row>
    <row r="1320">
      <c r="A1320" s="4" t="s">
        <v>4552</v>
      </c>
      <c r="B1320" s="4" t="str">
        <f t="shared" si="1"/>
        <v>21</v>
      </c>
    </row>
    <row r="1321">
      <c r="A1321" s="4" t="s">
        <v>4553</v>
      </c>
      <c r="B1321" s="4" t="str">
        <f t="shared" si="1"/>
        <v>12</v>
      </c>
    </row>
    <row r="1322">
      <c r="A1322" s="4" t="s">
        <v>3920</v>
      </c>
      <c r="B1322" s="4" t="str">
        <f t="shared" si="1"/>
        <v>12</v>
      </c>
    </row>
    <row r="1323">
      <c r="A1323" s="4" t="s">
        <v>4554</v>
      </c>
      <c r="B1323" s="4" t="str">
        <f t="shared" si="1"/>
        <v>21</v>
      </c>
    </row>
    <row r="1324">
      <c r="A1324" s="4" t="s">
        <v>4555</v>
      </c>
      <c r="B1324" s="4" t="str">
        <f t="shared" si="1"/>
        <v>13</v>
      </c>
    </row>
    <row r="1325">
      <c r="A1325" s="4" t="s">
        <v>4022</v>
      </c>
      <c r="B1325" s="4" t="str">
        <f t="shared" si="1"/>
        <v>10</v>
      </c>
    </row>
    <row r="1326">
      <c r="A1326" s="4" t="s">
        <v>4396</v>
      </c>
      <c r="B1326" s="4" t="str">
        <f t="shared" si="1"/>
        <v>12</v>
      </c>
    </row>
    <row r="1327">
      <c r="A1327" s="4" t="s">
        <v>3965</v>
      </c>
      <c r="B1327" s="4" t="str">
        <f t="shared" si="1"/>
        <v>13</v>
      </c>
    </row>
    <row r="1328">
      <c r="A1328" s="4" t="s">
        <v>4385</v>
      </c>
      <c r="B1328" s="4" t="str">
        <f t="shared" si="1"/>
        <v>12</v>
      </c>
    </row>
    <row r="1329">
      <c r="A1329" s="4" t="s">
        <v>4421</v>
      </c>
      <c r="B1329" s="4" t="str">
        <f t="shared" si="1"/>
        <v>20</v>
      </c>
    </row>
    <row r="1330">
      <c r="A1330" s="4" t="s">
        <v>4141</v>
      </c>
      <c r="B1330" s="4" t="str">
        <f t="shared" si="1"/>
        <v>14</v>
      </c>
    </row>
    <row r="1331">
      <c r="A1331" s="4" t="s">
        <v>4092</v>
      </c>
      <c r="B1331" s="4" t="str">
        <f t="shared" si="1"/>
        <v>13</v>
      </c>
    </row>
    <row r="1332">
      <c r="A1332" s="4" t="s">
        <v>4556</v>
      </c>
      <c r="B1332" s="4" t="str">
        <f t="shared" si="1"/>
        <v>17</v>
      </c>
    </row>
    <row r="1333">
      <c r="A1333" s="4" t="s">
        <v>4557</v>
      </c>
      <c r="B1333" s="4" t="str">
        <f t="shared" si="1"/>
        <v>21</v>
      </c>
    </row>
    <row r="1334">
      <c r="A1334" s="4" t="s">
        <v>4258</v>
      </c>
      <c r="B1334" s="4" t="str">
        <f t="shared" si="1"/>
        <v>10</v>
      </c>
    </row>
    <row r="1335">
      <c r="A1335" s="4" t="s">
        <v>4134</v>
      </c>
      <c r="B1335" s="4" t="str">
        <f t="shared" si="1"/>
        <v>13</v>
      </c>
    </row>
    <row r="1336">
      <c r="A1336" s="4" t="s">
        <v>4558</v>
      </c>
      <c r="B1336" s="4" t="str">
        <f t="shared" si="1"/>
        <v>19</v>
      </c>
    </row>
    <row r="1337">
      <c r="A1337" s="4" t="s">
        <v>4351</v>
      </c>
      <c r="B1337" s="4" t="str">
        <f t="shared" si="1"/>
        <v>12</v>
      </c>
    </row>
    <row r="1338">
      <c r="A1338" s="4" t="s">
        <v>4191</v>
      </c>
      <c r="B1338" s="4" t="str">
        <f t="shared" si="1"/>
        <v>15</v>
      </c>
    </row>
    <row r="1339">
      <c r="A1339" s="4" t="s">
        <v>4559</v>
      </c>
      <c r="B1339" s="4" t="str">
        <f t="shared" si="1"/>
        <v>23</v>
      </c>
    </row>
    <row r="1340">
      <c r="A1340" s="4" t="s">
        <v>4560</v>
      </c>
      <c r="B1340" s="4" t="str">
        <f t="shared" si="1"/>
        <v>17</v>
      </c>
    </row>
    <row r="1341">
      <c r="A1341" s="4" t="s">
        <v>4451</v>
      </c>
      <c r="B1341" s="4" t="str">
        <f t="shared" si="1"/>
        <v>14</v>
      </c>
    </row>
    <row r="1342">
      <c r="A1342" s="4" t="s">
        <v>4404</v>
      </c>
      <c r="B1342" s="4" t="str">
        <f t="shared" si="1"/>
        <v>13</v>
      </c>
    </row>
    <row r="1343">
      <c r="A1343" s="4" t="s">
        <v>4561</v>
      </c>
      <c r="B1343" s="4" t="str">
        <f t="shared" si="1"/>
        <v>15</v>
      </c>
    </row>
    <row r="1344">
      <c r="A1344" s="4" t="s">
        <v>3925</v>
      </c>
      <c r="B1344" s="4" t="str">
        <f t="shared" si="1"/>
        <v>15</v>
      </c>
    </row>
    <row r="1345">
      <c r="A1345" s="4" t="s">
        <v>4092</v>
      </c>
      <c r="B1345" s="4" t="str">
        <f t="shared" si="1"/>
        <v>13</v>
      </c>
    </row>
    <row r="1346">
      <c r="A1346" s="4" t="s">
        <v>4562</v>
      </c>
      <c r="B1346" s="4" t="str">
        <f t="shared" si="1"/>
        <v>21</v>
      </c>
    </row>
    <row r="1347">
      <c r="A1347" s="4" t="s">
        <v>4032</v>
      </c>
      <c r="B1347" s="4" t="str">
        <f t="shared" si="1"/>
        <v>14</v>
      </c>
    </row>
    <row r="1348">
      <c r="A1348" s="4" t="s">
        <v>4563</v>
      </c>
      <c r="B1348" s="4" t="str">
        <f t="shared" si="1"/>
        <v>13</v>
      </c>
    </row>
    <row r="1349">
      <c r="A1349" s="4" t="s">
        <v>4226</v>
      </c>
      <c r="B1349" s="4" t="str">
        <f t="shared" si="1"/>
        <v>12</v>
      </c>
    </row>
    <row r="1350">
      <c r="A1350" s="4" t="s">
        <v>4231</v>
      </c>
      <c r="B1350" s="4" t="str">
        <f t="shared" si="1"/>
        <v>14</v>
      </c>
    </row>
    <row r="1351">
      <c r="A1351" s="4" t="s">
        <v>3894</v>
      </c>
      <c r="B1351" s="4" t="str">
        <f t="shared" si="1"/>
        <v>13</v>
      </c>
    </row>
    <row r="1352">
      <c r="A1352" s="4" t="s">
        <v>4131</v>
      </c>
      <c r="B1352" s="4" t="str">
        <f t="shared" si="1"/>
        <v>13</v>
      </c>
    </row>
    <row r="1353">
      <c r="A1353" s="4" t="s">
        <v>4377</v>
      </c>
      <c r="B1353" s="4" t="str">
        <f t="shared" si="1"/>
        <v>16</v>
      </c>
    </row>
    <row r="1354">
      <c r="A1354" s="4" t="s">
        <v>4029</v>
      </c>
      <c r="B1354" s="4" t="str">
        <f t="shared" si="1"/>
        <v>14</v>
      </c>
    </row>
    <row r="1355">
      <c r="A1355" s="4" t="s">
        <v>3922</v>
      </c>
      <c r="B1355" s="4" t="str">
        <f t="shared" si="1"/>
        <v>13</v>
      </c>
    </row>
    <row r="1356">
      <c r="A1356" s="4" t="s">
        <v>3896</v>
      </c>
      <c r="B1356" s="4" t="str">
        <f t="shared" si="1"/>
        <v>14</v>
      </c>
    </row>
    <row r="1357">
      <c r="A1357" s="4" t="s">
        <v>4228</v>
      </c>
      <c r="B1357" s="4" t="str">
        <f t="shared" si="1"/>
        <v>16</v>
      </c>
    </row>
    <row r="1358">
      <c r="A1358" s="4" t="s">
        <v>4564</v>
      </c>
      <c r="B1358" s="4" t="str">
        <f t="shared" si="1"/>
        <v>16</v>
      </c>
    </row>
    <row r="1359">
      <c r="A1359" s="4" t="s">
        <v>4281</v>
      </c>
      <c r="B1359" s="4" t="str">
        <f t="shared" si="1"/>
        <v>14</v>
      </c>
    </row>
    <row r="1360">
      <c r="A1360" s="4" t="s">
        <v>4565</v>
      </c>
      <c r="B1360" s="4" t="str">
        <f t="shared" si="1"/>
        <v>23</v>
      </c>
    </row>
    <row r="1361">
      <c r="A1361" s="4" t="s">
        <v>4253</v>
      </c>
      <c r="B1361" s="4" t="str">
        <f t="shared" si="1"/>
        <v>15</v>
      </c>
    </row>
    <row r="1362">
      <c r="A1362" s="4" t="s">
        <v>3938</v>
      </c>
      <c r="B1362" s="4" t="str">
        <f t="shared" si="1"/>
        <v>15</v>
      </c>
    </row>
    <row r="1363">
      <c r="A1363" s="4" t="s">
        <v>4566</v>
      </c>
      <c r="B1363" s="4" t="str">
        <f t="shared" si="1"/>
        <v>14</v>
      </c>
    </row>
    <row r="1364">
      <c r="A1364" s="4" t="s">
        <v>4490</v>
      </c>
      <c r="B1364" s="4" t="str">
        <f t="shared" si="1"/>
        <v>16</v>
      </c>
    </row>
    <row r="1365">
      <c r="A1365" s="4" t="s">
        <v>3890</v>
      </c>
      <c r="B1365" s="4" t="str">
        <f t="shared" si="1"/>
        <v>14</v>
      </c>
    </row>
    <row r="1366">
      <c r="A1366" s="4" t="s">
        <v>4567</v>
      </c>
      <c r="B1366" s="4" t="str">
        <f t="shared" si="1"/>
        <v>15</v>
      </c>
    </row>
    <row r="1367">
      <c r="A1367" s="4" t="s">
        <v>4568</v>
      </c>
      <c r="B1367" s="4" t="str">
        <f t="shared" si="1"/>
        <v>17</v>
      </c>
    </row>
    <row r="1368">
      <c r="A1368" s="4" t="s">
        <v>4252</v>
      </c>
      <c r="B1368" s="4" t="str">
        <f t="shared" si="1"/>
        <v>14</v>
      </c>
    </row>
    <row r="1369">
      <c r="A1369" s="4" t="s">
        <v>4008</v>
      </c>
      <c r="B1369" s="4" t="str">
        <f t="shared" si="1"/>
        <v>16</v>
      </c>
    </row>
    <row r="1370">
      <c r="A1370" s="4" t="s">
        <v>4506</v>
      </c>
      <c r="B1370" s="4" t="str">
        <f t="shared" si="1"/>
        <v>15</v>
      </c>
    </row>
    <row r="1371">
      <c r="A1371" s="4" t="s">
        <v>4072</v>
      </c>
      <c r="B1371" s="4" t="str">
        <f t="shared" si="1"/>
        <v>16</v>
      </c>
    </row>
    <row r="1372">
      <c r="A1372" s="4" t="s">
        <v>3964</v>
      </c>
      <c r="B1372" s="4" t="str">
        <f t="shared" si="1"/>
        <v>16</v>
      </c>
    </row>
    <row r="1373">
      <c r="A1373" s="4" t="s">
        <v>4235</v>
      </c>
      <c r="B1373" s="4" t="str">
        <f t="shared" si="1"/>
        <v>16</v>
      </c>
    </row>
    <row r="1374">
      <c r="A1374" s="4" t="s">
        <v>4279</v>
      </c>
      <c r="B1374" s="4" t="str">
        <f t="shared" si="1"/>
        <v>16</v>
      </c>
    </row>
    <row r="1375">
      <c r="A1375" s="4" t="s">
        <v>4569</v>
      </c>
      <c r="B1375" s="4" t="str">
        <f t="shared" si="1"/>
        <v>15</v>
      </c>
    </row>
    <row r="1376">
      <c r="A1376" s="4" t="s">
        <v>4292</v>
      </c>
      <c r="B1376" s="4" t="str">
        <f t="shared" si="1"/>
        <v>20</v>
      </c>
    </row>
    <row r="1377">
      <c r="A1377" s="4" t="s">
        <v>3989</v>
      </c>
      <c r="B1377" s="4" t="str">
        <f t="shared" si="1"/>
        <v>16</v>
      </c>
    </row>
    <row r="1378">
      <c r="A1378" s="4" t="s">
        <v>3914</v>
      </c>
      <c r="B1378" s="4" t="str">
        <f t="shared" si="1"/>
        <v>15</v>
      </c>
    </row>
    <row r="1379">
      <c r="A1379" s="4" t="s">
        <v>4570</v>
      </c>
      <c r="B1379" s="4" t="str">
        <f t="shared" si="1"/>
        <v>16</v>
      </c>
    </row>
    <row r="1380">
      <c r="A1380" s="4" t="s">
        <v>3938</v>
      </c>
      <c r="B1380" s="4" t="str">
        <f t="shared" si="1"/>
        <v>15</v>
      </c>
    </row>
    <row r="1381">
      <c r="A1381" s="4" t="s">
        <v>4192</v>
      </c>
      <c r="B1381" s="4" t="str">
        <f t="shared" si="1"/>
        <v>01</v>
      </c>
    </row>
    <row r="1382">
      <c r="A1382" s="4" t="s">
        <v>4198</v>
      </c>
      <c r="B1382" s="4" t="str">
        <f t="shared" si="1"/>
        <v>16</v>
      </c>
    </row>
    <row r="1383">
      <c r="A1383" s="4" t="s">
        <v>4007</v>
      </c>
      <c r="B1383" s="4" t="str">
        <f t="shared" si="1"/>
        <v>16</v>
      </c>
    </row>
    <row r="1384">
      <c r="A1384" s="4" t="s">
        <v>4571</v>
      </c>
      <c r="B1384" s="4" t="str">
        <f t="shared" si="1"/>
        <v>18</v>
      </c>
    </row>
    <row r="1385">
      <c r="A1385" s="4" t="s">
        <v>4085</v>
      </c>
      <c r="B1385" s="4" t="str">
        <f t="shared" si="1"/>
        <v>17</v>
      </c>
    </row>
    <row r="1386">
      <c r="A1386" s="4" t="s">
        <v>4051</v>
      </c>
      <c r="B1386" s="4" t="str">
        <f t="shared" si="1"/>
        <v>15</v>
      </c>
    </row>
    <row r="1387">
      <c r="A1387" s="4" t="s">
        <v>4494</v>
      </c>
      <c r="B1387" s="4" t="str">
        <f t="shared" si="1"/>
        <v>17</v>
      </c>
    </row>
    <row r="1388">
      <c r="A1388" s="4" t="s">
        <v>4341</v>
      </c>
      <c r="B1388" s="4" t="str">
        <f t="shared" si="1"/>
        <v>16</v>
      </c>
    </row>
    <row r="1389">
      <c r="A1389" s="4" t="s">
        <v>4185</v>
      </c>
      <c r="B1389" s="4" t="str">
        <f t="shared" si="1"/>
        <v>18</v>
      </c>
    </row>
    <row r="1390">
      <c r="A1390" s="4" t="s">
        <v>4360</v>
      </c>
      <c r="B1390" s="4" t="str">
        <f t="shared" si="1"/>
        <v>16</v>
      </c>
    </row>
    <row r="1391">
      <c r="A1391" s="4" t="s">
        <v>4572</v>
      </c>
      <c r="B1391" s="4" t="str">
        <f t="shared" si="1"/>
        <v>16</v>
      </c>
    </row>
    <row r="1392">
      <c r="A1392" s="4" t="s">
        <v>4391</v>
      </c>
      <c r="B1392" s="4" t="str">
        <f t="shared" si="1"/>
        <v>03</v>
      </c>
    </row>
    <row r="1393">
      <c r="A1393" s="4" t="s">
        <v>4573</v>
      </c>
      <c r="B1393" s="4" t="str">
        <f t="shared" si="1"/>
        <v>16</v>
      </c>
    </row>
    <row r="1394">
      <c r="A1394" s="4" t="s">
        <v>4218</v>
      </c>
      <c r="B1394" s="4" t="str">
        <f t="shared" si="1"/>
        <v>17</v>
      </c>
    </row>
    <row r="1395">
      <c r="A1395" s="4" t="s">
        <v>4574</v>
      </c>
      <c r="B1395" s="4" t="str">
        <f t="shared" si="1"/>
        <v>17</v>
      </c>
    </row>
    <row r="1396">
      <c r="A1396" s="4" t="s">
        <v>4575</v>
      </c>
      <c r="B1396" s="4" t="str">
        <f t="shared" si="1"/>
        <v>18</v>
      </c>
    </row>
    <row r="1397">
      <c r="A1397" s="4" t="s">
        <v>4576</v>
      </c>
      <c r="B1397" s="4" t="str">
        <f t="shared" si="1"/>
        <v>19</v>
      </c>
    </row>
    <row r="1398">
      <c r="A1398" s="4" t="s">
        <v>4577</v>
      </c>
      <c r="B1398" s="4" t="str">
        <f t="shared" si="1"/>
        <v>22</v>
      </c>
    </row>
    <row r="1399">
      <c r="A1399" s="4" t="s">
        <v>4578</v>
      </c>
      <c r="B1399" s="4" t="str">
        <f t="shared" si="1"/>
        <v>19</v>
      </c>
    </row>
    <row r="1400">
      <c r="A1400" s="4" t="s">
        <v>4579</v>
      </c>
      <c r="B1400" s="4" t="str">
        <f t="shared" si="1"/>
        <v>20</v>
      </c>
    </row>
    <row r="1401">
      <c r="A1401" s="4" t="s">
        <v>4580</v>
      </c>
      <c r="B1401" s="4" t="str">
        <f t="shared" si="1"/>
        <v>19</v>
      </c>
    </row>
    <row r="1402">
      <c r="A1402" s="4" t="s">
        <v>4369</v>
      </c>
      <c r="B1402" s="4" t="str">
        <f t="shared" si="1"/>
        <v>05</v>
      </c>
    </row>
    <row r="1403">
      <c r="A1403" s="4" t="s">
        <v>4581</v>
      </c>
      <c r="B1403" s="4" t="str">
        <f t="shared" si="1"/>
        <v>08</v>
      </c>
    </row>
    <row r="1404">
      <c r="A1404" s="4" t="s">
        <v>4582</v>
      </c>
      <c r="B1404" s="4" t="str">
        <f t="shared" si="1"/>
        <v>22</v>
      </c>
    </row>
    <row r="1405">
      <c r="A1405" s="4" t="s">
        <v>4583</v>
      </c>
      <c r="B1405" s="4" t="str">
        <f t="shared" si="1"/>
        <v>11</v>
      </c>
    </row>
    <row r="1406">
      <c r="A1406" s="4" t="s">
        <v>3962</v>
      </c>
      <c r="B1406" s="4" t="str">
        <f t="shared" si="1"/>
        <v>11</v>
      </c>
    </row>
    <row r="1407">
      <c r="A1407" s="4" t="s">
        <v>4584</v>
      </c>
      <c r="B1407" s="4" t="str">
        <f t="shared" si="1"/>
        <v>05</v>
      </c>
    </row>
    <row r="1408">
      <c r="A1408" s="4" t="s">
        <v>3881</v>
      </c>
      <c r="B1408" s="4" t="str">
        <f t="shared" si="1"/>
        <v>13</v>
      </c>
    </row>
    <row r="1409">
      <c r="A1409" s="4" t="s">
        <v>4585</v>
      </c>
      <c r="B1409" s="4" t="str">
        <f t="shared" si="1"/>
        <v>09</v>
      </c>
    </row>
    <row r="1410">
      <c r="A1410" s="4" t="s">
        <v>4586</v>
      </c>
      <c r="B1410" s="4" t="str">
        <f t="shared" si="1"/>
        <v>00</v>
      </c>
    </row>
    <row r="1411">
      <c r="A1411" s="4" t="s">
        <v>4080</v>
      </c>
      <c r="B1411" s="4" t="str">
        <f t="shared" si="1"/>
        <v>09</v>
      </c>
    </row>
    <row r="1412">
      <c r="A1412" s="4" t="s">
        <v>4584</v>
      </c>
      <c r="B1412" s="4" t="str">
        <f t="shared" si="1"/>
        <v>05</v>
      </c>
    </row>
    <row r="1413">
      <c r="A1413" s="4" t="s">
        <v>4587</v>
      </c>
      <c r="B1413" s="4" t="str">
        <f t="shared" si="1"/>
        <v>09</v>
      </c>
    </row>
    <row r="1414">
      <c r="A1414" s="4" t="s">
        <v>4588</v>
      </c>
      <c r="B1414" s="4" t="str">
        <f t="shared" si="1"/>
        <v>14</v>
      </c>
    </row>
    <row r="1415">
      <c r="A1415" s="4" t="s">
        <v>4332</v>
      </c>
      <c r="B1415" s="4" t="str">
        <f t="shared" si="1"/>
        <v>14</v>
      </c>
    </row>
    <row r="1416">
      <c r="A1416" s="4" t="s">
        <v>4589</v>
      </c>
      <c r="B1416" s="4" t="str">
        <f t="shared" si="1"/>
        <v>23</v>
      </c>
    </row>
    <row r="1417">
      <c r="A1417" s="4" t="s">
        <v>4590</v>
      </c>
      <c r="B1417" s="4" t="str">
        <f t="shared" si="1"/>
        <v>09</v>
      </c>
    </row>
    <row r="1418">
      <c r="A1418" s="4" t="s">
        <v>3995</v>
      </c>
      <c r="B1418" s="4" t="str">
        <f t="shared" si="1"/>
        <v>13</v>
      </c>
    </row>
    <row r="1419">
      <c r="A1419" s="4" t="s">
        <v>4334</v>
      </c>
      <c r="B1419" s="4" t="str">
        <f t="shared" si="1"/>
        <v>10</v>
      </c>
    </row>
    <row r="1420">
      <c r="A1420" s="4" t="s">
        <v>4591</v>
      </c>
      <c r="B1420" s="4" t="str">
        <f t="shared" si="1"/>
        <v>13</v>
      </c>
    </row>
    <row r="1421">
      <c r="A1421" s="4" t="s">
        <v>3947</v>
      </c>
      <c r="B1421" s="4" t="str">
        <f t="shared" si="1"/>
        <v>15</v>
      </c>
    </row>
    <row r="1422">
      <c r="A1422" s="4" t="s">
        <v>4592</v>
      </c>
      <c r="B1422" s="4" t="str">
        <f t="shared" si="1"/>
        <v>11</v>
      </c>
    </row>
    <row r="1423">
      <c r="A1423" s="4" t="s">
        <v>4451</v>
      </c>
      <c r="B1423" s="4" t="str">
        <f t="shared" si="1"/>
        <v>14</v>
      </c>
    </row>
    <row r="1424">
      <c r="A1424" s="4" t="s">
        <v>4593</v>
      </c>
      <c r="B1424" s="4" t="str">
        <f t="shared" si="1"/>
        <v>11</v>
      </c>
    </row>
    <row r="1425">
      <c r="A1425" s="4" t="s">
        <v>4339</v>
      </c>
      <c r="B1425" s="4" t="str">
        <f t="shared" si="1"/>
        <v>08</v>
      </c>
    </row>
    <row r="1426">
      <c r="A1426" s="4" t="s">
        <v>4594</v>
      </c>
      <c r="B1426" s="4" t="str">
        <f t="shared" si="1"/>
        <v>01</v>
      </c>
    </row>
    <row r="1427">
      <c r="A1427" s="4" t="s">
        <v>3888</v>
      </c>
      <c r="B1427" s="4" t="str">
        <f t="shared" si="1"/>
        <v>14</v>
      </c>
    </row>
    <row r="1428">
      <c r="A1428" s="4" t="s">
        <v>3939</v>
      </c>
      <c r="B1428" s="4" t="str">
        <f t="shared" si="1"/>
        <v>12</v>
      </c>
    </row>
    <row r="1429">
      <c r="A1429" s="4" t="s">
        <v>4321</v>
      </c>
      <c r="B1429" s="4" t="str">
        <f t="shared" si="1"/>
        <v>11</v>
      </c>
    </row>
    <row r="1430">
      <c r="A1430" s="4" t="s">
        <v>3969</v>
      </c>
      <c r="B1430" s="4" t="str">
        <f t="shared" si="1"/>
        <v>14</v>
      </c>
    </row>
    <row r="1431">
      <c r="A1431" s="4" t="s">
        <v>4595</v>
      </c>
      <c r="B1431" s="4" t="str">
        <f t="shared" si="1"/>
        <v>08</v>
      </c>
    </row>
    <row r="1432">
      <c r="A1432" s="4" t="s">
        <v>4092</v>
      </c>
      <c r="B1432" s="4" t="str">
        <f t="shared" si="1"/>
        <v>13</v>
      </c>
    </row>
    <row r="1433">
      <c r="A1433" s="4" t="s">
        <v>4072</v>
      </c>
      <c r="B1433" s="4" t="str">
        <f t="shared" si="1"/>
        <v>16</v>
      </c>
    </row>
    <row r="1434">
      <c r="A1434" s="4" t="s">
        <v>4373</v>
      </c>
      <c r="B1434" s="4" t="str">
        <f t="shared" si="1"/>
        <v>13</v>
      </c>
    </row>
    <row r="1435">
      <c r="A1435" s="4" t="s">
        <v>4042</v>
      </c>
      <c r="B1435" s="4" t="str">
        <f t="shared" si="1"/>
        <v>13</v>
      </c>
    </row>
    <row r="1436">
      <c r="A1436" s="4" t="s">
        <v>4386</v>
      </c>
      <c r="B1436" s="4" t="str">
        <f t="shared" si="1"/>
        <v>12</v>
      </c>
    </row>
    <row r="1437">
      <c r="A1437" s="4" t="s">
        <v>4046</v>
      </c>
      <c r="B1437" s="4" t="str">
        <f t="shared" si="1"/>
        <v>07</v>
      </c>
    </row>
    <row r="1438">
      <c r="A1438" s="4" t="s">
        <v>4083</v>
      </c>
      <c r="B1438" s="4" t="str">
        <f t="shared" si="1"/>
        <v>12</v>
      </c>
    </row>
    <row r="1439">
      <c r="A1439" s="4" t="s">
        <v>4596</v>
      </c>
      <c r="B1439" s="4" t="str">
        <f t="shared" si="1"/>
        <v>13</v>
      </c>
    </row>
    <row r="1440">
      <c r="A1440" s="4" t="s">
        <v>4245</v>
      </c>
      <c r="B1440" s="4" t="str">
        <f t="shared" si="1"/>
        <v>12</v>
      </c>
    </row>
    <row r="1441">
      <c r="A1441" s="4" t="s">
        <v>4212</v>
      </c>
      <c r="B1441" s="4" t="str">
        <f t="shared" si="1"/>
        <v>15</v>
      </c>
    </row>
    <row r="1442">
      <c r="A1442" s="4" t="s">
        <v>3890</v>
      </c>
      <c r="B1442" s="4" t="str">
        <f t="shared" si="1"/>
        <v>14</v>
      </c>
    </row>
    <row r="1443">
      <c r="A1443" s="4" t="s">
        <v>4597</v>
      </c>
      <c r="B1443" s="4" t="str">
        <f t="shared" si="1"/>
        <v>14</v>
      </c>
    </row>
    <row r="1444">
      <c r="A1444" s="4" t="s">
        <v>4406</v>
      </c>
      <c r="B1444" s="4" t="str">
        <f t="shared" si="1"/>
        <v>12</v>
      </c>
    </row>
    <row r="1445">
      <c r="A1445" s="4" t="s">
        <v>4136</v>
      </c>
      <c r="B1445" s="4" t="str">
        <f t="shared" si="1"/>
        <v>15</v>
      </c>
    </row>
    <row r="1446">
      <c r="A1446" s="4" t="s">
        <v>4207</v>
      </c>
      <c r="B1446" s="4" t="str">
        <f t="shared" si="1"/>
        <v>13</v>
      </c>
    </row>
    <row r="1447">
      <c r="A1447" s="4" t="s">
        <v>4598</v>
      </c>
      <c r="B1447" s="4" t="str">
        <f t="shared" si="1"/>
        <v>14</v>
      </c>
    </row>
    <row r="1448">
      <c r="A1448" s="4" t="s">
        <v>4019</v>
      </c>
      <c r="B1448" s="4" t="str">
        <f t="shared" si="1"/>
        <v>13</v>
      </c>
    </row>
    <row r="1449">
      <c r="A1449" s="4" t="s">
        <v>4599</v>
      </c>
      <c r="B1449" s="4" t="str">
        <f t="shared" si="1"/>
        <v>06</v>
      </c>
    </row>
    <row r="1450">
      <c r="A1450" s="4" t="s">
        <v>4467</v>
      </c>
      <c r="B1450" s="4" t="str">
        <f t="shared" si="1"/>
        <v>14</v>
      </c>
    </row>
    <row r="1451">
      <c r="A1451" s="4" t="s">
        <v>4563</v>
      </c>
      <c r="B1451" s="4" t="str">
        <f t="shared" si="1"/>
        <v>13</v>
      </c>
    </row>
    <row r="1452">
      <c r="A1452" s="4" t="s">
        <v>4286</v>
      </c>
      <c r="B1452" s="4" t="str">
        <f t="shared" si="1"/>
        <v>15</v>
      </c>
    </row>
    <row r="1453">
      <c r="A1453" s="4" t="s">
        <v>4600</v>
      </c>
      <c r="B1453" s="4" t="str">
        <f t="shared" si="1"/>
        <v>16</v>
      </c>
    </row>
    <row r="1454">
      <c r="A1454" s="4" t="s">
        <v>4601</v>
      </c>
      <c r="B1454" s="4" t="str">
        <f t="shared" si="1"/>
        <v>11</v>
      </c>
    </row>
    <row r="1455">
      <c r="A1455" s="4" t="s">
        <v>4261</v>
      </c>
      <c r="B1455" s="4" t="str">
        <f t="shared" si="1"/>
        <v>09</v>
      </c>
    </row>
    <row r="1456">
      <c r="A1456" s="4" t="s">
        <v>4602</v>
      </c>
      <c r="B1456" s="4" t="str">
        <f t="shared" si="1"/>
        <v>01</v>
      </c>
    </row>
    <row r="1457">
      <c r="A1457" s="4" t="s">
        <v>4603</v>
      </c>
      <c r="B1457" s="4" t="str">
        <f t="shared" si="1"/>
        <v>10</v>
      </c>
    </row>
    <row r="1458">
      <c r="A1458" s="4" t="s">
        <v>4604</v>
      </c>
      <c r="B1458" s="4" t="str">
        <f t="shared" si="1"/>
        <v>14</v>
      </c>
    </row>
    <row r="1459">
      <c r="A1459" s="4" t="s">
        <v>3985</v>
      </c>
      <c r="B1459" s="4" t="str">
        <f t="shared" si="1"/>
        <v>13</v>
      </c>
    </row>
    <row r="1460">
      <c r="A1460" s="4" t="s">
        <v>3938</v>
      </c>
      <c r="B1460" s="4" t="str">
        <f t="shared" si="1"/>
        <v>15</v>
      </c>
    </row>
    <row r="1461">
      <c r="A1461" s="4" t="s">
        <v>4451</v>
      </c>
      <c r="B1461" s="4" t="str">
        <f t="shared" si="1"/>
        <v>14</v>
      </c>
    </row>
    <row r="1462">
      <c r="A1462" s="4" t="s">
        <v>4065</v>
      </c>
      <c r="B1462" s="4" t="str">
        <f t="shared" si="1"/>
        <v>11</v>
      </c>
    </row>
    <row r="1463">
      <c r="A1463" s="4" t="s">
        <v>4051</v>
      </c>
      <c r="B1463" s="4" t="str">
        <f t="shared" si="1"/>
        <v>15</v>
      </c>
    </row>
    <row r="1464">
      <c r="A1464" s="4" t="s">
        <v>4068</v>
      </c>
      <c r="B1464" s="4" t="str">
        <f t="shared" si="1"/>
        <v>12</v>
      </c>
    </row>
    <row r="1465">
      <c r="A1465" s="4" t="s">
        <v>4605</v>
      </c>
      <c r="B1465" s="4" t="str">
        <f t="shared" si="1"/>
        <v>08</v>
      </c>
    </row>
    <row r="1466">
      <c r="A1466" s="4" t="s">
        <v>3894</v>
      </c>
      <c r="B1466" s="4" t="str">
        <f t="shared" si="1"/>
        <v>13</v>
      </c>
    </row>
    <row r="1467">
      <c r="A1467" s="4" t="s">
        <v>4042</v>
      </c>
      <c r="B1467" s="4" t="str">
        <f t="shared" si="1"/>
        <v>13</v>
      </c>
    </row>
    <row r="1468">
      <c r="A1468" s="4" t="s">
        <v>4188</v>
      </c>
      <c r="B1468" s="4" t="str">
        <f t="shared" si="1"/>
        <v>15</v>
      </c>
    </row>
    <row r="1469">
      <c r="A1469" s="4" t="s">
        <v>4193</v>
      </c>
      <c r="B1469" s="4" t="str">
        <f t="shared" si="1"/>
        <v>11</v>
      </c>
    </row>
    <row r="1470">
      <c r="A1470" s="4" t="s">
        <v>3950</v>
      </c>
      <c r="B1470" s="4" t="str">
        <f t="shared" si="1"/>
        <v>13</v>
      </c>
    </row>
    <row r="1471">
      <c r="A1471" s="4" t="s">
        <v>4089</v>
      </c>
      <c r="B1471" s="4" t="str">
        <f t="shared" si="1"/>
        <v>13</v>
      </c>
    </row>
    <row r="1472">
      <c r="A1472" s="4" t="s">
        <v>4606</v>
      </c>
      <c r="B1472" s="4" t="str">
        <f t="shared" si="1"/>
        <v>12</v>
      </c>
    </row>
    <row r="1473">
      <c r="A1473" s="4" t="s">
        <v>4607</v>
      </c>
      <c r="B1473" s="4" t="str">
        <f t="shared" si="1"/>
        <v>13</v>
      </c>
    </row>
    <row r="1474">
      <c r="A1474" s="4" t="s">
        <v>4189</v>
      </c>
      <c r="B1474" s="4" t="str">
        <f t="shared" si="1"/>
        <v>16</v>
      </c>
    </row>
    <row r="1475">
      <c r="A1475" s="4" t="s">
        <v>4097</v>
      </c>
      <c r="B1475" s="4" t="str">
        <f t="shared" si="1"/>
        <v>13</v>
      </c>
    </row>
    <row r="1476">
      <c r="A1476" s="4" t="s">
        <v>3946</v>
      </c>
      <c r="B1476" s="4" t="str">
        <f t="shared" si="1"/>
        <v>16</v>
      </c>
    </row>
    <row r="1477">
      <c r="A1477" s="4" t="s">
        <v>4131</v>
      </c>
      <c r="B1477" s="4" t="str">
        <f t="shared" si="1"/>
        <v>13</v>
      </c>
    </row>
    <row r="1478">
      <c r="A1478" s="4" t="s">
        <v>4051</v>
      </c>
      <c r="B1478" s="4" t="str">
        <f t="shared" si="1"/>
        <v>15</v>
      </c>
    </row>
    <row r="1479">
      <c r="A1479" s="4" t="s">
        <v>3953</v>
      </c>
      <c r="B1479" s="4" t="str">
        <f t="shared" si="1"/>
        <v>13</v>
      </c>
    </row>
    <row r="1480">
      <c r="A1480" s="4" t="s">
        <v>4097</v>
      </c>
      <c r="B1480" s="4" t="str">
        <f t="shared" si="1"/>
        <v>13</v>
      </c>
    </row>
    <row r="1481">
      <c r="A1481" s="4" t="s">
        <v>4286</v>
      </c>
      <c r="B1481" s="4" t="str">
        <f t="shared" si="1"/>
        <v>15</v>
      </c>
    </row>
    <row r="1482">
      <c r="A1482" s="4" t="s">
        <v>4608</v>
      </c>
      <c r="B1482" s="4" t="str">
        <f t="shared" si="1"/>
        <v>12</v>
      </c>
    </row>
    <row r="1483">
      <c r="A1483" s="4" t="s">
        <v>4098</v>
      </c>
      <c r="B1483" s="4" t="str">
        <f t="shared" si="1"/>
        <v>13</v>
      </c>
    </row>
    <row r="1484">
      <c r="A1484" s="4" t="s">
        <v>4609</v>
      </c>
      <c r="B1484" s="4" t="str">
        <f t="shared" si="1"/>
        <v>15</v>
      </c>
    </row>
    <row r="1485">
      <c r="A1485" s="4" t="s">
        <v>4301</v>
      </c>
      <c r="B1485" s="4" t="str">
        <f t="shared" si="1"/>
        <v>14</v>
      </c>
    </row>
    <row r="1486">
      <c r="A1486" s="4" t="s">
        <v>3998</v>
      </c>
      <c r="B1486" s="4" t="str">
        <f t="shared" si="1"/>
        <v>16</v>
      </c>
    </row>
    <row r="1487">
      <c r="A1487" s="4" t="s">
        <v>4143</v>
      </c>
      <c r="B1487" s="4" t="str">
        <f t="shared" si="1"/>
        <v>16</v>
      </c>
    </row>
    <row r="1488">
      <c r="A1488" s="4" t="s">
        <v>4430</v>
      </c>
      <c r="B1488" s="4" t="str">
        <f t="shared" si="1"/>
        <v>10</v>
      </c>
    </row>
    <row r="1489">
      <c r="A1489" s="4" t="s">
        <v>4205</v>
      </c>
      <c r="B1489" s="4" t="str">
        <f t="shared" si="1"/>
        <v>13</v>
      </c>
    </row>
    <row r="1490">
      <c r="A1490" s="4" t="s">
        <v>3896</v>
      </c>
      <c r="B1490" s="4" t="str">
        <f t="shared" si="1"/>
        <v>14</v>
      </c>
    </row>
    <row r="1491">
      <c r="A1491" s="4" t="s">
        <v>3896</v>
      </c>
      <c r="B1491" s="4" t="str">
        <f t="shared" si="1"/>
        <v>14</v>
      </c>
    </row>
    <row r="1492">
      <c r="A1492" s="4" t="s">
        <v>4143</v>
      </c>
      <c r="B1492" s="4" t="str">
        <f t="shared" si="1"/>
        <v>16</v>
      </c>
    </row>
    <row r="1493">
      <c r="A1493" s="4" t="s">
        <v>4610</v>
      </c>
      <c r="B1493" s="4" t="str">
        <f t="shared" si="1"/>
        <v>11</v>
      </c>
    </row>
    <row r="1494">
      <c r="A1494" s="4" t="s">
        <v>4034</v>
      </c>
      <c r="B1494" s="4" t="str">
        <f t="shared" si="1"/>
        <v>07</v>
      </c>
    </row>
    <row r="1495">
      <c r="A1495" s="4" t="s">
        <v>4181</v>
      </c>
      <c r="B1495" s="4" t="str">
        <f t="shared" si="1"/>
        <v>12</v>
      </c>
    </row>
    <row r="1496">
      <c r="A1496" s="4" t="s">
        <v>4109</v>
      </c>
      <c r="B1496" s="4" t="str">
        <f t="shared" si="1"/>
        <v>15</v>
      </c>
    </row>
    <row r="1497">
      <c r="A1497" s="4" t="s">
        <v>4235</v>
      </c>
      <c r="B1497" s="4" t="str">
        <f t="shared" si="1"/>
        <v>16</v>
      </c>
    </row>
    <row r="1498">
      <c r="A1498" s="4" t="s">
        <v>4611</v>
      </c>
      <c r="B1498" s="4" t="str">
        <f t="shared" si="1"/>
        <v>07</v>
      </c>
    </row>
    <row r="1499">
      <c r="A1499" s="4" t="s">
        <v>4245</v>
      </c>
      <c r="B1499" s="4" t="str">
        <f t="shared" si="1"/>
        <v>12</v>
      </c>
    </row>
    <row r="1500">
      <c r="A1500" s="4" t="s">
        <v>4282</v>
      </c>
      <c r="B1500" s="4" t="str">
        <f t="shared" si="1"/>
        <v>12</v>
      </c>
    </row>
    <row r="1501">
      <c r="A1501" s="4" t="s">
        <v>4266</v>
      </c>
      <c r="B1501" s="4" t="str">
        <f t="shared" si="1"/>
        <v>15</v>
      </c>
    </row>
    <row r="1502">
      <c r="A1502" s="4" t="s">
        <v>4331</v>
      </c>
      <c r="B1502" s="4" t="str">
        <f t="shared" si="1"/>
        <v>11</v>
      </c>
    </row>
    <row r="1503">
      <c r="A1503" s="4" t="s">
        <v>4612</v>
      </c>
      <c r="B1503" s="4" t="str">
        <f t="shared" si="1"/>
        <v>16</v>
      </c>
    </row>
    <row r="1504">
      <c r="A1504" s="4" t="s">
        <v>3946</v>
      </c>
      <c r="B1504" s="4" t="str">
        <f t="shared" si="1"/>
        <v>16</v>
      </c>
    </row>
    <row r="1505">
      <c r="A1505" s="4" t="s">
        <v>4007</v>
      </c>
      <c r="B1505" s="4" t="str">
        <f t="shared" si="1"/>
        <v>16</v>
      </c>
    </row>
    <row r="1506">
      <c r="A1506" s="4" t="s">
        <v>4613</v>
      </c>
      <c r="B1506" s="4" t="str">
        <f t="shared" si="1"/>
        <v>10</v>
      </c>
    </row>
    <row r="1507">
      <c r="A1507" s="4" t="s">
        <v>4614</v>
      </c>
      <c r="B1507" s="4" t="str">
        <f t="shared" si="1"/>
        <v>14</v>
      </c>
    </row>
    <row r="1508">
      <c r="A1508" s="4" t="s">
        <v>4142</v>
      </c>
      <c r="B1508" s="4" t="str">
        <f t="shared" si="1"/>
        <v>13</v>
      </c>
    </row>
    <row r="1509">
      <c r="A1509" s="4" t="s">
        <v>3957</v>
      </c>
      <c r="B1509" s="4" t="str">
        <f t="shared" si="1"/>
        <v>16</v>
      </c>
    </row>
    <row r="1510">
      <c r="A1510" s="4" t="s">
        <v>4615</v>
      </c>
      <c r="B1510" s="4" t="str">
        <f t="shared" si="1"/>
        <v>15</v>
      </c>
    </row>
    <row r="1511">
      <c r="A1511" s="4" t="s">
        <v>4616</v>
      </c>
      <c r="B1511" s="4" t="str">
        <f t="shared" si="1"/>
        <v>16</v>
      </c>
    </row>
    <row r="1512">
      <c r="A1512" s="4" t="s">
        <v>3985</v>
      </c>
      <c r="B1512" s="4" t="str">
        <f t="shared" si="1"/>
        <v>13</v>
      </c>
    </row>
    <row r="1513">
      <c r="A1513" s="4" t="s">
        <v>4183</v>
      </c>
      <c r="B1513" s="4" t="str">
        <f t="shared" si="1"/>
        <v>14</v>
      </c>
    </row>
    <row r="1514">
      <c r="A1514" s="4" t="s">
        <v>4617</v>
      </c>
      <c r="B1514" s="4" t="str">
        <f t="shared" si="1"/>
        <v>15</v>
      </c>
    </row>
    <row r="1515">
      <c r="A1515" s="4" t="s">
        <v>4115</v>
      </c>
      <c r="B1515" s="4" t="str">
        <f t="shared" si="1"/>
        <v>12</v>
      </c>
    </row>
    <row r="1516">
      <c r="A1516" s="4" t="s">
        <v>3898</v>
      </c>
      <c r="B1516" s="4" t="str">
        <f t="shared" si="1"/>
        <v>14</v>
      </c>
    </row>
    <row r="1517">
      <c r="A1517" s="4" t="s">
        <v>4233</v>
      </c>
      <c r="B1517" s="4" t="str">
        <f t="shared" si="1"/>
        <v>14</v>
      </c>
    </row>
    <row r="1518">
      <c r="A1518" s="4" t="s">
        <v>4373</v>
      </c>
      <c r="B1518" s="4" t="str">
        <f t="shared" si="1"/>
        <v>13</v>
      </c>
    </row>
    <row r="1519">
      <c r="A1519" s="4" t="s">
        <v>4618</v>
      </c>
      <c r="B1519" s="4" t="str">
        <f t="shared" si="1"/>
        <v>11</v>
      </c>
    </row>
    <row r="1520">
      <c r="A1520" s="4" t="s">
        <v>4619</v>
      </c>
      <c r="B1520" s="4" t="str">
        <f t="shared" si="1"/>
        <v>10</v>
      </c>
    </row>
    <row r="1521">
      <c r="A1521" s="4" t="s">
        <v>4154</v>
      </c>
      <c r="B1521" s="4" t="str">
        <f t="shared" si="1"/>
        <v>17</v>
      </c>
    </row>
    <row r="1522">
      <c r="A1522" s="4" t="s">
        <v>4620</v>
      </c>
      <c r="B1522" s="4" t="str">
        <f t="shared" si="1"/>
        <v>07</v>
      </c>
    </row>
    <row r="1523">
      <c r="A1523" s="4" t="s">
        <v>4613</v>
      </c>
      <c r="B1523" s="4" t="str">
        <f t="shared" si="1"/>
        <v>10</v>
      </c>
    </row>
    <row r="1524">
      <c r="A1524" s="4" t="s">
        <v>3912</v>
      </c>
      <c r="B1524" s="4" t="str">
        <f t="shared" si="1"/>
        <v>14</v>
      </c>
    </row>
    <row r="1525">
      <c r="A1525" s="4" t="s">
        <v>4621</v>
      </c>
      <c r="B1525" s="4" t="str">
        <f t="shared" si="1"/>
        <v>20</v>
      </c>
    </row>
    <row r="1526">
      <c r="A1526" s="4" t="s">
        <v>3890</v>
      </c>
      <c r="B1526" s="4" t="str">
        <f t="shared" si="1"/>
        <v>14</v>
      </c>
    </row>
    <row r="1527">
      <c r="A1527" s="4" t="s">
        <v>4493</v>
      </c>
      <c r="B1527" s="4" t="str">
        <f t="shared" si="1"/>
        <v>18</v>
      </c>
    </row>
    <row r="1528">
      <c r="A1528" s="4" t="s">
        <v>4622</v>
      </c>
      <c r="B1528" s="4" t="str">
        <f t="shared" si="1"/>
        <v>16</v>
      </c>
    </row>
    <row r="1529">
      <c r="A1529" s="4" t="s">
        <v>4121</v>
      </c>
      <c r="B1529" s="4" t="str">
        <f t="shared" si="1"/>
        <v>10</v>
      </c>
    </row>
    <row r="1530">
      <c r="A1530" s="4" t="s">
        <v>4207</v>
      </c>
      <c r="B1530" s="4" t="str">
        <f t="shared" si="1"/>
        <v>13</v>
      </c>
    </row>
    <row r="1531">
      <c r="A1531" s="4" t="s">
        <v>4323</v>
      </c>
      <c r="B1531" s="4" t="str">
        <f t="shared" si="1"/>
        <v>12</v>
      </c>
    </row>
    <row r="1532">
      <c r="A1532" s="4" t="s">
        <v>4623</v>
      </c>
      <c r="B1532" s="4" t="str">
        <f t="shared" si="1"/>
        <v>13</v>
      </c>
    </row>
    <row r="1533">
      <c r="A1533" s="4" t="s">
        <v>4624</v>
      </c>
      <c r="B1533" s="4" t="str">
        <f t="shared" si="1"/>
        <v>16</v>
      </c>
    </row>
    <row r="1534">
      <c r="A1534" s="4" t="s">
        <v>4625</v>
      </c>
      <c r="B1534" s="4" t="str">
        <f t="shared" si="1"/>
        <v>09</v>
      </c>
    </row>
    <row r="1535">
      <c r="A1535" s="4" t="s">
        <v>4006</v>
      </c>
      <c r="B1535" s="4" t="str">
        <f t="shared" si="1"/>
        <v>15</v>
      </c>
    </row>
    <row r="1536">
      <c r="A1536" s="4" t="s">
        <v>4335</v>
      </c>
      <c r="B1536" s="4" t="str">
        <f t="shared" si="1"/>
        <v>17</v>
      </c>
    </row>
    <row r="1537">
      <c r="A1537" s="4" t="s">
        <v>3985</v>
      </c>
      <c r="B1537" s="4" t="str">
        <f t="shared" si="1"/>
        <v>13</v>
      </c>
    </row>
    <row r="1538">
      <c r="A1538" s="4" t="s">
        <v>3947</v>
      </c>
      <c r="B1538" s="4" t="str">
        <f t="shared" si="1"/>
        <v>15</v>
      </c>
    </row>
    <row r="1539">
      <c r="A1539" s="4" t="s">
        <v>4210</v>
      </c>
      <c r="B1539" s="4" t="str">
        <f t="shared" si="1"/>
        <v>10</v>
      </c>
    </row>
    <row r="1540">
      <c r="A1540" s="4" t="s">
        <v>4626</v>
      </c>
      <c r="B1540" s="4" t="str">
        <f t="shared" si="1"/>
        <v>17</v>
      </c>
    </row>
    <row r="1541">
      <c r="A1541" s="4" t="s">
        <v>4627</v>
      </c>
      <c r="B1541" s="4" t="str">
        <f t="shared" si="1"/>
        <v>16</v>
      </c>
    </row>
    <row r="1542">
      <c r="A1542" s="4" t="s">
        <v>4348</v>
      </c>
      <c r="B1542" s="4" t="str">
        <f t="shared" si="1"/>
        <v>12</v>
      </c>
    </row>
    <row r="1543">
      <c r="A1543" s="4" t="s">
        <v>4628</v>
      </c>
      <c r="B1543" s="4" t="str">
        <f t="shared" si="1"/>
        <v>17</v>
      </c>
    </row>
    <row r="1544">
      <c r="A1544" s="4" t="s">
        <v>4629</v>
      </c>
      <c r="B1544" s="4" t="str">
        <f t="shared" si="1"/>
        <v>18</v>
      </c>
    </row>
    <row r="1545">
      <c r="A1545" s="4" t="s">
        <v>4630</v>
      </c>
      <c r="B1545" s="4" t="str">
        <f t="shared" si="1"/>
        <v>17</v>
      </c>
    </row>
    <row r="1546">
      <c r="A1546" s="4" t="s">
        <v>4631</v>
      </c>
      <c r="B1546" s="4" t="str">
        <f t="shared" si="1"/>
        <v>17</v>
      </c>
    </row>
    <row r="1547">
      <c r="A1547" s="4" t="s">
        <v>4632</v>
      </c>
      <c r="B1547" s="4" t="str">
        <f t="shared" si="1"/>
        <v>10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customWidth="1" min="5" max="5" width="23.14"/>
    <col customWidth="1" min="8" max="8" width="32.86"/>
  </cols>
  <sheetData>
    <row r="1">
      <c r="J1" s="7" t="s">
        <v>18</v>
      </c>
      <c r="K1" s="7" t="s">
        <v>4635</v>
      </c>
    </row>
    <row r="2">
      <c r="J2" s="4" t="s">
        <v>4636</v>
      </c>
      <c r="K2" s="14">
        <f t="shared" ref="K2:K8" si="1">E2/H2</f>
        <v>0.2777777778</v>
      </c>
    </row>
    <row r="3">
      <c r="J3" s="4" t="s">
        <v>4637</v>
      </c>
      <c r="K3" s="14">
        <f t="shared" si="1"/>
        <v>0.3418803419</v>
      </c>
    </row>
    <row r="4">
      <c r="J4" s="4" t="s">
        <v>4638</v>
      </c>
      <c r="K4" s="14">
        <f t="shared" si="1"/>
        <v>0.3421052632</v>
      </c>
    </row>
    <row r="5">
      <c r="J5" s="4" t="s">
        <v>4639</v>
      </c>
      <c r="K5" s="14">
        <f t="shared" si="1"/>
        <v>0.2702702703</v>
      </c>
    </row>
    <row r="6">
      <c r="J6" s="4" t="s">
        <v>4640</v>
      </c>
      <c r="K6" s="14">
        <f t="shared" si="1"/>
        <v>0.2128146453</v>
      </c>
    </row>
    <row r="7">
      <c r="J7" s="4" t="s">
        <v>4641</v>
      </c>
      <c r="K7" s="14">
        <f t="shared" si="1"/>
        <v>0.2349206349</v>
      </c>
    </row>
    <row r="8">
      <c r="J8" s="4" t="s">
        <v>4642</v>
      </c>
      <c r="K8" s="14">
        <f t="shared" si="1"/>
        <v>0.1090225564</v>
      </c>
    </row>
    <row r="9"/>
  </sheetData>
  <drawing r:id="rId4"/>
</worksheet>
</file>