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f-3761\"/>
    </mc:Choice>
  </mc:AlternateContent>
  <xr:revisionPtr revIDLastSave="0" documentId="13_ncr:1_{C5FBF103-F483-4186-A52C-C162047340A2}" xr6:coauthVersionLast="47" xr6:coauthVersionMax="47" xr10:uidLastSave="{00000000-0000-0000-0000-000000000000}"/>
  <bookViews>
    <workbookView xWindow="14295" yWindow="0" windowWidth="14610" windowHeight="15585" activeTab="5" xr2:uid="{00000000-000D-0000-FFFF-FFFF00000000}"/>
  </bookViews>
  <sheets>
    <sheet name="Sheet1" sheetId="1" r:id="rId1"/>
    <sheet name="Forecasting" sheetId="2" r:id="rId2"/>
    <sheet name="Welsh Concert Ticket Sales" sheetId="3" r:id="rId3"/>
    <sheet name="Archery Shoot-out Competition" sheetId="4" r:id="rId4"/>
    <sheet name="Club Card Vouchers" sheetId="5" r:id="rId5"/>
    <sheet name="Muffin Man" sheetId="6" r:id="rId6"/>
  </sheets>
  <definedNames>
    <definedName name="Mój_zakres">Sheet1!$B$19:$B$21</definedName>
    <definedName name="muffin">'Muffin Man'!$B$9:$B$11</definedName>
    <definedName name="scoring_points">'Archery Shoot-out Competition'!$A$14:$B$17</definedName>
    <definedName name="Voucher">'Club Card Vouchers'!$F$3</definedName>
    <definedName name="zakres2">Forecasting!$F$4:$F$6</definedName>
    <definedName name="zakres3">'Welsh Concert Ticket Sales'!$B$11:$B$13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6" l="1"/>
  <c r="E6" i="6"/>
  <c r="E4" i="6"/>
  <c r="D5" i="6"/>
  <c r="D6" i="6"/>
  <c r="D4" i="6"/>
  <c r="C5" i="6"/>
  <c r="C6" i="6"/>
  <c r="C4" i="6"/>
  <c r="C5" i="5"/>
  <c r="C6" i="5"/>
  <c r="C7" i="5"/>
  <c r="C8" i="5"/>
  <c r="C9" i="5"/>
  <c r="C10" i="5"/>
  <c r="C11" i="5"/>
  <c r="C12" i="5"/>
  <c r="C13" i="5"/>
  <c r="C14" i="5"/>
  <c r="C15" i="5"/>
  <c r="C4" i="5"/>
  <c r="F4" i="4"/>
  <c r="F6" i="4"/>
  <c r="F7" i="4"/>
  <c r="F8" i="4"/>
  <c r="F9" i="4"/>
  <c r="F10" i="4"/>
  <c r="F11" i="4"/>
  <c r="F5" i="4"/>
  <c r="H4" i="4"/>
  <c r="E5" i="3"/>
  <c r="E6" i="3"/>
  <c r="E7" i="3"/>
  <c r="E8" i="3"/>
  <c r="E4" i="3"/>
  <c r="D9" i="3"/>
  <c r="C9" i="3"/>
  <c r="B9" i="3"/>
  <c r="C7" i="2"/>
  <c r="C6" i="2"/>
  <c r="C5" i="2"/>
  <c r="C4" i="2"/>
  <c r="B7" i="2"/>
  <c r="E5" i="1"/>
  <c r="G5" i="1" s="1"/>
  <c r="E6" i="1"/>
  <c r="F6" i="1" s="1"/>
  <c r="E7" i="1"/>
  <c r="G7" i="1" s="1"/>
  <c r="E8" i="1"/>
  <c r="G8" i="1" s="1"/>
  <c r="E9" i="1"/>
  <c r="F9" i="1" s="1"/>
  <c r="E10" i="1"/>
  <c r="G10" i="1" s="1"/>
  <c r="E11" i="1"/>
  <c r="G11" i="1" s="1"/>
  <c r="E12" i="1"/>
  <c r="G12" i="1" s="1"/>
  <c r="E13" i="1"/>
  <c r="F13" i="1" s="1"/>
  <c r="E14" i="1"/>
  <c r="F14" i="1" s="1"/>
  <c r="E15" i="1"/>
  <c r="G15" i="1" s="1"/>
  <c r="E4" i="1"/>
  <c r="G4" i="1" s="1"/>
  <c r="J4" i="1"/>
  <c r="E19" i="1" a="1"/>
  <c r="E19" i="1" s="1"/>
  <c r="E9" i="3" l="1"/>
  <c r="G6" i="1"/>
  <c r="G9" i="1"/>
  <c r="F10" i="1"/>
  <c r="G14" i="1"/>
  <c r="G13" i="1"/>
  <c r="F4" i="1"/>
  <c r="F12" i="1"/>
  <c r="F8" i="1"/>
  <c r="F5" i="1"/>
  <c r="E16" i="1"/>
  <c r="F15" i="1"/>
  <c r="F11" i="1"/>
  <c r="H11" i="1" s="1"/>
  <c r="F7" i="1"/>
  <c r="H9" i="1"/>
  <c r="F16" i="1" l="1"/>
  <c r="G16" i="1"/>
  <c r="H4" i="1"/>
  <c r="H12" i="1"/>
  <c r="H7" i="1"/>
  <c r="H14" i="1"/>
  <c r="H6" i="1"/>
  <c r="H15" i="1"/>
  <c r="H8" i="1"/>
  <c r="H13" i="1"/>
  <c r="H10" i="1"/>
  <c r="H5" i="1"/>
  <c r="D16" i="1"/>
  <c r="H1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<sst xmlns="http://schemas.openxmlformats.org/spreadsheetml/2006/main" count="112" uniqueCount="103">
  <si>
    <t>Pesko Part-time Workers Weekly Pay</t>
  </si>
  <si>
    <t>Staff ID</t>
  </si>
  <si>
    <t>Surname</t>
  </si>
  <si>
    <t>Initial</t>
  </si>
  <si>
    <t>Hours Worked</t>
  </si>
  <si>
    <t>Nat Ins</t>
  </si>
  <si>
    <t>Tax Rate</t>
  </si>
  <si>
    <t>Nat Ins Rate</t>
  </si>
  <si>
    <t>Hourly Pay Rate</t>
  </si>
  <si>
    <t>M/141</t>
  </si>
  <si>
    <t>M/289</t>
  </si>
  <si>
    <t>F/112</t>
  </si>
  <si>
    <t>F/219</t>
  </si>
  <si>
    <t>F/881</t>
  </si>
  <si>
    <t>M/448</t>
  </si>
  <si>
    <t>F/66</t>
  </si>
  <si>
    <t>M/557</t>
  </si>
  <si>
    <t>M/44</t>
  </si>
  <si>
    <t>M/191</t>
  </si>
  <si>
    <t>M/352</t>
  </si>
  <si>
    <t>F/336</t>
  </si>
  <si>
    <t>Abbot</t>
  </si>
  <si>
    <t>Arlington</t>
  </si>
  <si>
    <t>Brown</t>
  </si>
  <si>
    <t>Davis</t>
  </si>
  <si>
    <t>Davies</t>
  </si>
  <si>
    <t>Fox</t>
  </si>
  <si>
    <t>Marsh</t>
  </si>
  <si>
    <t>Kelsey</t>
  </si>
  <si>
    <t>Oliver</t>
  </si>
  <si>
    <t>Potts</t>
  </si>
  <si>
    <t>Taylor</t>
  </si>
  <si>
    <t>R</t>
  </si>
  <si>
    <t>T</t>
  </si>
  <si>
    <t>F</t>
  </si>
  <si>
    <t>G</t>
  </si>
  <si>
    <t>W</t>
  </si>
  <si>
    <t>S</t>
  </si>
  <si>
    <t>A</t>
  </si>
  <si>
    <t>H</t>
  </si>
  <si>
    <t>B</t>
  </si>
  <si>
    <t>M</t>
  </si>
  <si>
    <t>Pay</t>
  </si>
  <si>
    <t>Tax</t>
  </si>
  <si>
    <t>Final Pay</t>
  </si>
  <si>
    <t>TOTAL</t>
  </si>
  <si>
    <t>Forecast Figures for Next Year</t>
  </si>
  <si>
    <t>This Year</t>
  </si>
  <si>
    <t>Next Year Projection</t>
  </si>
  <si>
    <t>Sales</t>
  </si>
  <si>
    <t>Growth</t>
  </si>
  <si>
    <t>Direct Costs</t>
  </si>
  <si>
    <t>Wages inc</t>
  </si>
  <si>
    <t>Indirect Costs</t>
  </si>
  <si>
    <t>Utilities inc</t>
  </si>
  <si>
    <t>Basic Profits</t>
  </si>
  <si>
    <t>Pontypridd Community Centre Events Income</t>
  </si>
  <si>
    <t>Artist</t>
  </si>
  <si>
    <t>Adult Ticket Sales</t>
  </si>
  <si>
    <t>Child Ticket Sales</t>
  </si>
  <si>
    <t>Concession Ticket Sales</t>
  </si>
  <si>
    <t>Revenue</t>
  </si>
  <si>
    <t>Welsh Male Voice Choir</t>
  </si>
  <si>
    <t>Metallica</t>
  </si>
  <si>
    <t>Tom Jones</t>
  </si>
  <si>
    <t>The Bootleg Beatles</t>
  </si>
  <si>
    <t>Bjorn Again</t>
  </si>
  <si>
    <t>CONCERT TOTALS</t>
  </si>
  <si>
    <t>Adult Ticket Price</t>
  </si>
  <si>
    <t>Child Ticket Price</t>
  </si>
  <si>
    <t>Concession Ticket Price</t>
  </si>
  <si>
    <t>Archery Shoot-out Competition</t>
  </si>
  <si>
    <t>Competitor</t>
  </si>
  <si>
    <t>Inner Gold</t>
  </si>
  <si>
    <t>Outer Gold</t>
  </si>
  <si>
    <t>Inner Red</t>
  </si>
  <si>
    <t>Outer Red</t>
  </si>
  <si>
    <t>Total Score</t>
  </si>
  <si>
    <t>Sheriff of Nottingham</t>
  </si>
  <si>
    <t>King John</t>
  </si>
  <si>
    <t>Little John</t>
  </si>
  <si>
    <t>King Richard</t>
  </si>
  <si>
    <t>Robin Hood</t>
  </si>
  <si>
    <t>Maid Marion</t>
  </si>
  <si>
    <t>Friar Tuck</t>
  </si>
  <si>
    <t>Alan a Dale</t>
  </si>
  <si>
    <t>Scoring points:</t>
  </si>
  <si>
    <t>Pesko Club Card Vouchers</t>
  </si>
  <si>
    <t>Date</t>
  </si>
  <si>
    <t>Amount</t>
  </si>
  <si>
    <t>Club card Vouchers Earned</t>
  </si>
  <si>
    <t>Vouchers per £1</t>
  </si>
  <si>
    <t>£5 = 1 voucher whole vouchers only</t>
  </si>
  <si>
    <t>Basic Business Plan for The Cycling Muffin Man - First Month</t>
  </si>
  <si>
    <t>Costs</t>
  </si>
  <si>
    <t>Profit</t>
  </si>
  <si>
    <t>Town Centre Lunchtimes</t>
  </si>
  <si>
    <t>Weekend Cycle Trails</t>
  </si>
  <si>
    <t>Outside Football Matches</t>
  </si>
  <si>
    <t>Ingredients</t>
  </si>
  <si>
    <t>Sale Price</t>
  </si>
  <si>
    <t>Overheads</t>
  </si>
  <si>
    <t>Figs are per muffin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</si>
</sst>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£&quot;#,##0.00"/>
    <numFmt numFmtId="165" formatCode="0.0%"/>
    <numFmt numFmtId="175" formatCode="[$£-809]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164" fontId="0" fillId="0" borderId="1" xfId="0" applyNumberFormat="1" applyBorder="1"/>
    <xf numFmtId="164" fontId="0" fillId="0" borderId="2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0" fillId="2" borderId="1" xfId="0" applyNumberFormat="1" applyFill="1" applyBorder="1"/>
    <xf numFmtId="165" fontId="0" fillId="2" borderId="1" xfId="0" applyNumberFormat="1" applyFill="1" applyBorder="1"/>
    <xf numFmtId="0" fontId="5" fillId="0" borderId="0" xfId="0" applyFont="1"/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 wrapText="1"/>
    </xf>
    <xf numFmtId="43" fontId="0" fillId="0" borderId="1" xfId="1" applyFont="1" applyBorder="1"/>
    <xf numFmtId="10" fontId="0" fillId="0" borderId="1" xfId="0" applyNumberFormat="1" applyBorder="1"/>
    <xf numFmtId="43" fontId="1" fillId="0" borderId="1" xfId="1" applyFont="1" applyBorder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9" fillId="4" borderId="0" xfId="0" applyFont="1" applyFill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64" fontId="9" fillId="4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64" fontId="1" fillId="4" borderId="1" xfId="0" applyNumberFormat="1" applyFont="1" applyFill="1" applyBorder="1" applyAlignment="1">
      <alignment wrapText="1"/>
    </xf>
    <xf numFmtId="164" fontId="1" fillId="5" borderId="1" xfId="0" applyNumberFormat="1" applyFont="1" applyFill="1" applyBorder="1"/>
    <xf numFmtId="0" fontId="11" fillId="6" borderId="1" xfId="0" applyFont="1" applyFill="1" applyBorder="1" applyAlignment="1">
      <alignment horizontal="center" vertical="top"/>
    </xf>
    <xf numFmtId="0" fontId="0" fillId="0" borderId="0" xfId="0"/>
    <xf numFmtId="0" fontId="6" fillId="0" borderId="0" xfId="0" applyFont="1" applyAlignment="1">
      <alignment vertical="top"/>
    </xf>
    <xf numFmtId="0" fontId="0" fillId="0" borderId="1" xfId="0" applyBorder="1"/>
    <xf numFmtId="0" fontId="6" fillId="0" borderId="0" xfId="0" applyFont="1" applyAlignment="1">
      <alignment horizontal="right" vertical="top" wrapText="1"/>
    </xf>
    <xf numFmtId="0" fontId="10" fillId="0" borderId="0" xfId="0" applyFont="1"/>
    <xf numFmtId="0" fontId="6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16" fontId="0" fillId="0" borderId="1" xfId="0" applyNumberForma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164" fontId="0" fillId="0" borderId="1" xfId="0" applyNumberFormat="1" applyBorder="1"/>
    <xf numFmtId="0" fontId="12" fillId="0" borderId="0" xfId="0" applyFont="1" applyAlignment="1">
      <alignment horizontal="left" vertical="center"/>
    </xf>
    <xf numFmtId="175" fontId="0" fillId="0" borderId="1" xfId="0" applyNumberFormat="1" applyBorder="1"/>
    <xf numFmtId="0" fontId="0" fillId="0" borderId="0" xfId="0"/>
    <xf numFmtId="0" fontId="8" fillId="0" borderId="0" xfId="0" applyFont="1"/>
    <xf numFmtId="0" fontId="6" fillId="0" borderId="0" xfId="0" applyFont="1" applyAlignment="1">
      <alignment horizontal="right"/>
    </xf>
    <xf numFmtId="0" fontId="0" fillId="0" borderId="1" xfId="0" applyBorder="1"/>
    <xf numFmtId="0" fontId="13" fillId="0" borderId="0" xfId="0" applyFont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Normal="100" workbookViewId="0">
      <selection activeCell="H17" sqref="H17"/>
    </sheetView>
  </sheetViews>
  <sheetFormatPr defaultRowHeight="15" x14ac:dyDescent="0.25"/>
  <cols>
    <col min="1" max="1" width="14" customWidth="1"/>
    <col min="2" max="2" width="10.28515625" customWidth="1"/>
    <col min="3" max="3" width="8.85546875" style="3" customWidth="1"/>
    <col min="4" max="4" width="7" customWidth="1"/>
    <col min="5" max="5" width="8" bestFit="1" customWidth="1"/>
    <col min="6" max="6" width="8.5703125" customWidth="1"/>
    <col min="7" max="7" width="8.140625" bestFit="1" customWidth="1"/>
    <col min="8" max="8" width="8.42578125" customWidth="1"/>
    <col min="9" max="12" width="8.5703125" customWidth="1"/>
  </cols>
  <sheetData>
    <row r="1" spans="1:10" ht="21" x14ac:dyDescent="0.35">
      <c r="A1" s="1" t="s">
        <v>0</v>
      </c>
    </row>
    <row r="3" spans="1:10" s="10" customFormat="1" ht="27.95" customHeight="1" x14ac:dyDescent="0.25">
      <c r="A3" s="11" t="s">
        <v>1</v>
      </c>
      <c r="B3" s="11" t="s">
        <v>2</v>
      </c>
      <c r="C3" s="12" t="s">
        <v>3</v>
      </c>
      <c r="D3" s="13" t="s">
        <v>4</v>
      </c>
      <c r="E3" s="13" t="s">
        <v>42</v>
      </c>
      <c r="F3" s="13" t="s">
        <v>5</v>
      </c>
      <c r="G3" s="13" t="s">
        <v>43</v>
      </c>
      <c r="H3" s="13" t="s">
        <v>44</v>
      </c>
    </row>
    <row r="4" spans="1:10" x14ac:dyDescent="0.25">
      <c r="A4" s="2" t="s">
        <v>9</v>
      </c>
      <c r="B4" s="2" t="s">
        <v>21</v>
      </c>
      <c r="C4" s="4" t="s">
        <v>32</v>
      </c>
      <c r="D4" s="2">
        <v>16</v>
      </c>
      <c r="E4" s="6">
        <f>D4*INDEX(Mój_zakres,1)</f>
        <v>159.84</v>
      </c>
      <c r="F4" s="6">
        <f>E4*INDEX(Mój_zakres,2)</f>
        <v>11.188800000000001</v>
      </c>
      <c r="G4" s="7">
        <f>E4*INDEX(Mój_zakres,3)</f>
        <v>30.369600000000002</v>
      </c>
      <c r="H4" s="6">
        <f>E4-SUM(F4:G4)</f>
        <v>118.2816</v>
      </c>
      <c r="J4">
        <f>INDEX(Mój_zakres,1)</f>
        <v>9.99</v>
      </c>
    </row>
    <row r="5" spans="1:10" x14ac:dyDescent="0.25">
      <c r="A5" s="2" t="s">
        <v>10</v>
      </c>
      <c r="B5" s="2" t="s">
        <v>22</v>
      </c>
      <c r="C5" s="4" t="s">
        <v>33</v>
      </c>
      <c r="D5" s="2">
        <v>18</v>
      </c>
      <c r="E5" s="6">
        <f>D5*INDEX(Mój_zakres,1)</f>
        <v>179.82</v>
      </c>
      <c r="F5" s="6">
        <f>E5*INDEX(Mój_zakres,2)</f>
        <v>12.587400000000001</v>
      </c>
      <c r="G5" s="7">
        <f>E5*INDEX(Mój_zakres,3)</f>
        <v>34.165799999999997</v>
      </c>
      <c r="H5" s="6">
        <f t="shared" ref="H4:H15" si="0">E5-SUM(F5:G5)</f>
        <v>133.0668</v>
      </c>
    </row>
    <row r="6" spans="1:10" x14ac:dyDescent="0.25">
      <c r="A6" s="2" t="s">
        <v>11</v>
      </c>
      <c r="B6" s="2" t="s">
        <v>23</v>
      </c>
      <c r="C6" s="4" t="s">
        <v>33</v>
      </c>
      <c r="D6" s="2">
        <v>22</v>
      </c>
      <c r="E6" s="6">
        <f>D6*INDEX(Mój_zakres,1)</f>
        <v>219.78</v>
      </c>
      <c r="F6" s="6">
        <f>E6*INDEX(Mój_zakres,2)</f>
        <v>15.384600000000001</v>
      </c>
      <c r="G6" s="7">
        <f>E6*INDEX(Mój_zakres,3)</f>
        <v>41.758200000000002</v>
      </c>
      <c r="H6" s="6">
        <f t="shared" si="0"/>
        <v>162.63720000000001</v>
      </c>
    </row>
    <row r="7" spans="1:10" x14ac:dyDescent="0.25">
      <c r="A7" s="2" t="s">
        <v>12</v>
      </c>
      <c r="B7" s="2" t="s">
        <v>25</v>
      </c>
      <c r="C7" s="4" t="s">
        <v>34</v>
      </c>
      <c r="D7" s="2">
        <v>19</v>
      </c>
      <c r="E7" s="6">
        <f>D7*INDEX(Mój_zakres,1)</f>
        <v>189.81</v>
      </c>
      <c r="F7" s="6">
        <f>E7*INDEX(Mój_zakres,2)</f>
        <v>13.286700000000002</v>
      </c>
      <c r="G7" s="7">
        <f>E7*INDEX(Mój_zakres,3)</f>
        <v>36.063900000000004</v>
      </c>
      <c r="H7" s="6">
        <f t="shared" si="0"/>
        <v>140.45939999999999</v>
      </c>
    </row>
    <row r="8" spans="1:10" x14ac:dyDescent="0.25">
      <c r="A8" s="2" t="s">
        <v>13</v>
      </c>
      <c r="B8" s="2" t="s">
        <v>24</v>
      </c>
      <c r="C8" s="4" t="s">
        <v>35</v>
      </c>
      <c r="D8" s="2">
        <v>18</v>
      </c>
      <c r="E8" s="6">
        <f>D8*INDEX(Mój_zakres,1)</f>
        <v>179.82</v>
      </c>
      <c r="F8" s="6">
        <f>E8*INDEX(Mój_zakres,2)</f>
        <v>12.587400000000001</v>
      </c>
      <c r="G8" s="7">
        <f>E8*INDEX(Mój_zakres,3)</f>
        <v>34.165799999999997</v>
      </c>
      <c r="H8" s="6">
        <f t="shared" si="0"/>
        <v>133.0668</v>
      </c>
    </row>
    <row r="9" spans="1:10" x14ac:dyDescent="0.25">
      <c r="A9" s="2" t="s">
        <v>14</v>
      </c>
      <c r="B9" s="2" t="s">
        <v>24</v>
      </c>
      <c r="C9" s="4" t="s">
        <v>36</v>
      </c>
      <c r="D9" s="2">
        <v>18</v>
      </c>
      <c r="E9" s="6">
        <f>D9*INDEX(Mój_zakres,1)</f>
        <v>179.82</v>
      </c>
      <c r="F9" s="6">
        <f>E9*INDEX(Mój_zakres,2)</f>
        <v>12.587400000000001</v>
      </c>
      <c r="G9" s="7">
        <f>E9*INDEX(Mój_zakres,3)</f>
        <v>34.165799999999997</v>
      </c>
      <c r="H9" s="6">
        <f t="shared" si="0"/>
        <v>133.0668</v>
      </c>
    </row>
    <row r="10" spans="1:10" x14ac:dyDescent="0.25">
      <c r="A10" s="2" t="s">
        <v>15</v>
      </c>
      <c r="B10" s="2" t="s">
        <v>26</v>
      </c>
      <c r="C10" s="4" t="s">
        <v>37</v>
      </c>
      <c r="D10" s="2">
        <v>12</v>
      </c>
      <c r="E10" s="6">
        <f>D10*INDEX(Mój_zakres,1)</f>
        <v>119.88</v>
      </c>
      <c r="F10" s="6">
        <f>E10*INDEX(Mój_zakres,2)</f>
        <v>8.3916000000000004</v>
      </c>
      <c r="G10" s="7">
        <f>E10*INDEX(Mój_zakres,3)</f>
        <v>22.777200000000001</v>
      </c>
      <c r="H10" s="6">
        <f t="shared" si="0"/>
        <v>88.711199999999991</v>
      </c>
    </row>
    <row r="11" spans="1:10" x14ac:dyDescent="0.25">
      <c r="A11" s="2" t="s">
        <v>16</v>
      </c>
      <c r="B11" s="2" t="s">
        <v>28</v>
      </c>
      <c r="C11" s="4" t="s">
        <v>38</v>
      </c>
      <c r="D11" s="2">
        <v>16</v>
      </c>
      <c r="E11" s="6">
        <f>D11*INDEX(Mój_zakres,1)</f>
        <v>159.84</v>
      </c>
      <c r="F11" s="6">
        <f>E11*INDEX(Mój_zakres,2)</f>
        <v>11.188800000000001</v>
      </c>
      <c r="G11" s="7">
        <f>E11*INDEX(Mój_zakres,3)</f>
        <v>30.369600000000002</v>
      </c>
      <c r="H11" s="6">
        <f t="shared" si="0"/>
        <v>118.2816</v>
      </c>
    </row>
    <row r="12" spans="1:10" x14ac:dyDescent="0.25">
      <c r="A12" s="2" t="s">
        <v>17</v>
      </c>
      <c r="B12" s="2" t="s">
        <v>27</v>
      </c>
      <c r="C12" s="4" t="s">
        <v>39</v>
      </c>
      <c r="D12" s="2">
        <v>16</v>
      </c>
      <c r="E12" s="6">
        <f>D12*INDEX(Mój_zakres,1)</f>
        <v>159.84</v>
      </c>
      <c r="F12" s="6">
        <f>E12*INDEX(Mój_zakres,2)</f>
        <v>11.188800000000001</v>
      </c>
      <c r="G12" s="7">
        <f>E12*INDEX(Mój_zakres,3)</f>
        <v>30.369600000000002</v>
      </c>
      <c r="H12" s="6">
        <f t="shared" si="0"/>
        <v>118.2816</v>
      </c>
    </row>
    <row r="13" spans="1:10" x14ac:dyDescent="0.25">
      <c r="A13" s="2" t="s">
        <v>18</v>
      </c>
      <c r="B13" s="2" t="s">
        <v>29</v>
      </c>
      <c r="C13" s="4" t="s">
        <v>39</v>
      </c>
      <c r="D13" s="2">
        <v>18</v>
      </c>
      <c r="E13" s="6">
        <f>D13*INDEX(Mój_zakres,1)</f>
        <v>179.82</v>
      </c>
      <c r="F13" s="6">
        <f>E13*INDEX(Mój_zakres,2)</f>
        <v>12.587400000000001</v>
      </c>
      <c r="G13" s="7">
        <f>E13*INDEX(Mój_zakres,3)</f>
        <v>34.165799999999997</v>
      </c>
      <c r="H13" s="6">
        <f t="shared" si="0"/>
        <v>133.0668</v>
      </c>
    </row>
    <row r="14" spans="1:10" x14ac:dyDescent="0.25">
      <c r="A14" s="2" t="s">
        <v>19</v>
      </c>
      <c r="B14" s="2" t="s">
        <v>30</v>
      </c>
      <c r="C14" s="4" t="s">
        <v>40</v>
      </c>
      <c r="D14" s="2">
        <v>22</v>
      </c>
      <c r="E14" s="6">
        <f>D14*INDEX(Mój_zakres,1)</f>
        <v>219.78</v>
      </c>
      <c r="F14" s="6">
        <f>E14*INDEX(Mój_zakres,2)</f>
        <v>15.384600000000001</v>
      </c>
      <c r="G14" s="7">
        <f>E14*INDEX(Mój_zakres,3)</f>
        <v>41.758200000000002</v>
      </c>
      <c r="H14" s="6">
        <f t="shared" si="0"/>
        <v>162.63720000000001</v>
      </c>
    </row>
    <row r="15" spans="1:10" x14ac:dyDescent="0.25">
      <c r="A15" s="2" t="s">
        <v>20</v>
      </c>
      <c r="B15" s="2" t="s">
        <v>31</v>
      </c>
      <c r="C15" s="4" t="s">
        <v>41</v>
      </c>
      <c r="D15" s="2">
        <v>12</v>
      </c>
      <c r="E15" s="6">
        <f>D15*INDEX(Mój_zakres,1)</f>
        <v>119.88</v>
      </c>
      <c r="F15" s="6">
        <f>E15*INDEX(Mój_zakres,2)</f>
        <v>8.3916000000000004</v>
      </c>
      <c r="G15" s="7">
        <f>E15*INDEX(Mój_zakres,3)</f>
        <v>22.777200000000001</v>
      </c>
      <c r="H15" s="6">
        <f t="shared" si="0"/>
        <v>88.711199999999991</v>
      </c>
    </row>
    <row r="16" spans="1:10" x14ac:dyDescent="0.25">
      <c r="A16" s="5" t="s">
        <v>45</v>
      </c>
      <c r="B16" s="8"/>
      <c r="C16" s="9"/>
      <c r="D16" s="5">
        <f t="shared" ref="D16:H16" si="1">SUM(D4:D15)</f>
        <v>207</v>
      </c>
      <c r="E16" s="5">
        <f t="shared" si="1"/>
        <v>2067.9299999999998</v>
      </c>
      <c r="F16" s="5">
        <f t="shared" si="1"/>
        <v>144.75510000000003</v>
      </c>
      <c r="G16" s="5">
        <f t="shared" si="1"/>
        <v>392.90669999999994</v>
      </c>
      <c r="H16" s="5">
        <f t="shared" si="1"/>
        <v>1530.2682000000002</v>
      </c>
    </row>
    <row r="19" spans="1:5" x14ac:dyDescent="0.25">
      <c r="A19" t="s">
        <v>8</v>
      </c>
      <c r="B19" s="14">
        <v>9.99</v>
      </c>
      <c r="E19" cm="1">
        <f t="array" ref="E19:E21">Mój_zakres</f>
        <v>9.99</v>
      </c>
    </row>
    <row r="20" spans="1:5" x14ac:dyDescent="0.25">
      <c r="A20" t="s">
        <v>7</v>
      </c>
      <c r="B20" s="15">
        <v>7.0000000000000007E-2</v>
      </c>
      <c r="C20" s="10"/>
      <c r="E20">
        <v>7.0000000000000007E-2</v>
      </c>
    </row>
    <row r="21" spans="1:5" x14ac:dyDescent="0.25">
      <c r="A21" t="s">
        <v>6</v>
      </c>
      <c r="B21" s="15">
        <v>0.19</v>
      </c>
      <c r="E21">
        <v>0.19</v>
      </c>
    </row>
    <row r="24" spans="1:5" x14ac:dyDescent="0.25">
      <c r="C24"/>
    </row>
    <row r="25" spans="1:5" x14ac:dyDescent="0.25">
      <c r="C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64E9-FF34-465B-B9AE-3A2314F36562}">
  <dimension ref="A1:F7"/>
  <sheetViews>
    <sheetView workbookViewId="0">
      <selection activeCell="C21" sqref="C21"/>
    </sheetView>
  </sheetViews>
  <sheetFormatPr defaultRowHeight="15" x14ac:dyDescent="0.25"/>
  <cols>
    <col min="1" max="1" width="13.7109375" customWidth="1"/>
    <col min="2" max="2" width="11.42578125" bestFit="1" customWidth="1"/>
    <col min="3" max="3" width="10.42578125" bestFit="1" customWidth="1"/>
    <col min="5" max="5" width="11" bestFit="1" customWidth="1"/>
  </cols>
  <sheetData>
    <row r="1" spans="1:6" ht="18.75" x14ac:dyDescent="0.3">
      <c r="A1" s="16" t="s">
        <v>46</v>
      </c>
    </row>
    <row r="3" spans="1:6" ht="60" x14ac:dyDescent="0.25">
      <c r="B3" s="17" t="s">
        <v>47</v>
      </c>
      <c r="C3" s="18" t="s">
        <v>48</v>
      </c>
    </row>
    <row r="4" spans="1:6" x14ac:dyDescent="0.25">
      <c r="A4" t="s">
        <v>49</v>
      </c>
      <c r="B4" s="19">
        <v>781311</v>
      </c>
      <c r="C4" s="19">
        <f>B4*INDEX(zakres2,1)</f>
        <v>48441.281999999999</v>
      </c>
      <c r="E4" t="s">
        <v>50</v>
      </c>
      <c r="F4" s="20">
        <v>6.2E-2</v>
      </c>
    </row>
    <row r="5" spans="1:6" x14ac:dyDescent="0.25">
      <c r="A5" t="s">
        <v>51</v>
      </c>
      <c r="B5" s="19">
        <v>236966</v>
      </c>
      <c r="C5" s="19">
        <f>B5*INDEX(zakres2,2)</f>
        <v>3080.558</v>
      </c>
      <c r="E5" t="s">
        <v>52</v>
      </c>
      <c r="F5" s="20">
        <v>1.2999999999999999E-2</v>
      </c>
    </row>
    <row r="6" spans="1:6" x14ac:dyDescent="0.25">
      <c r="A6" t="s">
        <v>53</v>
      </c>
      <c r="B6" s="19">
        <v>106392</v>
      </c>
      <c r="C6" s="19">
        <f>B6*INDEX(zakres2,3)</f>
        <v>3085.3679999999999</v>
      </c>
      <c r="E6" t="s">
        <v>54</v>
      </c>
      <c r="F6" s="20">
        <v>2.9000000000000001E-2</v>
      </c>
    </row>
    <row r="7" spans="1:6" x14ac:dyDescent="0.25">
      <c r="A7" t="s">
        <v>55</v>
      </c>
      <c r="B7" s="21">
        <f>B4-B5-B6</f>
        <v>437953</v>
      </c>
      <c r="C7" s="21">
        <f>C4-C5-C6</f>
        <v>42275.356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8655-7C67-4C74-A2EF-57ED8E29ACEC}">
  <dimension ref="A1:E13"/>
  <sheetViews>
    <sheetView workbookViewId="0">
      <selection activeCell="B14" sqref="B14"/>
    </sheetView>
  </sheetViews>
  <sheetFormatPr defaultRowHeight="15" x14ac:dyDescent="0.25"/>
  <cols>
    <col min="1" max="1" width="22.28515625" customWidth="1"/>
    <col min="5" max="5" width="9.5703125" bestFit="1" customWidth="1"/>
  </cols>
  <sheetData>
    <row r="1" spans="1:5" ht="18.75" x14ac:dyDescent="0.3">
      <c r="A1" s="22" t="s">
        <v>56</v>
      </c>
      <c r="B1" s="23"/>
      <c r="C1" s="23"/>
      <c r="D1" s="23"/>
      <c r="E1" s="23"/>
    </row>
    <row r="2" spans="1:5" ht="15.75" x14ac:dyDescent="0.25">
      <c r="A2" s="24"/>
      <c r="B2" s="25"/>
      <c r="C2" s="25"/>
      <c r="D2" s="25"/>
      <c r="E2" s="25"/>
    </row>
    <row r="3" spans="1:5" ht="45" x14ac:dyDescent="0.25">
      <c r="A3" s="26" t="s">
        <v>57</v>
      </c>
      <c r="B3" s="27" t="s">
        <v>58</v>
      </c>
      <c r="C3" s="27" t="s">
        <v>59</v>
      </c>
      <c r="D3" s="27" t="s">
        <v>60</v>
      </c>
      <c r="E3" s="28" t="s">
        <v>61</v>
      </c>
    </row>
    <row r="4" spans="1:5" x14ac:dyDescent="0.25">
      <c r="A4" s="29" t="s">
        <v>62</v>
      </c>
      <c r="B4" s="30">
        <v>95</v>
      </c>
      <c r="C4" s="30">
        <v>15</v>
      </c>
      <c r="D4" s="30">
        <v>45</v>
      </c>
      <c r="E4" s="31">
        <f>(B4*INDEX(zakres3,1))+(C4*INDEX(zakres3,2))+(D4*INDEX(zakres3,3))</f>
        <v>1350</v>
      </c>
    </row>
    <row r="5" spans="1:5" x14ac:dyDescent="0.25">
      <c r="A5" s="29" t="s">
        <v>63</v>
      </c>
      <c r="B5" s="30">
        <v>115</v>
      </c>
      <c r="C5" s="30">
        <v>2</v>
      </c>
      <c r="D5" s="30">
        <v>8</v>
      </c>
      <c r="E5" s="31">
        <f>(B5*INDEX(zakres3,1))+(C5*INDEX(zakres3,2))+(D5*INDEX(zakres3,3))</f>
        <v>1416</v>
      </c>
    </row>
    <row r="6" spans="1:5" x14ac:dyDescent="0.25">
      <c r="A6" s="32" t="s">
        <v>64</v>
      </c>
      <c r="B6" s="33">
        <v>235</v>
      </c>
      <c r="C6" s="33">
        <v>55</v>
      </c>
      <c r="D6" s="33">
        <v>162</v>
      </c>
      <c r="E6" s="31">
        <f>(B6*INDEX(zakres3,1))+(C6*INDEX(zakres3,2))+(D6*INDEX(zakres3,3))</f>
        <v>3578</v>
      </c>
    </row>
    <row r="7" spans="1:5" x14ac:dyDescent="0.25">
      <c r="A7" s="32" t="s">
        <v>65</v>
      </c>
      <c r="B7" s="33">
        <v>100</v>
      </c>
      <c r="C7" s="33">
        <v>4</v>
      </c>
      <c r="D7" s="33">
        <v>35</v>
      </c>
      <c r="E7" s="31">
        <f>(B7*INDEX(zakres3,1))+(C7*INDEX(zakres3,2))+(D7*INDEX(zakres3,3))</f>
        <v>1348</v>
      </c>
    </row>
    <row r="8" spans="1:5" x14ac:dyDescent="0.25">
      <c r="A8" s="32" t="s">
        <v>66</v>
      </c>
      <c r="B8" s="33">
        <v>61</v>
      </c>
      <c r="C8" s="33">
        <v>2</v>
      </c>
      <c r="D8" s="33">
        <v>38</v>
      </c>
      <c r="E8" s="31">
        <f>(B8*INDEX(zakres3,1))+(C8*INDEX(zakres3,2))+(D8*INDEX(zakres3,3))</f>
        <v>888</v>
      </c>
    </row>
    <row r="9" spans="1:5" x14ac:dyDescent="0.25">
      <c r="A9" t="s">
        <v>67</v>
      </c>
      <c r="B9" s="33">
        <f t="shared" ref="B9:E9" si="0">SUM(B4:B8)</f>
        <v>606</v>
      </c>
      <c r="C9" s="33">
        <f t="shared" si="0"/>
        <v>78</v>
      </c>
      <c r="D9" s="33">
        <f t="shared" si="0"/>
        <v>288</v>
      </c>
      <c r="E9" s="34">
        <f>SUM(E4:E8)</f>
        <v>8580</v>
      </c>
    </row>
    <row r="10" spans="1:5" x14ac:dyDescent="0.25">
      <c r="B10" s="23"/>
      <c r="C10" s="23"/>
      <c r="D10" s="23"/>
      <c r="E10" s="23"/>
    </row>
    <row r="11" spans="1:5" x14ac:dyDescent="0.25">
      <c r="A11" t="s">
        <v>68</v>
      </c>
      <c r="B11" s="35">
        <v>12</v>
      </c>
      <c r="C11" s="23"/>
      <c r="D11" s="23"/>
      <c r="E11" s="23"/>
    </row>
    <row r="12" spans="1:5" x14ac:dyDescent="0.25">
      <c r="A12" t="s">
        <v>69</v>
      </c>
      <c r="B12" s="35">
        <v>2</v>
      </c>
      <c r="C12" s="23"/>
      <c r="D12" s="23"/>
      <c r="E12" s="23"/>
    </row>
    <row r="13" spans="1:5" x14ac:dyDescent="0.25">
      <c r="A13" t="s">
        <v>70</v>
      </c>
      <c r="B13" s="35">
        <v>4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A952-7693-45C7-A14C-D210D95405F3}">
  <dimension ref="A1:H17"/>
  <sheetViews>
    <sheetView workbookViewId="0">
      <selection activeCell="B18" sqref="B18"/>
    </sheetView>
  </sheetViews>
  <sheetFormatPr defaultRowHeight="15" x14ac:dyDescent="0.25"/>
  <cols>
    <col min="1" max="1" width="20.42578125" customWidth="1"/>
  </cols>
  <sheetData>
    <row r="1" spans="1:8" ht="15.75" x14ac:dyDescent="0.25">
      <c r="A1" s="41" t="s">
        <v>71</v>
      </c>
      <c r="B1" s="37"/>
      <c r="C1" s="37"/>
      <c r="D1" s="37"/>
      <c r="E1" s="37"/>
      <c r="F1" s="37"/>
    </row>
    <row r="2" spans="1:8" x14ac:dyDescent="0.25">
      <c r="A2" s="37"/>
      <c r="B2" s="37"/>
      <c r="C2" s="37"/>
      <c r="D2" s="37"/>
      <c r="E2" s="37"/>
      <c r="F2" s="37"/>
    </row>
    <row r="3" spans="1:8" ht="30" x14ac:dyDescent="0.25">
      <c r="A3" s="38" t="s">
        <v>72</v>
      </c>
      <c r="B3" s="42" t="s">
        <v>73</v>
      </c>
      <c r="C3" s="42" t="s">
        <v>74</v>
      </c>
      <c r="D3" s="42" t="s">
        <v>75</v>
      </c>
      <c r="E3" s="42" t="s">
        <v>76</v>
      </c>
      <c r="F3" s="40" t="s">
        <v>77</v>
      </c>
    </row>
    <row r="4" spans="1:8" x14ac:dyDescent="0.25">
      <c r="A4" s="37" t="s">
        <v>78</v>
      </c>
      <c r="B4" s="43">
        <v>0</v>
      </c>
      <c r="C4" s="43">
        <v>0</v>
      </c>
      <c r="D4" s="43">
        <v>0</v>
      </c>
      <c r="E4" s="43">
        <v>1</v>
      </c>
      <c r="F4" s="45">
        <f>B4*INDEX(scoring_points,1,2)+C4*INDEX(scoring_points,2,2)+D4*INDEX(scoring_points,3,2)+E4*INDEX(scoring_points,4,2)</f>
        <v>5</v>
      </c>
      <c r="H4">
        <f>B4*INDEX(scoring_points,1,2)</f>
        <v>0</v>
      </c>
    </row>
    <row r="5" spans="1:8" x14ac:dyDescent="0.25">
      <c r="A5" s="37" t="s">
        <v>79</v>
      </c>
      <c r="B5" s="43">
        <v>3</v>
      </c>
      <c r="C5" s="43">
        <v>2</v>
      </c>
      <c r="D5" s="43">
        <v>2</v>
      </c>
      <c r="E5" s="43">
        <v>3</v>
      </c>
      <c r="F5" s="45">
        <f>B5*INDEX(scoring_points,1,2)+C5*INDEX(scoring_points,2,2)+D5*INDEX(scoring_points,3,2)+E5*INDEX(scoring_points,4,2)</f>
        <v>125</v>
      </c>
    </row>
    <row r="6" spans="1:8" x14ac:dyDescent="0.25">
      <c r="A6" s="37" t="s">
        <v>80</v>
      </c>
      <c r="B6" s="43">
        <v>1</v>
      </c>
      <c r="C6" s="43">
        <v>6</v>
      </c>
      <c r="D6" s="43">
        <v>1</v>
      </c>
      <c r="E6" s="43">
        <v>2</v>
      </c>
      <c r="F6" s="45">
        <f>B6*INDEX(scoring_points,1,2)+C6*INDEX(scoring_points,2,2)+D6*INDEX(scoring_points,3,2)+E6*INDEX(scoring_points,4,2)</f>
        <v>130</v>
      </c>
    </row>
    <row r="7" spans="1:8" x14ac:dyDescent="0.25">
      <c r="A7" s="37" t="s">
        <v>81</v>
      </c>
      <c r="B7" s="43">
        <v>1</v>
      </c>
      <c r="C7" s="43">
        <v>5</v>
      </c>
      <c r="D7" s="43">
        <v>3</v>
      </c>
      <c r="E7" s="43">
        <v>1</v>
      </c>
      <c r="F7" s="45">
        <f>B7*INDEX(scoring_points,1,2)+C7*INDEX(scoring_points,2,2)+D7*INDEX(scoring_points,3,2)+E7*INDEX(scoring_points,4,2)</f>
        <v>130</v>
      </c>
    </row>
    <row r="8" spans="1:8" x14ac:dyDescent="0.25">
      <c r="A8" s="37" t="s">
        <v>82</v>
      </c>
      <c r="B8" s="43">
        <v>9</v>
      </c>
      <c r="C8" s="43">
        <v>1</v>
      </c>
      <c r="D8" s="43">
        <v>0</v>
      </c>
      <c r="E8" s="43">
        <v>0</v>
      </c>
      <c r="F8" s="45">
        <f>B8*INDEX(scoring_points,1,2)+C8*INDEX(scoring_points,2,2)+D8*INDEX(scoring_points,3,2)+E8*INDEX(scoring_points,4,2)</f>
        <v>195</v>
      </c>
    </row>
    <row r="9" spans="1:8" x14ac:dyDescent="0.25">
      <c r="A9" s="37" t="s">
        <v>83</v>
      </c>
      <c r="B9" s="43">
        <v>1</v>
      </c>
      <c r="C9" s="43">
        <v>4</v>
      </c>
      <c r="D9" s="43">
        <v>5</v>
      </c>
      <c r="E9" s="43">
        <v>0</v>
      </c>
      <c r="F9" s="45">
        <f>B9*INDEX(scoring_points,1,2)+C9*INDEX(scoring_points,2,2)+D9*INDEX(scoring_points,3,2)+E9*INDEX(scoring_points,4,2)</f>
        <v>130</v>
      </c>
    </row>
    <row r="10" spans="1:8" x14ac:dyDescent="0.25">
      <c r="A10" s="37" t="s">
        <v>84</v>
      </c>
      <c r="B10" s="43">
        <v>2</v>
      </c>
      <c r="C10" s="43">
        <v>1</v>
      </c>
      <c r="D10" s="43">
        <v>2</v>
      </c>
      <c r="E10" s="43">
        <v>5</v>
      </c>
      <c r="F10" s="45">
        <f>B10*INDEX(scoring_points,1,2)+C10*INDEX(scoring_points,2,2)+D10*INDEX(scoring_points,3,2)+E10*INDEX(scoring_points,4,2)</f>
        <v>100</v>
      </c>
    </row>
    <row r="11" spans="1:8" x14ac:dyDescent="0.25">
      <c r="A11" s="37" t="s">
        <v>85</v>
      </c>
      <c r="B11" s="43">
        <v>4</v>
      </c>
      <c r="C11" s="43">
        <v>4</v>
      </c>
      <c r="D11" s="43">
        <v>1</v>
      </c>
      <c r="E11" s="43">
        <v>1</v>
      </c>
      <c r="F11" s="45">
        <f>B11*INDEX(scoring_points,1,2)+C11*INDEX(scoring_points,2,2)+D11*INDEX(scoring_points,3,2)+E11*INDEX(scoring_points,4,2)</f>
        <v>155</v>
      </c>
    </row>
    <row r="12" spans="1:8" x14ac:dyDescent="0.25">
      <c r="A12" s="37"/>
      <c r="B12" s="37"/>
      <c r="C12" s="37"/>
      <c r="D12" s="37"/>
      <c r="E12" s="37"/>
      <c r="F12" s="37"/>
    </row>
    <row r="13" spans="1:8" x14ac:dyDescent="0.25">
      <c r="A13" s="36" t="s">
        <v>86</v>
      </c>
      <c r="B13" s="36"/>
      <c r="C13" s="37"/>
      <c r="D13" s="37"/>
      <c r="E13" s="37"/>
      <c r="F13" s="37"/>
    </row>
    <row r="14" spans="1:8" x14ac:dyDescent="0.25">
      <c r="A14" s="39" t="s">
        <v>73</v>
      </c>
      <c r="B14" s="44">
        <v>20</v>
      </c>
      <c r="C14" s="37"/>
      <c r="D14" s="37"/>
      <c r="E14" s="37"/>
      <c r="F14" s="37"/>
    </row>
    <row r="15" spans="1:8" x14ac:dyDescent="0.25">
      <c r="A15" s="39" t="s">
        <v>74</v>
      </c>
      <c r="B15" s="44">
        <v>15</v>
      </c>
      <c r="C15" s="37"/>
      <c r="D15" s="37"/>
      <c r="E15" s="37"/>
      <c r="F15" s="37"/>
    </row>
    <row r="16" spans="1:8" x14ac:dyDescent="0.25">
      <c r="A16" s="39" t="s">
        <v>75</v>
      </c>
      <c r="B16" s="44">
        <v>10</v>
      </c>
      <c r="C16" s="37"/>
      <c r="D16" s="37"/>
      <c r="E16" s="37"/>
      <c r="F16" s="37"/>
    </row>
    <row r="17" spans="1:2" x14ac:dyDescent="0.25">
      <c r="A17" s="39" t="s">
        <v>76</v>
      </c>
      <c r="B17" s="44">
        <v>5</v>
      </c>
    </row>
  </sheetData>
  <mergeCells count="1">
    <mergeCell ref="A13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EA75-2C5A-4EF5-96F4-6B72FAFDB605}">
  <dimension ref="A1:F15"/>
  <sheetViews>
    <sheetView zoomScale="120" zoomScaleNormal="120" workbookViewId="0">
      <selection activeCell="C4" sqref="C4:C15"/>
    </sheetView>
  </sheetViews>
  <sheetFormatPr defaultRowHeight="15" x14ac:dyDescent="0.25"/>
  <cols>
    <col min="3" max="3" width="9.5703125" bestFit="1" customWidth="1"/>
  </cols>
  <sheetData>
    <row r="1" spans="1:6" ht="21" x14ac:dyDescent="0.35">
      <c r="A1" s="49" t="s">
        <v>87</v>
      </c>
      <c r="B1" s="46"/>
      <c r="C1" s="46"/>
      <c r="D1" s="46"/>
      <c r="E1" s="46"/>
      <c r="F1" s="46"/>
    </row>
    <row r="3" spans="1:6" ht="45" x14ac:dyDescent="0.25">
      <c r="A3" s="51" t="s">
        <v>88</v>
      </c>
      <c r="B3" s="52" t="s">
        <v>89</v>
      </c>
      <c r="C3" s="53" t="s">
        <v>90</v>
      </c>
      <c r="D3" s="46"/>
      <c r="E3" s="47" t="s">
        <v>91</v>
      </c>
      <c r="F3" s="48">
        <v>0.25</v>
      </c>
    </row>
    <row r="4" spans="1:6" x14ac:dyDescent="0.25">
      <c r="A4" s="50">
        <v>43115</v>
      </c>
      <c r="B4" s="54">
        <v>112.66</v>
      </c>
      <c r="C4" s="56">
        <f>B4*INDEX(Voucher,1)</f>
        <v>28.164999999999999</v>
      </c>
      <c r="D4" s="46"/>
      <c r="E4" s="46"/>
      <c r="F4" s="46"/>
    </row>
    <row r="5" spans="1:6" x14ac:dyDescent="0.25">
      <c r="A5" s="50">
        <v>43121</v>
      </c>
      <c r="B5" s="54">
        <v>17.54</v>
      </c>
      <c r="C5" s="56">
        <f>B5*INDEX(Voucher,1)</f>
        <v>4.3849999999999998</v>
      </c>
      <c r="D5" s="46"/>
      <c r="E5" s="55" t="s">
        <v>92</v>
      </c>
      <c r="F5" s="46"/>
    </row>
    <row r="6" spans="1:6" x14ac:dyDescent="0.25">
      <c r="A6" s="50">
        <v>43163</v>
      </c>
      <c r="B6" s="54">
        <v>96.87</v>
      </c>
      <c r="C6" s="56">
        <f>B6*INDEX(Voucher,1)</f>
        <v>24.217500000000001</v>
      </c>
      <c r="D6" s="46"/>
      <c r="E6" s="46"/>
      <c r="F6" s="46"/>
    </row>
    <row r="7" spans="1:6" x14ac:dyDescent="0.25">
      <c r="A7" s="50">
        <v>43231</v>
      </c>
      <c r="B7" s="54">
        <v>32.78</v>
      </c>
      <c r="C7" s="56">
        <f>B7*INDEX(Voucher,1)</f>
        <v>8.1950000000000003</v>
      </c>
      <c r="D7" s="46"/>
      <c r="E7" s="46"/>
      <c r="F7" s="46"/>
    </row>
    <row r="8" spans="1:6" x14ac:dyDescent="0.25">
      <c r="A8" s="50">
        <v>43249</v>
      </c>
      <c r="B8" s="54">
        <v>56.38</v>
      </c>
      <c r="C8" s="56">
        <f>B8*INDEX(Voucher,1)</f>
        <v>14.095000000000001</v>
      </c>
      <c r="D8" s="46"/>
      <c r="E8" s="46"/>
      <c r="F8" s="46"/>
    </row>
    <row r="9" spans="1:6" x14ac:dyDescent="0.25">
      <c r="A9" s="50">
        <v>43271</v>
      </c>
      <c r="B9" s="54">
        <v>62.94</v>
      </c>
      <c r="C9" s="56">
        <f>B9*INDEX(Voucher,1)</f>
        <v>15.734999999999999</v>
      </c>
      <c r="D9" s="46"/>
      <c r="E9" s="46"/>
      <c r="F9" s="46"/>
    </row>
    <row r="10" spans="1:6" x14ac:dyDescent="0.25">
      <c r="A10" s="50">
        <v>43314</v>
      </c>
      <c r="B10" s="54">
        <v>74.89</v>
      </c>
      <c r="C10" s="56">
        <f>B10*INDEX(Voucher,1)</f>
        <v>18.7225</v>
      </c>
      <c r="D10" s="46"/>
      <c r="E10" s="46"/>
      <c r="F10" s="46"/>
    </row>
    <row r="11" spans="1:6" x14ac:dyDescent="0.25">
      <c r="A11" s="50">
        <v>43330</v>
      </c>
      <c r="B11" s="54">
        <v>13.45</v>
      </c>
      <c r="C11" s="56">
        <f>B11*INDEX(Voucher,1)</f>
        <v>3.3624999999999998</v>
      </c>
      <c r="D11" s="46"/>
      <c r="E11" s="46"/>
      <c r="F11" s="46"/>
    </row>
    <row r="12" spans="1:6" x14ac:dyDescent="0.25">
      <c r="A12" s="50">
        <v>43350</v>
      </c>
      <c r="B12" s="54">
        <v>73.63</v>
      </c>
      <c r="C12" s="56">
        <f>B12*INDEX(Voucher,1)</f>
        <v>18.407499999999999</v>
      </c>
      <c r="D12" s="46"/>
      <c r="E12" s="46"/>
      <c r="F12" s="46"/>
    </row>
    <row r="13" spans="1:6" x14ac:dyDescent="0.25">
      <c r="A13" s="50">
        <v>43376</v>
      </c>
      <c r="B13" s="54">
        <v>93.86</v>
      </c>
      <c r="C13" s="56">
        <f>B13*INDEX(Voucher,1)</f>
        <v>23.465</v>
      </c>
      <c r="D13" s="46"/>
      <c r="E13" s="46"/>
      <c r="F13" s="46"/>
    </row>
    <row r="14" spans="1:6" x14ac:dyDescent="0.25">
      <c r="A14" s="50">
        <v>43402</v>
      </c>
      <c r="B14" s="54">
        <v>52.11</v>
      </c>
      <c r="C14" s="56">
        <f>B14*INDEX(Voucher,1)</f>
        <v>13.0275</v>
      </c>
      <c r="D14" s="46"/>
      <c r="E14" s="46"/>
      <c r="F14" s="46"/>
    </row>
    <row r="15" spans="1:6" x14ac:dyDescent="0.25">
      <c r="A15" s="50">
        <v>43442</v>
      </c>
      <c r="B15" s="54">
        <v>143.66999999999999</v>
      </c>
      <c r="C15" s="56">
        <f>B15*INDEX(Voucher,1)</f>
        <v>35.917499999999997</v>
      </c>
      <c r="D15" s="46"/>
      <c r="E15" s="46"/>
      <c r="F15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CEBF-320D-489A-AA8A-78BAA3ADE574}">
  <dimension ref="A1:E12"/>
  <sheetViews>
    <sheetView tabSelected="1" workbookViewId="0">
      <selection activeCell="D25" sqref="D25"/>
    </sheetView>
  </sheetViews>
  <sheetFormatPr defaultRowHeight="15" x14ac:dyDescent="0.25"/>
  <cols>
    <col min="1" max="1" width="24.140625" customWidth="1"/>
  </cols>
  <sheetData>
    <row r="1" spans="1:5" ht="15.75" x14ac:dyDescent="0.25">
      <c r="A1" s="58" t="s">
        <v>93</v>
      </c>
      <c r="B1" s="57"/>
      <c r="C1" s="57"/>
      <c r="D1" s="57"/>
      <c r="E1" s="57"/>
    </row>
    <row r="3" spans="1:5" x14ac:dyDescent="0.25">
      <c r="A3" s="57"/>
      <c r="B3" s="59" t="s">
        <v>49</v>
      </c>
      <c r="C3" s="59" t="s">
        <v>61</v>
      </c>
      <c r="D3" s="59" t="s">
        <v>94</v>
      </c>
      <c r="E3" s="59" t="s">
        <v>95</v>
      </c>
    </row>
    <row r="4" spans="1:5" x14ac:dyDescent="0.25">
      <c r="A4" s="57" t="s">
        <v>96</v>
      </c>
      <c r="B4" s="60">
        <v>300</v>
      </c>
      <c r="C4" s="56">
        <f>B4*INDEX(muffin,2)</f>
        <v>525</v>
      </c>
      <c r="D4" s="56">
        <f>(INDEX(muffin,1)*B4)+(INDEX(muffin,3)*B4)</f>
        <v>240</v>
      </c>
      <c r="E4" s="56">
        <f>C4-D4</f>
        <v>285</v>
      </c>
    </row>
    <row r="5" spans="1:5" x14ac:dyDescent="0.25">
      <c r="A5" s="57" t="s">
        <v>97</v>
      </c>
      <c r="B5" s="60">
        <v>200</v>
      </c>
      <c r="C5" s="56">
        <f>B5*INDEX(muffin,2)</f>
        <v>350</v>
      </c>
      <c r="D5" s="56">
        <f>(INDEX(muffin,1)*B5)+(INDEX(muffin,3)*B5)</f>
        <v>160</v>
      </c>
      <c r="E5" s="56">
        <f t="shared" ref="E5:E6" si="0">C5-D5</f>
        <v>190</v>
      </c>
    </row>
    <row r="6" spans="1:5" x14ac:dyDescent="0.25">
      <c r="A6" s="57" t="s">
        <v>98</v>
      </c>
      <c r="B6" s="60">
        <v>450</v>
      </c>
      <c r="C6" s="56">
        <f>B6*INDEX(muffin,2)</f>
        <v>787.5</v>
      </c>
      <c r="D6" s="56">
        <f>(INDEX(muffin,1)*B6)+(INDEX(muffin,3)*B6)</f>
        <v>360</v>
      </c>
      <c r="E6" s="56">
        <f t="shared" si="0"/>
        <v>427.5</v>
      </c>
    </row>
    <row r="9" spans="1:5" x14ac:dyDescent="0.25">
      <c r="A9" s="57" t="s">
        <v>99</v>
      </c>
      <c r="B9" s="56">
        <v>0.32</v>
      </c>
      <c r="C9" s="57"/>
      <c r="D9" s="57"/>
      <c r="E9" s="57"/>
    </row>
    <row r="10" spans="1:5" x14ac:dyDescent="0.25">
      <c r="A10" s="57" t="s">
        <v>100</v>
      </c>
      <c r="B10" s="56">
        <v>1.75</v>
      </c>
      <c r="C10" s="57"/>
      <c r="D10" s="57"/>
      <c r="E10" s="57"/>
    </row>
    <row r="11" spans="1:5" x14ac:dyDescent="0.25">
      <c r="A11" s="57" t="s">
        <v>101</v>
      </c>
      <c r="B11" s="56">
        <v>0.48</v>
      </c>
      <c r="C11" s="57"/>
      <c r="D11" s="57"/>
      <c r="E11" s="57"/>
    </row>
    <row r="12" spans="1:5" x14ac:dyDescent="0.25">
      <c r="A12" s="61" t="s">
        <v>102</v>
      </c>
      <c r="B12" s="57"/>
      <c r="C12" s="57"/>
      <c r="D12" s="57"/>
      <c r="E12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6</vt:i4>
      </vt:variant>
    </vt:vector>
  </HeadingPairs>
  <TitlesOfParts>
    <vt:vector size="12" baseType="lpstr">
      <vt:lpstr>Sheet1</vt:lpstr>
      <vt:lpstr>Forecasting</vt:lpstr>
      <vt:lpstr>Welsh Concert Ticket Sales</vt:lpstr>
      <vt:lpstr>Archery Shoot-out Competition</vt:lpstr>
      <vt:lpstr>Club Card Vouchers</vt:lpstr>
      <vt:lpstr>Muffin Man</vt:lpstr>
      <vt:lpstr>Mój_zakres</vt:lpstr>
      <vt:lpstr>muffin</vt:lpstr>
      <vt:lpstr>scoring_points</vt:lpstr>
      <vt:lpstr>Voucher</vt:lpstr>
      <vt:lpstr>zakres2</vt:lpstr>
      <vt:lpstr>zakres3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dcterms:created xsi:type="dcterms:W3CDTF">2018-02-08T15:55:15Z</dcterms:created>
  <dcterms:modified xsi:type="dcterms:W3CDTF">2023-12-20T18:17:58Z</dcterms:modified>
</cp:coreProperties>
</file>