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rc54\Downloads\"/>
    </mc:Choice>
  </mc:AlternateContent>
  <xr:revisionPtr revIDLastSave="0" documentId="13_ncr:1_{74F14805-9DDD-4CE7-8B83-44EB5CC3C6A1}" xr6:coauthVersionLast="47" xr6:coauthVersionMax="47" xr10:uidLastSave="{00000000-0000-0000-0000-000000000000}"/>
  <bookViews>
    <workbookView xWindow="-120" yWindow="-120" windowWidth="20730" windowHeight="11160" xr2:uid="{00000000-000D-0000-FFFF-FFFF00000000}"/>
  </bookViews>
  <sheets>
    <sheet name="Learnsets" sheetId="1" r:id="rId1"/>
    <sheet name="Moves" sheetId="2" r:id="rId2"/>
    <sheet name="TMHM" sheetId="3" r:id="rId3"/>
    <sheet name="Base Stats" sheetId="4" r:id="rId4"/>
    <sheet name="Type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 i="5" l="1"/>
  <c r="A18" i="5"/>
  <c r="A17" i="5"/>
  <c r="A16" i="5"/>
  <c r="A15" i="5"/>
  <c r="A14" i="5"/>
  <c r="A13" i="5"/>
  <c r="A12" i="5"/>
  <c r="A11" i="5"/>
  <c r="A10" i="5"/>
  <c r="A9" i="5"/>
  <c r="A8" i="5"/>
  <c r="A7" i="5"/>
  <c r="A6" i="5"/>
  <c r="A5" i="5"/>
  <c r="A4" i="5"/>
  <c r="A3" i="5"/>
  <c r="A2" i="5"/>
  <c r="K19" i="4"/>
  <c r="J19" i="4"/>
  <c r="I19" i="4" a="1"/>
  <c r="I19" i="4"/>
  <c r="H19" i="4" a="1"/>
  <c r="H19" i="4" s="1"/>
  <c r="G19" i="4"/>
  <c r="F19" i="4"/>
  <c r="E19" i="4"/>
  <c r="D19" i="4"/>
  <c r="C19" i="4"/>
  <c r="B19" i="4"/>
  <c r="K18" i="4"/>
  <c r="J18" i="4"/>
  <c r="I18" i="4" a="1"/>
  <c r="I18" i="4" s="1"/>
  <c r="H18" i="4" a="1"/>
  <c r="H18" i="4" s="1"/>
  <c r="G18" i="4"/>
  <c r="F18" i="4"/>
  <c r="E18" i="4"/>
  <c r="D18" i="4"/>
  <c r="C18" i="4"/>
  <c r="B18" i="4"/>
  <c r="K17" i="4"/>
  <c r="J17" i="4"/>
  <c r="I17" i="4" a="1"/>
  <c r="I17" i="4"/>
  <c r="H17" i="4" a="1"/>
  <c r="H17" i="4" s="1"/>
  <c r="G17" i="4"/>
  <c r="F17" i="4"/>
  <c r="E17" i="4"/>
  <c r="D17" i="4"/>
  <c r="C17" i="4"/>
  <c r="B17" i="4"/>
  <c r="K16" i="4"/>
  <c r="J16" i="4"/>
  <c r="I16" i="4" a="1"/>
  <c r="I16" i="4" s="1"/>
  <c r="H16" i="4" a="1"/>
  <c r="H16" i="4" s="1"/>
  <c r="G16" i="4"/>
  <c r="F16" i="4"/>
  <c r="E16" i="4"/>
  <c r="D16" i="4"/>
  <c r="C16" i="4"/>
  <c r="B16" i="4"/>
  <c r="K15" i="4"/>
  <c r="J15" i="4"/>
  <c r="I15" i="4" a="1"/>
  <c r="I15" i="4"/>
  <c r="H15" i="4" a="1"/>
  <c r="H15" i="4" s="1"/>
  <c r="G15" i="4"/>
  <c r="F15" i="4"/>
  <c r="E15" i="4"/>
  <c r="D15" i="4"/>
  <c r="C15" i="4"/>
  <c r="B15" i="4"/>
  <c r="K14" i="4"/>
  <c r="J14" i="4"/>
  <c r="I14" i="4" a="1"/>
  <c r="I14" i="4" s="1"/>
  <c r="H14" i="4" a="1"/>
  <c r="H14" i="4" s="1"/>
  <c r="G14" i="4"/>
  <c r="F14" i="4"/>
  <c r="E14" i="4"/>
  <c r="D14" i="4"/>
  <c r="C14" i="4"/>
  <c r="B14" i="4"/>
  <c r="K13" i="4"/>
  <c r="J13" i="4"/>
  <c r="I13" i="4" a="1"/>
  <c r="I13" i="4"/>
  <c r="H13" i="4" a="1"/>
  <c r="H13" i="4" s="1"/>
  <c r="G13" i="4"/>
  <c r="F13" i="4"/>
  <c r="E13" i="4"/>
  <c r="D13" i="4"/>
  <c r="C13" i="4"/>
  <c r="B13" i="4"/>
  <c r="K12" i="4"/>
  <c r="J12" i="4"/>
  <c r="I12" i="4" a="1"/>
  <c r="I12" i="4" s="1"/>
  <c r="H12" i="4" a="1"/>
  <c r="H12" i="4" s="1"/>
  <c r="G12" i="4"/>
  <c r="F12" i="4"/>
  <c r="E12" i="4"/>
  <c r="D12" i="4"/>
  <c r="C12" i="4"/>
  <c r="B12" i="4"/>
  <c r="K11" i="4"/>
  <c r="J11" i="4"/>
  <c r="I11" i="4" a="1"/>
  <c r="I11" i="4"/>
  <c r="H11" i="4" a="1"/>
  <c r="H11" i="4" s="1"/>
  <c r="G11" i="4"/>
  <c r="F11" i="4"/>
  <c r="E11" i="4"/>
  <c r="D11" i="4"/>
  <c r="C11" i="4"/>
  <c r="B11" i="4"/>
  <c r="K10" i="4"/>
  <c r="J10" i="4"/>
  <c r="I10" i="4" a="1"/>
  <c r="I10" i="4" s="1"/>
  <c r="H10" i="4" a="1"/>
  <c r="H10" i="4" s="1"/>
  <c r="G10" i="4"/>
  <c r="F10" i="4"/>
  <c r="E10" i="4"/>
  <c r="D10" i="4"/>
  <c r="C10" i="4"/>
  <c r="B10" i="4"/>
  <c r="K9" i="4"/>
  <c r="J9" i="4"/>
  <c r="I9" i="4" a="1"/>
  <c r="I9" i="4"/>
  <c r="H9" i="4" a="1"/>
  <c r="H9" i="4" s="1"/>
  <c r="G9" i="4"/>
  <c r="F9" i="4"/>
  <c r="E9" i="4"/>
  <c r="D9" i="4"/>
  <c r="C9" i="4"/>
  <c r="B9" i="4"/>
  <c r="K8" i="4"/>
  <c r="J8" i="4"/>
  <c r="I8" i="4" a="1"/>
  <c r="I8" i="4" s="1"/>
  <c r="H8" i="4" a="1"/>
  <c r="H8" i="4" s="1"/>
  <c r="G8" i="4"/>
  <c r="F8" i="4"/>
  <c r="E8" i="4"/>
  <c r="D8" i="4"/>
  <c r="C8" i="4"/>
  <c r="B8" i="4"/>
  <c r="K7" i="4"/>
  <c r="J7" i="4"/>
  <c r="I7" i="4" a="1"/>
  <c r="I7" i="4"/>
  <c r="H7" i="4" a="1"/>
  <c r="H7" i="4" s="1"/>
  <c r="G7" i="4"/>
  <c r="F7" i="4"/>
  <c r="E7" i="4"/>
  <c r="D7" i="4"/>
  <c r="C7" i="4"/>
  <c r="B7" i="4"/>
  <c r="K6" i="4"/>
  <c r="J6" i="4"/>
  <c r="I6" i="4" a="1"/>
  <c r="I6" i="4" s="1"/>
  <c r="H6" i="4" a="1"/>
  <c r="H6" i="4" s="1"/>
  <c r="G6" i="4"/>
  <c r="F6" i="4"/>
  <c r="E6" i="4"/>
  <c r="D6" i="4"/>
  <c r="C6" i="4"/>
  <c r="B6" i="4"/>
  <c r="K5" i="4"/>
  <c r="J5" i="4"/>
  <c r="I5" i="4" a="1"/>
  <c r="I5" i="4"/>
  <c r="H5" i="4" a="1"/>
  <c r="H5" i="4" s="1"/>
  <c r="G5" i="4"/>
  <c r="F5" i="4"/>
  <c r="E5" i="4"/>
  <c r="D5" i="4"/>
  <c r="C5" i="4"/>
  <c r="B5" i="4"/>
  <c r="K4" i="4"/>
  <c r="J4" i="4"/>
  <c r="I4" i="4" a="1"/>
  <c r="I4" i="4" s="1"/>
  <c r="H4" i="4" a="1"/>
  <c r="H4" i="4" s="1"/>
  <c r="G4" i="4"/>
  <c r="F4" i="4"/>
  <c r="E4" i="4"/>
  <c r="D4" i="4"/>
  <c r="C4" i="4"/>
  <c r="B4" i="4"/>
  <c r="K3" i="4"/>
  <c r="J3" i="4"/>
  <c r="I3" i="4" a="1"/>
  <c r="I3" i="4"/>
  <c r="H3" i="4" a="1"/>
  <c r="H3" i="4" s="1"/>
  <c r="G3" i="4"/>
  <c r="F3" i="4"/>
  <c r="E3" i="4"/>
  <c r="D3" i="4"/>
  <c r="C3" i="4"/>
  <c r="B3" i="4"/>
  <c r="K2" i="4"/>
  <c r="J2" i="4"/>
  <c r="I2" i="4" a="1"/>
  <c r="I2" i="4" s="1"/>
  <c r="H2" i="4" a="1"/>
  <c r="H2" i="4" s="1"/>
  <c r="G2" i="4"/>
  <c r="F2" i="4"/>
  <c r="E2" i="4"/>
  <c r="D2" i="4"/>
  <c r="C2" i="4"/>
  <c r="B2" i="4"/>
  <c r="C49" i="3" a="1"/>
  <c r="C49" i="3" s="1"/>
  <c r="A49" i="3"/>
  <c r="C48" i="3" a="1"/>
  <c r="C48" i="3"/>
  <c r="A48" i="3"/>
  <c r="C47" i="3" a="1"/>
  <c r="C47" i="3" s="1"/>
  <c r="A47" i="3"/>
  <c r="C46" i="3" a="1"/>
  <c r="C46" i="3"/>
  <c r="A46" i="3"/>
  <c r="C45" i="3" a="1"/>
  <c r="C45" i="3" s="1"/>
  <c r="A45" i="3"/>
  <c r="C44" i="3" a="1"/>
  <c r="C44" i="3" s="1"/>
  <c r="A44" i="3"/>
  <c r="C43" i="3" a="1"/>
  <c r="C43" i="3"/>
  <c r="A43" i="3"/>
  <c r="C42" i="3" a="1"/>
  <c r="C42" i="3" s="1"/>
  <c r="A42" i="3"/>
  <c r="C41" i="3" a="1"/>
  <c r="C41" i="3" s="1"/>
  <c r="A41" i="3"/>
  <c r="C40" i="3" a="1"/>
  <c r="C40" i="3"/>
  <c r="A40" i="3"/>
  <c r="C39" i="3" a="1"/>
  <c r="C39" i="3"/>
  <c r="A39" i="3"/>
  <c r="C38" i="3" a="1"/>
  <c r="C38" i="3" s="1"/>
  <c r="A38" i="3"/>
  <c r="C37" i="3" a="1"/>
  <c r="C37" i="3"/>
  <c r="A37" i="3"/>
  <c r="C36" i="3" a="1"/>
  <c r="C36" i="3" s="1"/>
  <c r="A36" i="3"/>
  <c r="C35" i="3" a="1"/>
  <c r="C35" i="3"/>
  <c r="A35" i="3"/>
  <c r="C34" i="3" a="1"/>
  <c r="C34" i="3" s="1"/>
  <c r="A34" i="3"/>
  <c r="C33" i="3" a="1"/>
  <c r="C33" i="3" s="1"/>
  <c r="A33" i="3"/>
  <c r="C32" i="3" a="1"/>
  <c r="C32" i="3"/>
  <c r="A32" i="3"/>
  <c r="C31" i="3" a="1"/>
  <c r="C31" i="3"/>
  <c r="G1477" i="1" s="1"/>
  <c r="A31" i="3"/>
  <c r="C30" i="3" a="1"/>
  <c r="C30" i="3" s="1"/>
  <c r="A30" i="3"/>
  <c r="C29" i="3" a="1"/>
  <c r="C29" i="3"/>
  <c r="G1333" i="1" s="1"/>
  <c r="A29" i="3"/>
  <c r="C28" i="3" a="1"/>
  <c r="C28" i="3" s="1"/>
  <c r="A28" i="3"/>
  <c r="C27" i="3" a="1"/>
  <c r="C27" i="3"/>
  <c r="A27" i="3"/>
  <c r="C26" i="3" a="1"/>
  <c r="C26" i="3" s="1"/>
  <c r="G1475" i="1" s="1"/>
  <c r="A26" i="3"/>
  <c r="C25" i="3" a="1"/>
  <c r="C25" i="3" s="1"/>
  <c r="G1463" i="1" s="1"/>
  <c r="A25" i="3"/>
  <c r="C24" i="3" a="1"/>
  <c r="C24" i="3"/>
  <c r="A24" i="3"/>
  <c r="C23" i="3" a="1"/>
  <c r="C23" i="3"/>
  <c r="G1511" i="1" s="1"/>
  <c r="A23" i="3"/>
  <c r="C22" i="3" a="1"/>
  <c r="C22" i="3" s="1"/>
  <c r="A22" i="3"/>
  <c r="C21" i="3" a="1"/>
  <c r="C21" i="3"/>
  <c r="A21" i="3"/>
  <c r="C20" i="3" a="1"/>
  <c r="C20" i="3" s="1"/>
  <c r="G102" i="1" s="1"/>
  <c r="A20" i="3"/>
  <c r="C19" i="3" a="1"/>
  <c r="C19" i="3"/>
  <c r="A19" i="3"/>
  <c r="C18" i="3" a="1"/>
  <c r="C18" i="3" s="1"/>
  <c r="A18" i="3"/>
  <c r="C17" i="3" a="1"/>
  <c r="C17" i="3" s="1"/>
  <c r="A17" i="3"/>
  <c r="C16" i="3" a="1"/>
  <c r="C16" i="3"/>
  <c r="G1312" i="1" s="1"/>
  <c r="A16" i="3"/>
  <c r="C15" i="3" a="1"/>
  <c r="C15" i="3"/>
  <c r="G1470" i="1" s="1"/>
  <c r="A15" i="3"/>
  <c r="C14" i="3" a="1"/>
  <c r="C14" i="3" s="1"/>
  <c r="A14" i="3"/>
  <c r="C13" i="3" a="1"/>
  <c r="C13" i="3" s="1"/>
  <c r="A13" i="3"/>
  <c r="C12" i="3" a="1"/>
  <c r="C12" i="3" s="1"/>
  <c r="A12" i="3"/>
  <c r="C11" i="3" a="1"/>
  <c r="C11" i="3"/>
  <c r="A11" i="3"/>
  <c r="C10" i="3" a="1"/>
  <c r="C10" i="3" s="1"/>
  <c r="A10" i="3"/>
  <c r="C7" i="3" a="1"/>
  <c r="C7" i="3" s="1"/>
  <c r="A7" i="3"/>
  <c r="C6" i="3" a="1"/>
  <c r="C6" i="3"/>
  <c r="A6" i="3"/>
  <c r="C5" i="3" a="1"/>
  <c r="C5" i="3"/>
  <c r="I1252" i="1" s="1"/>
  <c r="A5" i="3"/>
  <c r="C4" i="3" a="1"/>
  <c r="C4" i="3" s="1"/>
  <c r="A4" i="3"/>
  <c r="C3" i="3" a="1"/>
  <c r="C3" i="3"/>
  <c r="A3" i="3"/>
  <c r="H177" i="2"/>
  <c r="G177" i="2"/>
  <c r="E177" i="2"/>
  <c r="D177" i="2"/>
  <c r="C177" i="2"/>
  <c r="A177" i="2"/>
  <c r="H176" i="2"/>
  <c r="E176" i="2"/>
  <c r="D176" i="2"/>
  <c r="C176" i="2"/>
  <c r="A176" i="2"/>
  <c r="H175" i="2"/>
  <c r="E175" i="2"/>
  <c r="D175" i="2"/>
  <c r="C175" i="2"/>
  <c r="A175" i="2"/>
  <c r="H174" i="2"/>
  <c r="G174" i="2"/>
  <c r="E174" i="2"/>
  <c r="D174" i="2"/>
  <c r="C174" i="2"/>
  <c r="A174" i="2"/>
  <c r="H173" i="2"/>
  <c r="G173" i="2"/>
  <c r="E173" i="2"/>
  <c r="D173" i="2"/>
  <c r="C173" i="2"/>
  <c r="A173" i="2"/>
  <c r="H172" i="2"/>
  <c r="E172" i="2"/>
  <c r="D172" i="2"/>
  <c r="C172" i="2"/>
  <c r="A172" i="2"/>
  <c r="H171" i="2"/>
  <c r="E171" i="2"/>
  <c r="D171" i="2"/>
  <c r="C171" i="2"/>
  <c r="A171" i="2"/>
  <c r="H170" i="2"/>
  <c r="G170" i="2"/>
  <c r="E170" i="2"/>
  <c r="D170" i="2"/>
  <c r="C170" i="2"/>
  <c r="A170" i="2"/>
  <c r="H169" i="2"/>
  <c r="G169" i="2"/>
  <c r="E169" i="2"/>
  <c r="D169" i="2"/>
  <c r="C169" i="2"/>
  <c r="A169" i="2"/>
  <c r="H168" i="2"/>
  <c r="G168" i="2"/>
  <c r="E168" i="2"/>
  <c r="D168" i="2"/>
  <c r="C168" i="2"/>
  <c r="A168" i="2"/>
  <c r="H167" i="2"/>
  <c r="E167" i="2"/>
  <c r="D167" i="2"/>
  <c r="C167" i="2"/>
  <c r="A167" i="2"/>
  <c r="H166" i="2"/>
  <c r="G166" i="2"/>
  <c r="E166" i="2"/>
  <c r="D166" i="2"/>
  <c r="C166" i="2"/>
  <c r="A166" i="2"/>
  <c r="H165" i="2"/>
  <c r="G165" i="2"/>
  <c r="E165" i="2"/>
  <c r="D165" i="2"/>
  <c r="C165" i="2"/>
  <c r="A165" i="2"/>
  <c r="H164" i="2"/>
  <c r="G164" i="2"/>
  <c r="E164" i="2"/>
  <c r="D164" i="2"/>
  <c r="C164" i="2"/>
  <c r="A164" i="2"/>
  <c r="H163" i="2"/>
  <c r="G163" i="2"/>
  <c r="E163" i="2"/>
  <c r="D163" i="2"/>
  <c r="C163" i="2"/>
  <c r="A163" i="2"/>
  <c r="H162" i="2"/>
  <c r="G162" i="2"/>
  <c r="E162" i="2"/>
  <c r="D162" i="2"/>
  <c r="C162" i="2"/>
  <c r="A162" i="2"/>
  <c r="H161" i="2"/>
  <c r="G161" i="2"/>
  <c r="E161" i="2"/>
  <c r="D161" i="2"/>
  <c r="C161" i="2"/>
  <c r="A161" i="2"/>
  <c r="H160" i="2"/>
  <c r="G160" i="2"/>
  <c r="E160" i="2"/>
  <c r="D160" i="2"/>
  <c r="C160" i="2"/>
  <c r="A160" i="2"/>
  <c r="H159" i="2"/>
  <c r="G159" i="2"/>
  <c r="E159" i="2"/>
  <c r="D159" i="2"/>
  <c r="C159" i="2"/>
  <c r="A159" i="2"/>
  <c r="H158" i="2"/>
  <c r="G158" i="2"/>
  <c r="E158" i="2"/>
  <c r="D158" i="2"/>
  <c r="C158" i="2"/>
  <c r="A158" i="2"/>
  <c r="H157" i="2"/>
  <c r="G157" i="2"/>
  <c r="E157" i="2"/>
  <c r="D157" i="2"/>
  <c r="C157" i="2"/>
  <c r="A157" i="2"/>
  <c r="H156" i="2"/>
  <c r="G156" i="2"/>
  <c r="E156" i="2"/>
  <c r="D156" i="2"/>
  <c r="C156" i="2"/>
  <c r="A156" i="2"/>
  <c r="H155" i="2"/>
  <c r="E155" i="2"/>
  <c r="D155" i="2"/>
  <c r="C155" i="2"/>
  <c r="A155" i="2"/>
  <c r="H154" i="2"/>
  <c r="E154" i="2"/>
  <c r="D154" i="2"/>
  <c r="C154" i="2"/>
  <c r="A154" i="2"/>
  <c r="H153" i="2"/>
  <c r="G153" i="2"/>
  <c r="E153" i="2"/>
  <c r="D153" i="2"/>
  <c r="C153" i="2"/>
  <c r="A153" i="2"/>
  <c r="H152" i="2"/>
  <c r="E152" i="2"/>
  <c r="D152" i="2"/>
  <c r="C152" i="2"/>
  <c r="A152" i="2"/>
  <c r="H151" i="2"/>
  <c r="E151" i="2"/>
  <c r="D151" i="2"/>
  <c r="C151" i="2"/>
  <c r="A151" i="2"/>
  <c r="H150" i="2"/>
  <c r="G150" i="2"/>
  <c r="E150" i="2"/>
  <c r="D150" i="2"/>
  <c r="C150" i="2"/>
  <c r="A150" i="2"/>
  <c r="H149" i="2"/>
  <c r="G149" i="2"/>
  <c r="E149" i="2"/>
  <c r="D149" i="2"/>
  <c r="C149" i="2"/>
  <c r="A149" i="2"/>
  <c r="H148" i="2"/>
  <c r="G148" i="2"/>
  <c r="E148" i="2"/>
  <c r="D148" i="2"/>
  <c r="C148" i="2"/>
  <c r="A148" i="2"/>
  <c r="H147" i="2"/>
  <c r="G147" i="2"/>
  <c r="E147" i="2"/>
  <c r="D147" i="2"/>
  <c r="C147" i="2"/>
  <c r="A147" i="2"/>
  <c r="H146" i="2"/>
  <c r="G146" i="2"/>
  <c r="E146" i="2"/>
  <c r="D146" i="2"/>
  <c r="C146" i="2"/>
  <c r="A146" i="2"/>
  <c r="H145" i="2"/>
  <c r="G145" i="2"/>
  <c r="E145" i="2"/>
  <c r="D145" i="2"/>
  <c r="C145" i="2"/>
  <c r="A145" i="2"/>
  <c r="H144" i="2"/>
  <c r="E144" i="2"/>
  <c r="D144" i="2"/>
  <c r="C144" i="2"/>
  <c r="A144" i="2"/>
  <c r="H143" i="2"/>
  <c r="E143" i="2"/>
  <c r="D143" i="2"/>
  <c r="C143" i="2"/>
  <c r="A143" i="2"/>
  <c r="H142" i="2"/>
  <c r="G142" i="2"/>
  <c r="E142" i="2"/>
  <c r="D142" i="2"/>
  <c r="C142" i="2"/>
  <c r="A142" i="2"/>
  <c r="H141" i="2"/>
  <c r="G141" i="2"/>
  <c r="E141" i="2"/>
  <c r="D141" i="2"/>
  <c r="C141" i="2"/>
  <c r="A141" i="2"/>
  <c r="H140" i="2"/>
  <c r="E140" i="2"/>
  <c r="D140" i="2"/>
  <c r="C140" i="2"/>
  <c r="A140" i="2"/>
  <c r="H139" i="2"/>
  <c r="G139" i="2"/>
  <c r="E139" i="2"/>
  <c r="D139" i="2"/>
  <c r="C139" i="2"/>
  <c r="A139" i="2"/>
  <c r="H138" i="2"/>
  <c r="G138" i="2"/>
  <c r="E138" i="2"/>
  <c r="D138" i="2"/>
  <c r="C138" i="2"/>
  <c r="A138" i="2"/>
  <c r="H137" i="2"/>
  <c r="G137" i="2"/>
  <c r="E137" i="2"/>
  <c r="D137" i="2"/>
  <c r="C137" i="2"/>
  <c r="A137" i="2"/>
  <c r="H136" i="2"/>
  <c r="G136" i="2"/>
  <c r="E136" i="2"/>
  <c r="D136" i="2"/>
  <c r="C136" i="2"/>
  <c r="A136" i="2"/>
  <c r="H135" i="2"/>
  <c r="G135" i="2"/>
  <c r="E135" i="2"/>
  <c r="D135" i="2"/>
  <c r="C135" i="2"/>
  <c r="A135" i="2"/>
  <c r="H134" i="2"/>
  <c r="G134" i="2"/>
  <c r="E134" i="2"/>
  <c r="D134" i="2"/>
  <c r="C134" i="2"/>
  <c r="A134" i="2"/>
  <c r="H133" i="2"/>
  <c r="G133" i="2"/>
  <c r="E133" i="2"/>
  <c r="D133" i="2"/>
  <c r="C133" i="2"/>
  <c r="A133" i="2"/>
  <c r="H132" i="2"/>
  <c r="G132" i="2"/>
  <c r="E132" i="2"/>
  <c r="D132" i="2"/>
  <c r="C132" i="2"/>
  <c r="A132" i="2"/>
  <c r="H131" i="2"/>
  <c r="G131" i="2"/>
  <c r="E131" i="2"/>
  <c r="D131" i="2"/>
  <c r="C131" i="2"/>
  <c r="A131" i="2"/>
  <c r="H130" i="2"/>
  <c r="G130" i="2"/>
  <c r="E130" i="2"/>
  <c r="D130" i="2"/>
  <c r="C130" i="2"/>
  <c r="A130" i="2"/>
  <c r="H129" i="2"/>
  <c r="G129" i="2"/>
  <c r="E129" i="2"/>
  <c r="D129" i="2"/>
  <c r="C129" i="2"/>
  <c r="A129" i="2"/>
  <c r="H128" i="2"/>
  <c r="G128" i="2"/>
  <c r="E128" i="2"/>
  <c r="D128" i="2"/>
  <c r="C128" i="2"/>
  <c r="A128" i="2"/>
  <c r="H127" i="2"/>
  <c r="E127" i="2"/>
  <c r="D127" i="2"/>
  <c r="C127" i="2"/>
  <c r="A127" i="2"/>
  <c r="H126" i="2"/>
  <c r="E126" i="2"/>
  <c r="D126" i="2"/>
  <c r="C126" i="2"/>
  <c r="A126" i="2"/>
  <c r="H125" i="2"/>
  <c r="G125" i="2"/>
  <c r="E125" i="2"/>
  <c r="D125" i="2"/>
  <c r="C125" i="2"/>
  <c r="A125" i="2"/>
  <c r="H124" i="2"/>
  <c r="G124" i="2"/>
  <c r="E124" i="2"/>
  <c r="D124" i="2"/>
  <c r="C124" i="2"/>
  <c r="A124" i="2"/>
  <c r="H123" i="2"/>
  <c r="G123" i="2"/>
  <c r="E123" i="2"/>
  <c r="D123" i="2"/>
  <c r="C123" i="2"/>
  <c r="A123" i="2"/>
  <c r="H122" i="2"/>
  <c r="G122" i="2"/>
  <c r="E122" i="2"/>
  <c r="D122" i="2"/>
  <c r="C122" i="2"/>
  <c r="A122" i="2"/>
  <c r="H121" i="2"/>
  <c r="G121" i="2"/>
  <c r="E121" i="2"/>
  <c r="D121" i="2"/>
  <c r="C121" i="2"/>
  <c r="A121" i="2"/>
  <c r="H120" i="2"/>
  <c r="E120" i="2"/>
  <c r="D120" i="2"/>
  <c r="C120" i="2"/>
  <c r="A120" i="2"/>
  <c r="H119" i="2"/>
  <c r="G119" i="2"/>
  <c r="E119" i="2"/>
  <c r="D119" i="2"/>
  <c r="C119" i="2"/>
  <c r="A119" i="2"/>
  <c r="H118" i="2"/>
  <c r="G118" i="2"/>
  <c r="E118" i="2"/>
  <c r="D118" i="2"/>
  <c r="C118" i="2"/>
  <c r="A118" i="2"/>
  <c r="H117" i="2"/>
  <c r="G117" i="2"/>
  <c r="E117" i="2"/>
  <c r="D117" i="2"/>
  <c r="C117" i="2"/>
  <c r="A117" i="2"/>
  <c r="H116" i="2"/>
  <c r="G116" i="2"/>
  <c r="E116" i="2"/>
  <c r="D116" i="2"/>
  <c r="C116" i="2"/>
  <c r="A116" i="2"/>
  <c r="H115" i="2"/>
  <c r="G115" i="2"/>
  <c r="E115" i="2"/>
  <c r="D115" i="2"/>
  <c r="C115" i="2"/>
  <c r="A115" i="2"/>
  <c r="H114" i="2"/>
  <c r="E114" i="2"/>
  <c r="D114" i="2"/>
  <c r="C114" i="2"/>
  <c r="A114" i="2"/>
  <c r="H113" i="2"/>
  <c r="G113" i="2"/>
  <c r="E113" i="2"/>
  <c r="D113" i="2"/>
  <c r="C113" i="2"/>
  <c r="A113" i="2"/>
  <c r="H112" i="2"/>
  <c r="G112" i="2"/>
  <c r="E112" i="2"/>
  <c r="D112" i="2"/>
  <c r="C112" i="2"/>
  <c r="A112" i="2"/>
  <c r="H111" i="2"/>
  <c r="G111" i="2"/>
  <c r="E111" i="2"/>
  <c r="D111" i="2"/>
  <c r="C111" i="2"/>
  <c r="A111" i="2"/>
  <c r="H110" i="2"/>
  <c r="G110" i="2"/>
  <c r="E110" i="2"/>
  <c r="D110" i="2"/>
  <c r="C110" i="2"/>
  <c r="A110" i="2"/>
  <c r="H109" i="2"/>
  <c r="E109" i="2"/>
  <c r="D109" i="2"/>
  <c r="C109" i="2"/>
  <c r="A109" i="2"/>
  <c r="H108" i="2"/>
  <c r="G108" i="2"/>
  <c r="E108" i="2"/>
  <c r="D108" i="2"/>
  <c r="C108" i="2"/>
  <c r="A108" i="2"/>
  <c r="H107" i="2"/>
  <c r="E107" i="2"/>
  <c r="D107" i="2"/>
  <c r="C107" i="2"/>
  <c r="A107" i="2"/>
  <c r="H106" i="2"/>
  <c r="G106" i="2"/>
  <c r="E106" i="2"/>
  <c r="D106" i="2"/>
  <c r="C106" i="2"/>
  <c r="A106" i="2"/>
  <c r="H105" i="2"/>
  <c r="G105" i="2"/>
  <c r="E105" i="2"/>
  <c r="D105" i="2"/>
  <c r="C105" i="2"/>
  <c r="A105" i="2"/>
  <c r="H104" i="2"/>
  <c r="G104" i="2"/>
  <c r="E104" i="2"/>
  <c r="D104" i="2"/>
  <c r="C104" i="2"/>
  <c r="A104" i="2"/>
  <c r="H103" i="2"/>
  <c r="G103" i="2"/>
  <c r="E103" i="2"/>
  <c r="D103" i="2"/>
  <c r="C103" i="2"/>
  <c r="A103" i="2"/>
  <c r="H102" i="2"/>
  <c r="E102" i="2"/>
  <c r="D102" i="2"/>
  <c r="C102" i="2"/>
  <c r="A102" i="2"/>
  <c r="H101" i="2"/>
  <c r="G101" i="2"/>
  <c r="E101" i="2"/>
  <c r="D101" i="2"/>
  <c r="C101" i="2"/>
  <c r="A101" i="2"/>
  <c r="H100" i="2"/>
  <c r="E100" i="2"/>
  <c r="D100" i="2"/>
  <c r="C100" i="2"/>
  <c r="A100" i="2"/>
  <c r="H99" i="2"/>
  <c r="G99" i="2"/>
  <c r="E99" i="2"/>
  <c r="D99" i="2"/>
  <c r="C99" i="2"/>
  <c r="A99" i="2"/>
  <c r="H98" i="2"/>
  <c r="E98" i="2"/>
  <c r="D98" i="2"/>
  <c r="C98" i="2"/>
  <c r="A98" i="2"/>
  <c r="H97" i="2"/>
  <c r="G97" i="2"/>
  <c r="E97" i="2"/>
  <c r="D97" i="2"/>
  <c r="C97" i="2"/>
  <c r="A97" i="2"/>
  <c r="H96" i="2"/>
  <c r="G96" i="2"/>
  <c r="E96" i="2"/>
  <c r="D96" i="2"/>
  <c r="C96" i="2"/>
  <c r="A96" i="2"/>
  <c r="H95" i="2"/>
  <c r="G95" i="2"/>
  <c r="E95" i="2"/>
  <c r="D95" i="2"/>
  <c r="C95" i="2"/>
  <c r="A95" i="2"/>
  <c r="H94" i="2"/>
  <c r="G94" i="2"/>
  <c r="E94" i="2"/>
  <c r="D94" i="2"/>
  <c r="C94" i="2"/>
  <c r="A94" i="2"/>
  <c r="H93" i="2"/>
  <c r="G93" i="2"/>
  <c r="E93" i="2"/>
  <c r="D93" i="2"/>
  <c r="C93" i="2"/>
  <c r="A93" i="2"/>
  <c r="H92" i="2"/>
  <c r="E92" i="2"/>
  <c r="D92" i="2"/>
  <c r="C92" i="2"/>
  <c r="A92" i="2"/>
  <c r="H91" i="2"/>
  <c r="E91" i="2"/>
  <c r="D91" i="2"/>
  <c r="C91" i="2"/>
  <c r="A91" i="2"/>
  <c r="H90" i="2"/>
  <c r="G90" i="2"/>
  <c r="E90" i="2"/>
  <c r="D90" i="2"/>
  <c r="C90" i="2"/>
  <c r="A90" i="2"/>
  <c r="H89" i="2"/>
  <c r="G89" i="2"/>
  <c r="E89" i="2"/>
  <c r="D89" i="2"/>
  <c r="C89" i="2"/>
  <c r="A89" i="2"/>
  <c r="H88" i="2"/>
  <c r="G88" i="2"/>
  <c r="E88" i="2"/>
  <c r="D88" i="2"/>
  <c r="C88" i="2"/>
  <c r="A88" i="2"/>
  <c r="H87" i="2"/>
  <c r="G87" i="2"/>
  <c r="E87" i="2"/>
  <c r="D87" i="2"/>
  <c r="C87" i="2"/>
  <c r="A87" i="2"/>
  <c r="H86" i="2"/>
  <c r="G86" i="2"/>
  <c r="E86" i="2"/>
  <c r="D86" i="2"/>
  <c r="C86" i="2"/>
  <c r="A86" i="2"/>
  <c r="H85" i="2"/>
  <c r="E85" i="2"/>
  <c r="D85" i="2"/>
  <c r="C85" i="2"/>
  <c r="A85" i="2"/>
  <c r="H84" i="2"/>
  <c r="G84" i="2"/>
  <c r="E84" i="2"/>
  <c r="D84" i="2"/>
  <c r="C84" i="2"/>
  <c r="A84" i="2"/>
  <c r="H83" i="2"/>
  <c r="G83" i="2"/>
  <c r="E83" i="2"/>
  <c r="D83" i="2"/>
  <c r="C83" i="2"/>
  <c r="A83" i="2"/>
  <c r="H82" i="2"/>
  <c r="G82" i="2"/>
  <c r="E82" i="2"/>
  <c r="D82" i="2"/>
  <c r="C82" i="2"/>
  <c r="A82" i="2"/>
  <c r="H81" i="2"/>
  <c r="G81" i="2"/>
  <c r="E81" i="2"/>
  <c r="D81" i="2"/>
  <c r="C81" i="2"/>
  <c r="A81" i="2"/>
  <c r="H80" i="2"/>
  <c r="G80" i="2"/>
  <c r="E80" i="2"/>
  <c r="D80" i="2"/>
  <c r="C80" i="2"/>
  <c r="A80" i="2"/>
  <c r="H79" i="2"/>
  <c r="G79" i="2"/>
  <c r="E79" i="2"/>
  <c r="D79" i="2"/>
  <c r="C79" i="2"/>
  <c r="A79" i="2"/>
  <c r="H78" i="2"/>
  <c r="G78" i="2"/>
  <c r="E78" i="2"/>
  <c r="D78" i="2"/>
  <c r="C78" i="2"/>
  <c r="A78" i="2"/>
  <c r="H77" i="2"/>
  <c r="G77" i="2"/>
  <c r="E77" i="2"/>
  <c r="D77" i="2"/>
  <c r="C77" i="2"/>
  <c r="A77" i="2"/>
  <c r="H76" i="2"/>
  <c r="G76" i="2"/>
  <c r="E76" i="2"/>
  <c r="D76" i="2"/>
  <c r="C76" i="2"/>
  <c r="A76" i="2"/>
  <c r="H75" i="2"/>
  <c r="G75" i="2"/>
  <c r="E75" i="2"/>
  <c r="D75" i="2"/>
  <c r="C75" i="2"/>
  <c r="A75" i="2"/>
  <c r="H74" i="2"/>
  <c r="G74" i="2"/>
  <c r="E74" i="2"/>
  <c r="D74" i="2"/>
  <c r="C74" i="2"/>
  <c r="A74" i="2"/>
  <c r="H73" i="2"/>
  <c r="G73" i="2"/>
  <c r="E73" i="2"/>
  <c r="D73" i="2"/>
  <c r="C73" i="2"/>
  <c r="A73" i="2"/>
  <c r="H72" i="2"/>
  <c r="G72" i="2"/>
  <c r="E72" i="2"/>
  <c r="D72" i="2"/>
  <c r="C72" i="2"/>
  <c r="A72" i="2"/>
  <c r="H71" i="2"/>
  <c r="G71" i="2"/>
  <c r="E71" i="2"/>
  <c r="D71" i="2"/>
  <c r="C71" i="2"/>
  <c r="A71" i="2"/>
  <c r="H70" i="2"/>
  <c r="G70" i="2"/>
  <c r="E70" i="2"/>
  <c r="D70" i="2"/>
  <c r="C70" i="2"/>
  <c r="A70" i="2"/>
  <c r="H69" i="2"/>
  <c r="G69" i="2"/>
  <c r="E69" i="2"/>
  <c r="D69" i="2"/>
  <c r="C69" i="2"/>
  <c r="A69" i="2"/>
  <c r="H68" i="2"/>
  <c r="G68" i="2"/>
  <c r="E68" i="2"/>
  <c r="D68" i="2"/>
  <c r="C68" i="2"/>
  <c r="A68" i="2"/>
  <c r="H67" i="2"/>
  <c r="G67" i="2"/>
  <c r="E67" i="2"/>
  <c r="D67" i="2"/>
  <c r="C67" i="2"/>
  <c r="A67" i="2"/>
  <c r="H66" i="2"/>
  <c r="G66" i="2"/>
  <c r="E66" i="2"/>
  <c r="D66" i="2"/>
  <c r="C66" i="2"/>
  <c r="A66" i="2"/>
  <c r="H65" i="2"/>
  <c r="G65" i="2"/>
  <c r="E65" i="2"/>
  <c r="D65" i="2"/>
  <c r="C65" i="2"/>
  <c r="A65" i="2"/>
  <c r="H64" i="2"/>
  <c r="G64" i="2"/>
  <c r="E64" i="2"/>
  <c r="D64" i="2"/>
  <c r="C64" i="2"/>
  <c r="A64" i="2"/>
  <c r="H63" i="2"/>
  <c r="G63" i="2"/>
  <c r="E63" i="2"/>
  <c r="D63" i="2"/>
  <c r="C63" i="2"/>
  <c r="A63" i="2"/>
  <c r="H62" i="2"/>
  <c r="G62" i="2"/>
  <c r="E62" i="2"/>
  <c r="D62" i="2"/>
  <c r="C62" i="2"/>
  <c r="A62" i="2"/>
  <c r="H61" i="2"/>
  <c r="G61" i="2"/>
  <c r="E61" i="2"/>
  <c r="D61" i="2"/>
  <c r="C61" i="2"/>
  <c r="A61" i="2"/>
  <c r="H60" i="2"/>
  <c r="G60" i="2"/>
  <c r="E60" i="2"/>
  <c r="D60" i="2"/>
  <c r="C60" i="2"/>
  <c r="A60" i="2"/>
  <c r="H59" i="2"/>
  <c r="G59" i="2"/>
  <c r="E59" i="2"/>
  <c r="D59" i="2"/>
  <c r="C59" i="2"/>
  <c r="A59" i="2"/>
  <c r="H58" i="2"/>
  <c r="G58" i="2"/>
  <c r="E58" i="2"/>
  <c r="D58" i="2"/>
  <c r="C58" i="2"/>
  <c r="A58" i="2"/>
  <c r="H57" i="2"/>
  <c r="G57" i="2"/>
  <c r="E57" i="2"/>
  <c r="D57" i="2"/>
  <c r="C57" i="2"/>
  <c r="A57" i="2"/>
  <c r="H56" i="2"/>
  <c r="G56" i="2"/>
  <c r="E56" i="2"/>
  <c r="D56" i="2"/>
  <c r="C56" i="2"/>
  <c r="A56" i="2"/>
  <c r="H55" i="2"/>
  <c r="G55" i="2"/>
  <c r="E55" i="2"/>
  <c r="D55" i="2"/>
  <c r="C55" i="2"/>
  <c r="A55" i="2"/>
  <c r="H54" i="2"/>
  <c r="G54" i="2"/>
  <c r="E54" i="2"/>
  <c r="D54" i="2"/>
  <c r="C54" i="2"/>
  <c r="A54" i="2"/>
  <c r="H53" i="2"/>
  <c r="G53" i="2"/>
  <c r="E53" i="2"/>
  <c r="D53" i="2"/>
  <c r="C53" i="2"/>
  <c r="A53" i="2"/>
  <c r="H52" i="2"/>
  <c r="E52" i="2"/>
  <c r="D52" i="2"/>
  <c r="C52" i="2"/>
  <c r="A52" i="2"/>
  <c r="H51" i="2"/>
  <c r="G51" i="2"/>
  <c r="E51" i="2"/>
  <c r="D51" i="2"/>
  <c r="C51" i="2"/>
  <c r="A51" i="2"/>
  <c r="H50" i="2"/>
  <c r="G50" i="2"/>
  <c r="E50" i="2"/>
  <c r="D50" i="2"/>
  <c r="C50" i="2"/>
  <c r="A50" i="2"/>
  <c r="H49" i="2"/>
  <c r="G49" i="2"/>
  <c r="E49" i="2"/>
  <c r="D49" i="2"/>
  <c r="C49" i="2"/>
  <c r="A49" i="2"/>
  <c r="H48" i="2"/>
  <c r="G48" i="2"/>
  <c r="E48" i="2"/>
  <c r="D48" i="2"/>
  <c r="C48" i="2"/>
  <c r="A48" i="2"/>
  <c r="H47" i="2"/>
  <c r="G47" i="2"/>
  <c r="E47" i="2"/>
  <c r="D47" i="2"/>
  <c r="C47" i="2"/>
  <c r="A47" i="2"/>
  <c r="H46" i="2"/>
  <c r="G46" i="2"/>
  <c r="E46" i="2"/>
  <c r="D46" i="2"/>
  <c r="C46" i="2"/>
  <c r="A46" i="2"/>
  <c r="H45" i="2"/>
  <c r="G45" i="2"/>
  <c r="E45" i="2"/>
  <c r="D45" i="2"/>
  <c r="C45" i="2"/>
  <c r="A45" i="2"/>
  <c r="H44" i="2"/>
  <c r="G44" i="2"/>
  <c r="E44" i="2"/>
  <c r="D44" i="2"/>
  <c r="C44" i="2"/>
  <c r="A44" i="2"/>
  <c r="H43" i="2"/>
  <c r="G43" i="2"/>
  <c r="E43" i="2"/>
  <c r="D43" i="2"/>
  <c r="C43" i="2"/>
  <c r="A43" i="2"/>
  <c r="H42" i="2"/>
  <c r="G42" i="2"/>
  <c r="E42" i="2"/>
  <c r="D42" i="2"/>
  <c r="C42" i="2"/>
  <c r="A42" i="2"/>
  <c r="H41" i="2"/>
  <c r="G41" i="2"/>
  <c r="E41" i="2"/>
  <c r="D41" i="2"/>
  <c r="C41" i="2"/>
  <c r="A41" i="2"/>
  <c r="H40" i="2"/>
  <c r="G40" i="2"/>
  <c r="E40" i="2"/>
  <c r="D40" i="2"/>
  <c r="C40" i="2"/>
  <c r="A40" i="2"/>
  <c r="H39" i="2"/>
  <c r="G39" i="2"/>
  <c r="E39" i="2"/>
  <c r="D39" i="2"/>
  <c r="C39" i="2"/>
  <c r="A39" i="2"/>
  <c r="H38" i="2"/>
  <c r="G38" i="2"/>
  <c r="E38" i="2"/>
  <c r="D38" i="2"/>
  <c r="C38" i="2"/>
  <c r="A38" i="2"/>
  <c r="H37" i="2"/>
  <c r="E37" i="2"/>
  <c r="D37" i="2"/>
  <c r="C37" i="2"/>
  <c r="A37" i="2"/>
  <c r="H36" i="2"/>
  <c r="G36" i="2"/>
  <c r="E36" i="2"/>
  <c r="D36" i="2"/>
  <c r="C36" i="2"/>
  <c r="A36" i="2"/>
  <c r="H35" i="2"/>
  <c r="G35" i="2"/>
  <c r="E35" i="2"/>
  <c r="D35" i="2"/>
  <c r="C35" i="2"/>
  <c r="A35" i="2"/>
  <c r="H34" i="2"/>
  <c r="G34" i="2"/>
  <c r="E34" i="2"/>
  <c r="D34" i="2"/>
  <c r="C34" i="2"/>
  <c r="A34" i="2"/>
  <c r="H33" i="2"/>
  <c r="G33" i="2"/>
  <c r="E33" i="2"/>
  <c r="D33" i="2"/>
  <c r="C33" i="2"/>
  <c r="A33" i="2"/>
  <c r="H32" i="2"/>
  <c r="G32" i="2"/>
  <c r="E32" i="2"/>
  <c r="D32" i="2"/>
  <c r="C32" i="2"/>
  <c r="A32" i="2"/>
  <c r="H31" i="2"/>
  <c r="G31" i="2"/>
  <c r="E31" i="2"/>
  <c r="D31" i="2"/>
  <c r="C31" i="2"/>
  <c r="A31" i="2"/>
  <c r="H30" i="2"/>
  <c r="G30" i="2"/>
  <c r="E30" i="2"/>
  <c r="D30" i="2"/>
  <c r="C30" i="2"/>
  <c r="A30" i="2"/>
  <c r="H29" i="2"/>
  <c r="G29" i="2"/>
  <c r="E29" i="2"/>
  <c r="D29" i="2"/>
  <c r="C29" i="2"/>
  <c r="A29" i="2"/>
  <c r="H28" i="2"/>
  <c r="G28" i="2"/>
  <c r="E28" i="2"/>
  <c r="D28" i="2"/>
  <c r="C28" i="2"/>
  <c r="A28" i="2"/>
  <c r="H27" i="2"/>
  <c r="G27" i="2"/>
  <c r="E27" i="2"/>
  <c r="D27" i="2"/>
  <c r="C27" i="2"/>
  <c r="A27" i="2"/>
  <c r="H26" i="2"/>
  <c r="G26" i="2"/>
  <c r="E26" i="2"/>
  <c r="D26" i="2"/>
  <c r="C26" i="2"/>
  <c r="A26" i="2"/>
  <c r="H25" i="2"/>
  <c r="G25" i="2"/>
  <c r="E25" i="2"/>
  <c r="D25" i="2"/>
  <c r="C25" i="2"/>
  <c r="A25" i="2"/>
  <c r="H24" i="2"/>
  <c r="G24" i="2"/>
  <c r="E24" i="2"/>
  <c r="D24" i="2"/>
  <c r="C24" i="2"/>
  <c r="A24" i="2"/>
  <c r="H23" i="2"/>
  <c r="G23" i="2"/>
  <c r="E23" i="2"/>
  <c r="D23" i="2"/>
  <c r="C23" i="2"/>
  <c r="A23" i="2"/>
  <c r="H22" i="2"/>
  <c r="G22" i="2"/>
  <c r="E22" i="2"/>
  <c r="D22" i="2"/>
  <c r="C22" i="2"/>
  <c r="A22" i="2"/>
  <c r="H21" i="2"/>
  <c r="G21" i="2"/>
  <c r="E21" i="2"/>
  <c r="D21" i="2"/>
  <c r="C21" i="2"/>
  <c r="A21" i="2"/>
  <c r="H20" i="2"/>
  <c r="G20" i="2"/>
  <c r="E20" i="2"/>
  <c r="D20" i="2"/>
  <c r="C20" i="2"/>
  <c r="A20" i="2"/>
  <c r="H19" i="2"/>
  <c r="G19" i="2"/>
  <c r="E19" i="2"/>
  <c r="D19" i="2"/>
  <c r="C19" i="2"/>
  <c r="A19" i="2"/>
  <c r="H18" i="2"/>
  <c r="G18" i="2"/>
  <c r="E18" i="2"/>
  <c r="D18" i="2"/>
  <c r="C18" i="2"/>
  <c r="A18" i="2"/>
  <c r="H17" i="2"/>
  <c r="G17" i="2"/>
  <c r="E17" i="2"/>
  <c r="D17" i="2"/>
  <c r="C17" i="2"/>
  <c r="A17" i="2"/>
  <c r="H16" i="2"/>
  <c r="G16" i="2"/>
  <c r="E16" i="2"/>
  <c r="D16" i="2"/>
  <c r="C16" i="2"/>
  <c r="A16" i="2"/>
  <c r="H15" i="2"/>
  <c r="G15" i="2"/>
  <c r="E15" i="2"/>
  <c r="D15" i="2"/>
  <c r="C15" i="2"/>
  <c r="A15" i="2"/>
  <c r="H14" i="2"/>
  <c r="G14" i="2"/>
  <c r="E14" i="2"/>
  <c r="D14" i="2"/>
  <c r="C14" i="2"/>
  <c r="A14" i="2"/>
  <c r="H13" i="2"/>
  <c r="G13" i="2"/>
  <c r="E13" i="2"/>
  <c r="D13" i="2"/>
  <c r="C13" i="2"/>
  <c r="A13" i="2"/>
  <c r="H12" i="2"/>
  <c r="G12" i="2"/>
  <c r="E12" i="2"/>
  <c r="D12" i="2"/>
  <c r="C12" i="2"/>
  <c r="A12" i="2"/>
  <c r="H11" i="2"/>
  <c r="G11" i="2"/>
  <c r="E11" i="2"/>
  <c r="D11" i="2"/>
  <c r="C11" i="2"/>
  <c r="A11" i="2"/>
  <c r="H10" i="2"/>
  <c r="G10" i="2"/>
  <c r="E10" i="2"/>
  <c r="D10" i="2"/>
  <c r="C10" i="2"/>
  <c r="A10" i="2"/>
  <c r="H9" i="2"/>
  <c r="G9" i="2"/>
  <c r="E9" i="2"/>
  <c r="D9" i="2"/>
  <c r="C9" i="2"/>
  <c r="A9" i="2"/>
  <c r="H8" i="2"/>
  <c r="G8" i="2"/>
  <c r="E8" i="2"/>
  <c r="D8" i="2"/>
  <c r="C8" i="2"/>
  <c r="A8" i="2"/>
  <c r="H7" i="2"/>
  <c r="G7" i="2"/>
  <c r="E7" i="2"/>
  <c r="D7" i="2"/>
  <c r="C7" i="2"/>
  <c r="A7" i="2"/>
  <c r="H6" i="2"/>
  <c r="G6" i="2"/>
  <c r="E6" i="2"/>
  <c r="D6" i="2"/>
  <c r="C6" i="2"/>
  <c r="A6" i="2"/>
  <c r="H5" i="2"/>
  <c r="G5" i="2"/>
  <c r="E5" i="2"/>
  <c r="D5" i="2"/>
  <c r="C5" i="2"/>
  <c r="A5" i="2"/>
  <c r="H4" i="2"/>
  <c r="G4" i="2"/>
  <c r="E4" i="2"/>
  <c r="D4" i="2"/>
  <c r="C4" i="2"/>
  <c r="A4" i="2"/>
  <c r="H3" i="2"/>
  <c r="G3" i="2"/>
  <c r="E3" i="2"/>
  <c r="D3" i="2"/>
  <c r="C3" i="2"/>
  <c r="A3" i="2"/>
  <c r="H2" i="2"/>
  <c r="G2" i="2"/>
  <c r="E2" i="2"/>
  <c r="D2" i="2"/>
  <c r="C2" i="2"/>
  <c r="A2" i="2"/>
  <c r="G1517" i="1"/>
  <c r="E1515" i="1" a="1"/>
  <c r="E1515" i="1" s="1"/>
  <c r="D1515" i="1"/>
  <c r="C1515" i="1" a="1"/>
  <c r="C1515" i="1" s="1"/>
  <c r="B1515" i="1"/>
  <c r="E1514" i="1" a="1"/>
  <c r="E1514" i="1" s="1"/>
  <c r="D1514" i="1"/>
  <c r="C1514" i="1" a="1"/>
  <c r="C1514" i="1" s="1"/>
  <c r="B1514" i="1"/>
  <c r="G1513" i="1"/>
  <c r="E1513" i="1" a="1"/>
  <c r="E1513" i="1" s="1"/>
  <c r="D1513" i="1"/>
  <c r="C1513" i="1" a="1"/>
  <c r="C1513" i="1"/>
  <c r="B1513" i="1"/>
  <c r="E1512" i="1" a="1"/>
  <c r="E1512" i="1" s="1"/>
  <c r="D1512" i="1"/>
  <c r="C1512" i="1" a="1"/>
  <c r="C1512" i="1" s="1"/>
  <c r="B1512" i="1"/>
  <c r="E1511" i="1" a="1"/>
  <c r="E1511" i="1"/>
  <c r="D1511" i="1"/>
  <c r="C1511" i="1" a="1"/>
  <c r="C1511" i="1" s="1"/>
  <c r="B1511" i="1"/>
  <c r="G1510" i="1"/>
  <c r="E1510" i="1" a="1"/>
  <c r="E1510" i="1" s="1"/>
  <c r="D1510" i="1"/>
  <c r="C1510" i="1" a="1"/>
  <c r="C1510" i="1" s="1"/>
  <c r="B1510" i="1"/>
  <c r="E1509" i="1" a="1"/>
  <c r="E1509" i="1" s="1"/>
  <c r="D1509" i="1"/>
  <c r="C1509" i="1" a="1"/>
  <c r="C1509" i="1" s="1"/>
  <c r="B1509" i="1"/>
  <c r="E1508" i="1" a="1"/>
  <c r="E1508" i="1"/>
  <c r="D1508" i="1"/>
  <c r="C1508" i="1" a="1"/>
  <c r="C1508" i="1"/>
  <c r="B1508" i="1"/>
  <c r="E1507" i="1" a="1"/>
  <c r="E1507" i="1"/>
  <c r="D1507" i="1"/>
  <c r="C1507" i="1" a="1"/>
  <c r="C1507" i="1"/>
  <c r="B1507" i="1"/>
  <c r="G1506" i="1"/>
  <c r="E1506" i="1" a="1"/>
  <c r="E1506" i="1"/>
  <c r="D1506" i="1"/>
  <c r="C1506" i="1" a="1"/>
  <c r="C1506" i="1"/>
  <c r="B1506" i="1"/>
  <c r="E1505" i="1" a="1"/>
  <c r="E1505" i="1" s="1"/>
  <c r="D1505" i="1"/>
  <c r="C1505" i="1" a="1"/>
  <c r="C1505" i="1" s="1"/>
  <c r="B1505" i="1"/>
  <c r="G1504" i="1"/>
  <c r="E1504" i="1" a="1"/>
  <c r="E1504" i="1" s="1"/>
  <c r="D1504" i="1"/>
  <c r="C1504" i="1" a="1"/>
  <c r="C1504" i="1"/>
  <c r="B1504" i="1"/>
  <c r="E1503" i="1" a="1"/>
  <c r="E1503" i="1" s="1"/>
  <c r="D1503" i="1"/>
  <c r="C1503" i="1" a="1"/>
  <c r="C1503" i="1" s="1"/>
  <c r="B1503" i="1"/>
  <c r="E1502" i="1" a="1"/>
  <c r="E1502" i="1"/>
  <c r="D1502" i="1"/>
  <c r="C1502" i="1" a="1"/>
  <c r="C1502" i="1" s="1"/>
  <c r="B1502" i="1"/>
  <c r="E1501" i="1" a="1"/>
  <c r="E1501" i="1" s="1"/>
  <c r="D1501" i="1"/>
  <c r="C1501" i="1" a="1"/>
  <c r="C1501" i="1" s="1"/>
  <c r="B1501" i="1"/>
  <c r="E1500" i="1" a="1"/>
  <c r="E1500" i="1" s="1"/>
  <c r="D1500" i="1"/>
  <c r="C1500" i="1" a="1"/>
  <c r="C1500" i="1" s="1"/>
  <c r="B1500" i="1"/>
  <c r="E1499" i="1" a="1"/>
  <c r="E1499" i="1"/>
  <c r="D1499" i="1"/>
  <c r="C1499" i="1" a="1"/>
  <c r="C1499" i="1"/>
  <c r="B1499" i="1"/>
  <c r="E1498" i="1" a="1"/>
  <c r="E1498" i="1" s="1"/>
  <c r="D1498" i="1"/>
  <c r="C1498" i="1" a="1"/>
  <c r="C1498" i="1" s="1"/>
  <c r="B1498" i="1"/>
  <c r="G1497" i="1"/>
  <c r="E1497" i="1" a="1"/>
  <c r="E1497" i="1" s="1"/>
  <c r="D1497" i="1"/>
  <c r="C1497" i="1" a="1"/>
  <c r="C1497" i="1" s="1"/>
  <c r="B1497" i="1"/>
  <c r="E1496" i="1" a="1"/>
  <c r="E1496" i="1" s="1"/>
  <c r="D1496" i="1"/>
  <c r="C1496" i="1" a="1"/>
  <c r="C1496" i="1" s="1"/>
  <c r="B1496" i="1"/>
  <c r="G1495" i="1"/>
  <c r="E1495" i="1" a="1"/>
  <c r="E1495" i="1" s="1"/>
  <c r="D1495" i="1"/>
  <c r="C1495" i="1" a="1"/>
  <c r="C1495" i="1" s="1"/>
  <c r="B1495" i="1"/>
  <c r="E1494" i="1" a="1"/>
  <c r="E1494" i="1" s="1"/>
  <c r="D1494" i="1"/>
  <c r="C1494" i="1" a="1"/>
  <c r="C1494" i="1"/>
  <c r="B1494" i="1"/>
  <c r="E1493" i="1" a="1"/>
  <c r="E1493" i="1"/>
  <c r="D1493" i="1"/>
  <c r="C1493" i="1" a="1"/>
  <c r="C1493" i="1" s="1"/>
  <c r="B1493" i="1"/>
  <c r="G1492" i="1"/>
  <c r="E1492" i="1" a="1"/>
  <c r="E1492" i="1" s="1"/>
  <c r="D1492" i="1"/>
  <c r="C1492" i="1" a="1"/>
  <c r="C1492" i="1" s="1"/>
  <c r="B1492" i="1"/>
  <c r="E1491" i="1" a="1"/>
  <c r="E1491" i="1"/>
  <c r="D1491" i="1"/>
  <c r="C1491" i="1" a="1"/>
  <c r="C1491" i="1" s="1"/>
  <c r="B1491" i="1"/>
  <c r="E1490" i="1" a="1"/>
  <c r="E1490" i="1"/>
  <c r="D1490" i="1"/>
  <c r="C1490" i="1" a="1"/>
  <c r="C1490" i="1"/>
  <c r="B1490" i="1"/>
  <c r="E1489" i="1" a="1"/>
  <c r="E1489" i="1" s="1"/>
  <c r="D1489" i="1"/>
  <c r="C1489" i="1" a="1"/>
  <c r="C1489" i="1" s="1"/>
  <c r="B1489" i="1"/>
  <c r="E1488" i="1" a="1"/>
  <c r="E1488" i="1" s="1"/>
  <c r="D1488" i="1"/>
  <c r="C1488" i="1" a="1"/>
  <c r="C1488" i="1"/>
  <c r="B1488" i="1"/>
  <c r="I1487" i="1"/>
  <c r="E1487" i="1" a="1"/>
  <c r="E1487" i="1" s="1"/>
  <c r="D1487" i="1"/>
  <c r="C1487" i="1" a="1"/>
  <c r="C1487" i="1" s="1"/>
  <c r="B1487" i="1"/>
  <c r="I1486" i="1"/>
  <c r="E1486" i="1" a="1"/>
  <c r="E1486" i="1" s="1"/>
  <c r="D1486" i="1"/>
  <c r="C1486" i="1" a="1"/>
  <c r="C1486" i="1" s="1"/>
  <c r="B1486" i="1"/>
  <c r="G1483" i="1"/>
  <c r="G1480" i="1"/>
  <c r="G1479" i="1"/>
  <c r="E1479" i="1" a="1"/>
  <c r="E1479" i="1"/>
  <c r="D1479" i="1"/>
  <c r="C1479" i="1" a="1"/>
  <c r="C1479" i="1" s="1"/>
  <c r="B1479" i="1"/>
  <c r="G1478" i="1"/>
  <c r="E1478" i="1" a="1"/>
  <c r="E1478" i="1" s="1"/>
  <c r="D1478" i="1"/>
  <c r="C1478" i="1" a="1"/>
  <c r="C1478" i="1" s="1"/>
  <c r="B1478" i="1"/>
  <c r="E1477" i="1" a="1"/>
  <c r="E1477" i="1" s="1"/>
  <c r="D1477" i="1"/>
  <c r="C1477" i="1" a="1"/>
  <c r="C1477" i="1" s="1"/>
  <c r="B1477" i="1"/>
  <c r="E1476" i="1" a="1"/>
  <c r="E1476" i="1"/>
  <c r="D1476" i="1"/>
  <c r="C1476" i="1" a="1"/>
  <c r="C1476" i="1"/>
  <c r="B1476" i="1"/>
  <c r="D1475" i="1"/>
  <c r="C1475" i="1" a="1"/>
  <c r="C1475" i="1"/>
  <c r="B1475" i="1"/>
  <c r="E1474" i="1" a="1"/>
  <c r="E1474" i="1" s="1"/>
  <c r="D1474" i="1"/>
  <c r="C1474" i="1" a="1"/>
  <c r="C1474" i="1" s="1"/>
  <c r="B1474" i="1"/>
  <c r="E1473" i="1" a="1"/>
  <c r="E1473" i="1"/>
  <c r="D1473" i="1"/>
  <c r="C1473" i="1" a="1"/>
  <c r="C1473" i="1" s="1"/>
  <c r="B1473" i="1"/>
  <c r="G1472" i="1"/>
  <c r="E1472" i="1" a="1"/>
  <c r="E1472" i="1" s="1"/>
  <c r="D1472" i="1"/>
  <c r="C1472" i="1" a="1"/>
  <c r="C1472" i="1" s="1"/>
  <c r="B1472" i="1"/>
  <c r="G1471" i="1"/>
  <c r="D1471" i="1"/>
  <c r="C1471" i="1" a="1"/>
  <c r="C1471" i="1"/>
  <c r="B1471" i="1"/>
  <c r="E1470" i="1" a="1"/>
  <c r="E1470" i="1"/>
  <c r="D1470" i="1"/>
  <c r="C1470" i="1" a="1"/>
  <c r="C1470" i="1"/>
  <c r="B1470" i="1"/>
  <c r="G1467" i="1"/>
  <c r="G1466" i="1"/>
  <c r="E1465" i="1" a="1"/>
  <c r="E1465" i="1"/>
  <c r="D1465" i="1"/>
  <c r="C1465" i="1" a="1"/>
  <c r="C1465" i="1" s="1"/>
  <c r="B1465" i="1"/>
  <c r="E1464" i="1" a="1"/>
  <c r="E1464" i="1" s="1"/>
  <c r="D1464" i="1"/>
  <c r="C1464" i="1" a="1"/>
  <c r="C1464" i="1" s="1"/>
  <c r="B1464" i="1"/>
  <c r="E1463" i="1" a="1"/>
  <c r="E1463" i="1" s="1"/>
  <c r="D1463" i="1"/>
  <c r="C1463" i="1" a="1"/>
  <c r="C1463" i="1" s="1"/>
  <c r="B1463" i="1"/>
  <c r="E1462" i="1" a="1"/>
  <c r="E1462" i="1"/>
  <c r="D1462" i="1"/>
  <c r="C1462" i="1" a="1"/>
  <c r="C1462" i="1"/>
  <c r="B1462" i="1"/>
  <c r="D1461" i="1"/>
  <c r="C1461" i="1" a="1"/>
  <c r="C1461" i="1"/>
  <c r="B1461" i="1"/>
  <c r="E1460" i="1" a="1"/>
  <c r="E1460" i="1" s="1"/>
  <c r="D1460" i="1"/>
  <c r="C1460" i="1" a="1"/>
  <c r="C1460" i="1"/>
  <c r="B1460" i="1"/>
  <c r="E1459" i="1" a="1"/>
  <c r="E1459" i="1"/>
  <c r="D1459" i="1"/>
  <c r="C1459" i="1" a="1"/>
  <c r="C1459" i="1" s="1"/>
  <c r="B1459" i="1"/>
  <c r="E1458" i="1" a="1"/>
  <c r="E1458" i="1" s="1"/>
  <c r="D1458" i="1"/>
  <c r="C1458" i="1" a="1"/>
  <c r="C1458" i="1" s="1"/>
  <c r="B1458" i="1"/>
  <c r="G1457" i="1"/>
  <c r="D1457" i="1"/>
  <c r="C1457" i="1" a="1"/>
  <c r="C1457" i="1"/>
  <c r="B1457" i="1"/>
  <c r="G1456" i="1"/>
  <c r="E1456" i="1" a="1"/>
  <c r="E1456" i="1"/>
  <c r="D1456" i="1"/>
  <c r="C1456" i="1" a="1"/>
  <c r="C1456" i="1"/>
  <c r="B1456" i="1"/>
  <c r="E1455" i="1" a="1"/>
  <c r="E1455" i="1" s="1"/>
  <c r="D1455" i="1"/>
  <c r="C1455" i="1" a="1"/>
  <c r="C1455" i="1"/>
  <c r="B1455" i="1"/>
  <c r="D1454" i="1"/>
  <c r="C1454" i="1" a="1"/>
  <c r="C1454" i="1" s="1"/>
  <c r="B1454" i="1"/>
  <c r="D1453" i="1"/>
  <c r="C1453" i="1" a="1"/>
  <c r="C1453" i="1" s="1"/>
  <c r="B1453" i="1"/>
  <c r="E1452" i="1" a="1"/>
  <c r="E1452" i="1" s="1"/>
  <c r="D1452" i="1"/>
  <c r="C1452" i="1" a="1"/>
  <c r="C1452" i="1" s="1"/>
  <c r="B1452" i="1"/>
  <c r="E1451" i="1" a="1"/>
  <c r="E1451" i="1" s="1"/>
  <c r="D1451" i="1"/>
  <c r="C1451" i="1" a="1"/>
  <c r="C1451" i="1"/>
  <c r="B1451" i="1"/>
  <c r="E1450" i="1" a="1"/>
  <c r="E1450" i="1" s="1"/>
  <c r="D1450" i="1"/>
  <c r="C1450" i="1" a="1"/>
  <c r="C1450" i="1"/>
  <c r="B1450" i="1"/>
  <c r="E1449" i="1" a="1"/>
  <c r="E1449" i="1"/>
  <c r="D1449" i="1"/>
  <c r="C1449" i="1" a="1"/>
  <c r="C1449" i="1" s="1"/>
  <c r="B1449" i="1"/>
  <c r="E1448" i="1" a="1"/>
  <c r="E1448" i="1"/>
  <c r="D1448" i="1"/>
  <c r="C1448" i="1" a="1"/>
  <c r="C1448" i="1" s="1"/>
  <c r="B1448" i="1"/>
  <c r="G1447" i="1"/>
  <c r="E1447" i="1" a="1"/>
  <c r="E1447" i="1"/>
  <c r="D1447" i="1"/>
  <c r="C1447" i="1" a="1"/>
  <c r="C1447" i="1" s="1"/>
  <c r="B1447" i="1"/>
  <c r="E1446" i="1" a="1"/>
  <c r="E1446" i="1" s="1"/>
  <c r="D1446" i="1"/>
  <c r="C1446" i="1" a="1"/>
  <c r="C1446" i="1" s="1"/>
  <c r="B1446" i="1"/>
  <c r="D1445" i="1"/>
  <c r="C1445" i="1" a="1"/>
  <c r="C1445" i="1"/>
  <c r="B1445" i="1"/>
  <c r="E1444" i="1" a="1"/>
  <c r="E1444" i="1"/>
  <c r="D1444" i="1"/>
  <c r="C1444" i="1" a="1"/>
  <c r="C1444" i="1" s="1"/>
  <c r="B1444" i="1"/>
  <c r="G1443" i="1"/>
  <c r="D1443" i="1"/>
  <c r="C1443" i="1" a="1"/>
  <c r="C1443" i="1"/>
  <c r="B1443" i="1"/>
  <c r="D1442" i="1"/>
  <c r="C1442" i="1" a="1"/>
  <c r="C1442" i="1"/>
  <c r="B1442" i="1"/>
  <c r="E1441" i="1" a="1"/>
  <c r="E1441" i="1" s="1"/>
  <c r="D1441" i="1"/>
  <c r="C1441" i="1" a="1"/>
  <c r="C1441" i="1"/>
  <c r="B1441" i="1"/>
  <c r="I1440" i="1"/>
  <c r="E1440" i="1" a="1"/>
  <c r="E1440" i="1" s="1"/>
  <c r="D1440" i="1"/>
  <c r="C1440" i="1" a="1"/>
  <c r="C1440" i="1"/>
  <c r="B1440" i="1"/>
  <c r="G1439" i="1"/>
  <c r="E1439" i="1" a="1"/>
  <c r="E1439" i="1" s="1"/>
  <c r="D1439" i="1"/>
  <c r="C1439" i="1" a="1"/>
  <c r="C1439" i="1"/>
  <c r="B1439" i="1"/>
  <c r="E1438" i="1" a="1"/>
  <c r="E1438" i="1" s="1"/>
  <c r="D1438" i="1"/>
  <c r="C1438" i="1" a="1"/>
  <c r="C1438" i="1" s="1"/>
  <c r="B1438" i="1"/>
  <c r="E1437" i="1" a="1"/>
  <c r="E1437" i="1" s="1"/>
  <c r="D1437" i="1"/>
  <c r="C1437" i="1" a="1"/>
  <c r="C1437" i="1"/>
  <c r="B1437" i="1"/>
  <c r="E1436" i="1" a="1"/>
  <c r="E1436" i="1"/>
  <c r="D1436" i="1"/>
  <c r="C1436" i="1" a="1"/>
  <c r="C1436" i="1"/>
  <c r="B1436" i="1"/>
  <c r="G1435" i="1"/>
  <c r="D1435" i="1"/>
  <c r="C1435" i="1" a="1"/>
  <c r="C1435" i="1"/>
  <c r="B1435" i="1"/>
  <c r="E1434" i="1" a="1"/>
  <c r="E1434" i="1" s="1"/>
  <c r="D1434" i="1"/>
  <c r="C1434" i="1" a="1"/>
  <c r="C1434" i="1"/>
  <c r="B1434" i="1"/>
  <c r="G1433" i="1"/>
  <c r="E1433" i="1" a="1"/>
  <c r="E1433" i="1"/>
  <c r="D1433" i="1"/>
  <c r="C1433" i="1" a="1"/>
  <c r="C1433" i="1" s="1"/>
  <c r="B1433" i="1"/>
  <c r="E1432" i="1" a="1"/>
  <c r="E1432" i="1" s="1"/>
  <c r="D1432" i="1"/>
  <c r="C1432" i="1" a="1"/>
  <c r="C1432" i="1"/>
  <c r="B1432" i="1"/>
  <c r="E1431" i="1" a="1"/>
  <c r="E1431" i="1" s="1"/>
  <c r="D1431" i="1"/>
  <c r="C1431" i="1" a="1"/>
  <c r="C1431" i="1" s="1"/>
  <c r="B1431" i="1"/>
  <c r="E1430" i="1" a="1"/>
  <c r="E1430" i="1" s="1"/>
  <c r="D1430" i="1"/>
  <c r="C1430" i="1" a="1"/>
  <c r="C1430" i="1" s="1"/>
  <c r="B1430" i="1"/>
  <c r="E1429" i="1" a="1"/>
  <c r="E1429" i="1"/>
  <c r="D1429" i="1"/>
  <c r="C1429" i="1" a="1"/>
  <c r="C1429" i="1" s="1"/>
  <c r="B1429" i="1"/>
  <c r="G1426" i="1"/>
  <c r="G1425" i="1"/>
  <c r="E1421" i="1" a="1"/>
  <c r="E1421" i="1" s="1"/>
  <c r="D1421" i="1"/>
  <c r="C1421" i="1" a="1"/>
  <c r="C1421" i="1" s="1"/>
  <c r="B1421" i="1"/>
  <c r="E1420" i="1" a="1"/>
  <c r="E1420" i="1" s="1"/>
  <c r="D1420" i="1"/>
  <c r="C1420" i="1" a="1"/>
  <c r="C1420" i="1" s="1"/>
  <c r="B1420" i="1"/>
  <c r="D1419" i="1"/>
  <c r="C1419" i="1" a="1"/>
  <c r="C1419" i="1"/>
  <c r="B1419" i="1"/>
  <c r="D1418" i="1"/>
  <c r="C1418" i="1" a="1"/>
  <c r="C1418" i="1" s="1"/>
  <c r="B1418" i="1"/>
  <c r="I1417" i="1"/>
  <c r="G1417" i="1"/>
  <c r="E1417" i="1" a="1"/>
  <c r="E1417" i="1"/>
  <c r="D1417" i="1"/>
  <c r="C1417" i="1" a="1"/>
  <c r="C1417" i="1" s="1"/>
  <c r="B1417" i="1"/>
  <c r="G1416" i="1"/>
  <c r="E1416" i="1" a="1"/>
  <c r="E1416" i="1"/>
  <c r="D1416" i="1"/>
  <c r="C1416" i="1" a="1"/>
  <c r="C1416" i="1" s="1"/>
  <c r="B1416" i="1"/>
  <c r="D1415" i="1"/>
  <c r="C1415" i="1" a="1"/>
  <c r="C1415" i="1"/>
  <c r="B1415" i="1"/>
  <c r="E1414" i="1" a="1"/>
  <c r="E1414" i="1" s="1"/>
  <c r="D1414" i="1"/>
  <c r="C1414" i="1" a="1"/>
  <c r="C1414" i="1" s="1"/>
  <c r="B1414" i="1"/>
  <c r="D1413" i="1"/>
  <c r="C1413" i="1" a="1"/>
  <c r="C1413" i="1" s="1"/>
  <c r="B1413" i="1"/>
  <c r="E1412" i="1" a="1"/>
  <c r="E1412" i="1"/>
  <c r="D1412" i="1"/>
  <c r="C1412" i="1" a="1"/>
  <c r="C1412" i="1" s="1"/>
  <c r="B1412" i="1"/>
  <c r="D1411" i="1"/>
  <c r="C1411" i="1" a="1"/>
  <c r="C1411" i="1"/>
  <c r="B1411" i="1"/>
  <c r="E1410" i="1" a="1"/>
  <c r="E1410" i="1" s="1"/>
  <c r="D1410" i="1"/>
  <c r="C1410" i="1" a="1"/>
  <c r="C1410" i="1" s="1"/>
  <c r="B1410" i="1"/>
  <c r="D1409" i="1"/>
  <c r="C1409" i="1" a="1"/>
  <c r="C1409" i="1" s="1"/>
  <c r="B1409" i="1"/>
  <c r="G1408" i="1"/>
  <c r="E1408" i="1" a="1"/>
  <c r="E1408" i="1"/>
  <c r="D1408" i="1"/>
  <c r="C1408" i="1" a="1"/>
  <c r="C1408" i="1" s="1"/>
  <c r="B1408" i="1"/>
  <c r="D1407" i="1"/>
  <c r="C1407" i="1" a="1"/>
  <c r="C1407" i="1"/>
  <c r="B1407" i="1"/>
  <c r="D1406" i="1"/>
  <c r="C1406" i="1" a="1"/>
  <c r="C1406" i="1" s="1"/>
  <c r="B1406" i="1"/>
  <c r="I1405" i="1"/>
  <c r="G1405" i="1"/>
  <c r="E1405" i="1" a="1"/>
  <c r="E1405" i="1" s="1"/>
  <c r="D1405" i="1"/>
  <c r="C1405" i="1" a="1"/>
  <c r="C1405" i="1"/>
  <c r="B1405" i="1"/>
  <c r="E1404" i="1" a="1"/>
  <c r="E1404" i="1" s="1"/>
  <c r="D1404" i="1"/>
  <c r="C1404" i="1" a="1"/>
  <c r="C1404" i="1" s="1"/>
  <c r="B1404" i="1"/>
  <c r="E1403" i="1" a="1"/>
  <c r="E1403" i="1" s="1"/>
  <c r="D1403" i="1"/>
  <c r="C1403" i="1" a="1"/>
  <c r="C1403" i="1"/>
  <c r="B1403" i="1"/>
  <c r="E1402" i="1" a="1"/>
  <c r="E1402" i="1"/>
  <c r="D1402" i="1"/>
  <c r="C1402" i="1" a="1"/>
  <c r="C1402" i="1"/>
  <c r="B1402" i="1"/>
  <c r="G1401" i="1"/>
  <c r="D1401" i="1"/>
  <c r="C1401" i="1" a="1"/>
  <c r="C1401" i="1"/>
  <c r="B1401" i="1"/>
  <c r="E1400" i="1" a="1"/>
  <c r="E1400" i="1" s="1"/>
  <c r="D1400" i="1"/>
  <c r="C1400" i="1" a="1"/>
  <c r="C1400" i="1" s="1"/>
  <c r="B1400" i="1"/>
  <c r="D1399" i="1"/>
  <c r="C1399" i="1" a="1"/>
  <c r="C1399" i="1" s="1"/>
  <c r="B1399" i="1"/>
  <c r="E1398" i="1" a="1"/>
  <c r="E1398" i="1"/>
  <c r="D1398" i="1"/>
  <c r="C1398" i="1" a="1"/>
  <c r="C1398" i="1"/>
  <c r="B1398" i="1"/>
  <c r="E1397" i="1" a="1"/>
  <c r="E1397" i="1" s="1"/>
  <c r="D1397" i="1"/>
  <c r="C1397" i="1" a="1"/>
  <c r="C1397" i="1" s="1"/>
  <c r="B1397" i="1"/>
  <c r="E1396" i="1" a="1"/>
  <c r="E1396" i="1" s="1"/>
  <c r="D1396" i="1"/>
  <c r="C1396" i="1" a="1"/>
  <c r="C1396" i="1"/>
  <c r="B1396" i="1"/>
  <c r="E1395" i="1" a="1"/>
  <c r="E1395" i="1"/>
  <c r="D1395" i="1"/>
  <c r="G1394" i="1"/>
  <c r="E1394" i="1" a="1"/>
  <c r="E1394" i="1" s="1"/>
  <c r="D1394" i="1"/>
  <c r="D1393" i="1"/>
  <c r="C1393" i="1" a="1"/>
  <c r="C1393" i="1"/>
  <c r="B1393" i="1"/>
  <c r="G1392" i="1"/>
  <c r="D1392" i="1"/>
  <c r="C1392" i="1" a="1"/>
  <c r="C1392" i="1" s="1"/>
  <c r="B1392" i="1"/>
  <c r="E1391" i="1" a="1"/>
  <c r="E1391" i="1"/>
  <c r="D1391" i="1"/>
  <c r="C1391" i="1" a="1"/>
  <c r="C1391" i="1" s="1"/>
  <c r="B1391" i="1"/>
  <c r="E1390" i="1" a="1"/>
  <c r="E1390" i="1" s="1"/>
  <c r="D1390" i="1"/>
  <c r="C1390" i="1" a="1"/>
  <c r="C1390" i="1" s="1"/>
  <c r="B1390" i="1"/>
  <c r="D1389" i="1"/>
  <c r="C1389" i="1" a="1"/>
  <c r="C1389" i="1" s="1"/>
  <c r="B1389" i="1"/>
  <c r="E1388" i="1" a="1"/>
  <c r="E1388" i="1" s="1"/>
  <c r="D1388" i="1"/>
  <c r="C1388" i="1" a="1"/>
  <c r="C1388" i="1" s="1"/>
  <c r="B1388" i="1"/>
  <c r="D1387" i="1"/>
  <c r="C1387" i="1" a="1"/>
  <c r="C1387" i="1" s="1"/>
  <c r="B1387" i="1"/>
  <c r="E1386" i="1" a="1"/>
  <c r="E1386" i="1"/>
  <c r="D1386" i="1"/>
  <c r="C1386" i="1" a="1"/>
  <c r="C1386" i="1"/>
  <c r="B1386" i="1"/>
  <c r="E1385" i="1" a="1"/>
  <c r="E1385" i="1" s="1"/>
  <c r="D1385" i="1"/>
  <c r="C1385" i="1" a="1"/>
  <c r="C1385" i="1" s="1"/>
  <c r="B1385" i="1"/>
  <c r="G1384" i="1"/>
  <c r="E1384" i="1" a="1"/>
  <c r="E1384" i="1"/>
  <c r="D1384" i="1"/>
  <c r="C1384" i="1" a="1"/>
  <c r="C1384" i="1" s="1"/>
  <c r="B1384" i="1"/>
  <c r="E1383" i="1" a="1"/>
  <c r="E1383" i="1" s="1"/>
  <c r="D1383" i="1"/>
  <c r="G1382" i="1"/>
  <c r="E1382" i="1" a="1"/>
  <c r="E1382" i="1" s="1"/>
  <c r="D1382" i="1"/>
  <c r="G1381" i="1"/>
  <c r="D1381" i="1"/>
  <c r="C1381" i="1" a="1"/>
  <c r="C1381" i="1" s="1"/>
  <c r="B1381" i="1"/>
  <c r="G1380" i="1"/>
  <c r="D1380" i="1"/>
  <c r="C1380" i="1" a="1"/>
  <c r="C1380" i="1" s="1"/>
  <c r="B1380" i="1"/>
  <c r="E1379" i="1" a="1"/>
  <c r="E1379" i="1"/>
  <c r="D1379" i="1"/>
  <c r="C1379" i="1" a="1"/>
  <c r="C1379" i="1"/>
  <c r="B1379" i="1"/>
  <c r="E1378" i="1" a="1"/>
  <c r="E1378" i="1"/>
  <c r="D1378" i="1"/>
  <c r="C1378" i="1" a="1"/>
  <c r="C1378" i="1" s="1"/>
  <c r="B1378" i="1"/>
  <c r="G1377" i="1"/>
  <c r="D1377" i="1"/>
  <c r="C1377" i="1" a="1"/>
  <c r="C1377" i="1"/>
  <c r="B1377" i="1"/>
  <c r="E1376" i="1" a="1"/>
  <c r="E1376" i="1" s="1"/>
  <c r="D1376" i="1"/>
  <c r="C1376" i="1" a="1"/>
  <c r="C1376" i="1" s="1"/>
  <c r="B1376" i="1"/>
  <c r="D1375" i="1"/>
  <c r="C1375" i="1" a="1"/>
  <c r="C1375" i="1" s="1"/>
  <c r="B1375" i="1"/>
  <c r="G1374" i="1"/>
  <c r="E1374" i="1" a="1"/>
  <c r="E1374" i="1"/>
  <c r="D1374" i="1"/>
  <c r="C1374" i="1" a="1"/>
  <c r="C1374" i="1" s="1"/>
  <c r="B1374" i="1"/>
  <c r="E1373" i="1" a="1"/>
  <c r="E1373" i="1" s="1"/>
  <c r="D1373" i="1"/>
  <c r="C1373" i="1" a="1"/>
  <c r="C1373" i="1"/>
  <c r="B1373" i="1"/>
  <c r="G1372" i="1"/>
  <c r="E1372" i="1" a="1"/>
  <c r="E1372" i="1" s="1"/>
  <c r="D1372" i="1"/>
  <c r="C1372" i="1" a="1"/>
  <c r="C1372" i="1" s="1"/>
  <c r="B1372" i="1"/>
  <c r="D1371" i="1"/>
  <c r="C1371" i="1" a="1"/>
  <c r="C1371" i="1" s="1"/>
  <c r="B1371" i="1"/>
  <c r="I1370" i="1"/>
  <c r="G1370" i="1"/>
  <c r="D1370" i="1"/>
  <c r="C1370" i="1" a="1"/>
  <c r="C1370" i="1" s="1"/>
  <c r="B1370" i="1"/>
  <c r="D1369" i="1"/>
  <c r="C1369" i="1" a="1"/>
  <c r="C1369" i="1"/>
  <c r="B1369" i="1"/>
  <c r="D1368" i="1"/>
  <c r="C1368" i="1" a="1"/>
  <c r="C1368" i="1"/>
  <c r="B1368" i="1"/>
  <c r="G1367" i="1"/>
  <c r="E1367" i="1" a="1"/>
  <c r="E1367" i="1" s="1"/>
  <c r="D1367" i="1"/>
  <c r="C1367" i="1" a="1"/>
  <c r="C1367" i="1"/>
  <c r="B1367" i="1"/>
  <c r="D1366" i="1"/>
  <c r="C1366" i="1" a="1"/>
  <c r="C1366" i="1" s="1"/>
  <c r="B1366" i="1"/>
  <c r="E1365" i="1" a="1"/>
  <c r="E1365" i="1"/>
  <c r="D1365" i="1"/>
  <c r="C1365" i="1" a="1"/>
  <c r="C1365" i="1"/>
  <c r="B1365" i="1"/>
  <c r="D1364" i="1"/>
  <c r="C1364" i="1" a="1"/>
  <c r="C1364" i="1"/>
  <c r="B1364" i="1"/>
  <c r="G1363" i="1"/>
  <c r="E1363" i="1" a="1"/>
  <c r="E1363" i="1" s="1"/>
  <c r="D1363" i="1"/>
  <c r="C1363" i="1" a="1"/>
  <c r="C1363" i="1"/>
  <c r="B1363" i="1"/>
  <c r="I1362" i="1"/>
  <c r="E1362" i="1" a="1"/>
  <c r="E1362" i="1" s="1"/>
  <c r="D1362" i="1"/>
  <c r="C1362" i="1" a="1"/>
  <c r="C1362" i="1"/>
  <c r="B1362" i="1"/>
  <c r="E1361" i="1" a="1"/>
  <c r="E1361" i="1" s="1"/>
  <c r="D1361" i="1"/>
  <c r="C1361" i="1" a="1"/>
  <c r="C1361" i="1"/>
  <c r="B1361" i="1"/>
  <c r="G1360" i="1"/>
  <c r="D1360" i="1"/>
  <c r="C1360" i="1" a="1"/>
  <c r="C1360" i="1" s="1"/>
  <c r="B1360" i="1"/>
  <c r="E1359" i="1" a="1"/>
  <c r="E1359" i="1" s="1"/>
  <c r="D1359" i="1"/>
  <c r="C1359" i="1" a="1"/>
  <c r="C1359" i="1" s="1"/>
  <c r="B1359" i="1"/>
  <c r="G1358" i="1"/>
  <c r="D1358" i="1"/>
  <c r="C1358" i="1" a="1"/>
  <c r="C1358" i="1" s="1"/>
  <c r="B1358" i="1"/>
  <c r="G1357" i="1"/>
  <c r="E1357" i="1" a="1"/>
  <c r="E1357" i="1" s="1"/>
  <c r="D1357" i="1"/>
  <c r="C1357" i="1" a="1"/>
  <c r="C1357" i="1"/>
  <c r="B1357" i="1"/>
  <c r="E1356" i="1" a="1"/>
  <c r="E1356" i="1" s="1"/>
  <c r="D1356" i="1"/>
  <c r="C1356" i="1" a="1"/>
  <c r="C1356" i="1" s="1"/>
  <c r="B1356" i="1"/>
  <c r="E1355" i="1" a="1"/>
  <c r="E1355" i="1" s="1"/>
  <c r="D1355" i="1"/>
  <c r="C1355" i="1" a="1"/>
  <c r="C1355" i="1" s="1"/>
  <c r="B1355" i="1"/>
  <c r="E1354" i="1" a="1"/>
  <c r="E1354" i="1" s="1"/>
  <c r="D1354" i="1"/>
  <c r="C1354" i="1" a="1"/>
  <c r="C1354" i="1" s="1"/>
  <c r="B1354" i="1"/>
  <c r="E1353" i="1" a="1"/>
  <c r="E1353" i="1"/>
  <c r="D1353" i="1"/>
  <c r="C1353" i="1" a="1"/>
  <c r="C1353" i="1" s="1"/>
  <c r="B1353" i="1"/>
  <c r="D1352" i="1"/>
  <c r="C1352" i="1" a="1"/>
  <c r="C1352" i="1" s="1"/>
  <c r="B1352" i="1"/>
  <c r="E1351" i="1" a="1"/>
  <c r="E1351" i="1"/>
  <c r="D1351" i="1"/>
  <c r="C1351" i="1" a="1"/>
  <c r="C1351" i="1" s="1"/>
  <c r="B1351" i="1"/>
  <c r="D1350" i="1"/>
  <c r="C1350" i="1" a="1"/>
  <c r="C1350" i="1" s="1"/>
  <c r="B1350" i="1"/>
  <c r="G1349" i="1"/>
  <c r="E1349" i="1" a="1"/>
  <c r="E1349" i="1"/>
  <c r="D1349" i="1"/>
  <c r="C1349" i="1" a="1"/>
  <c r="C1349" i="1"/>
  <c r="B1349" i="1"/>
  <c r="D1348" i="1"/>
  <c r="C1348" i="1" a="1"/>
  <c r="C1348" i="1"/>
  <c r="B1348" i="1"/>
  <c r="E1347" i="1" a="1"/>
  <c r="E1347" i="1" s="1"/>
  <c r="D1347" i="1"/>
  <c r="C1347" i="1" a="1"/>
  <c r="C1347" i="1" s="1"/>
  <c r="B1347" i="1"/>
  <c r="E1346" i="1" a="1"/>
  <c r="E1346" i="1" s="1"/>
  <c r="D1346" i="1"/>
  <c r="C1346" i="1" a="1"/>
  <c r="C1346" i="1" s="1"/>
  <c r="B1346" i="1"/>
  <c r="E1345" i="1" a="1"/>
  <c r="E1345" i="1" s="1"/>
  <c r="D1345" i="1"/>
  <c r="C1345" i="1" a="1"/>
  <c r="C1345" i="1" s="1"/>
  <c r="B1345" i="1"/>
  <c r="D1344" i="1"/>
  <c r="C1344" i="1" a="1"/>
  <c r="C1344" i="1" s="1"/>
  <c r="B1344" i="1"/>
  <c r="D1343" i="1"/>
  <c r="C1343" i="1" a="1"/>
  <c r="C1343" i="1" s="1"/>
  <c r="B1343" i="1"/>
  <c r="E1342" i="1" a="1"/>
  <c r="E1342" i="1" s="1"/>
  <c r="D1342" i="1"/>
  <c r="C1342" i="1" a="1"/>
  <c r="C1342" i="1"/>
  <c r="B1342" i="1"/>
  <c r="G1341" i="1"/>
  <c r="E1341" i="1" a="1"/>
  <c r="E1341" i="1"/>
  <c r="D1341" i="1"/>
  <c r="C1341" i="1" a="1"/>
  <c r="C1341" i="1"/>
  <c r="B1341" i="1"/>
  <c r="G1340" i="1"/>
  <c r="D1340" i="1"/>
  <c r="C1340" i="1" a="1"/>
  <c r="C1340" i="1"/>
  <c r="B1340" i="1"/>
  <c r="D1339" i="1"/>
  <c r="C1339" i="1" a="1"/>
  <c r="C1339" i="1" s="1"/>
  <c r="B1339" i="1"/>
  <c r="E1338" i="1" a="1"/>
  <c r="E1338" i="1" s="1"/>
  <c r="D1338" i="1"/>
  <c r="C1338" i="1" a="1"/>
  <c r="C1338" i="1" s="1"/>
  <c r="B1338" i="1"/>
  <c r="D1337" i="1"/>
  <c r="C1337" i="1" a="1"/>
  <c r="C1337" i="1"/>
  <c r="B1337" i="1"/>
  <c r="G1336" i="1"/>
  <c r="E1336" i="1" a="1"/>
  <c r="E1336" i="1"/>
  <c r="D1336" i="1"/>
  <c r="C1336" i="1" a="1"/>
  <c r="C1336" i="1"/>
  <c r="B1336" i="1"/>
  <c r="E1335" i="1" a="1"/>
  <c r="E1335" i="1" s="1"/>
  <c r="D1335" i="1"/>
  <c r="C1335" i="1" a="1"/>
  <c r="C1335" i="1" s="1"/>
  <c r="B1335" i="1"/>
  <c r="G1334" i="1"/>
  <c r="D1334" i="1"/>
  <c r="C1334" i="1" a="1"/>
  <c r="C1334" i="1" s="1"/>
  <c r="B1334" i="1"/>
  <c r="D1333" i="1"/>
  <c r="C1333" i="1" a="1"/>
  <c r="C1333" i="1" s="1"/>
  <c r="B1333" i="1"/>
  <c r="G1332" i="1"/>
  <c r="E1332" i="1" a="1"/>
  <c r="E1332" i="1"/>
  <c r="D1332" i="1"/>
  <c r="C1332" i="1" a="1"/>
  <c r="C1332" i="1"/>
  <c r="B1332" i="1"/>
  <c r="E1331" i="1" a="1"/>
  <c r="E1331" i="1" s="1"/>
  <c r="D1331" i="1"/>
  <c r="C1331" i="1" a="1"/>
  <c r="C1331" i="1" s="1"/>
  <c r="B1331" i="1"/>
  <c r="E1330" i="1" a="1"/>
  <c r="E1330" i="1"/>
  <c r="D1330" i="1"/>
  <c r="C1330" i="1" a="1"/>
  <c r="C1330" i="1" s="1"/>
  <c r="B1330" i="1"/>
  <c r="G1329" i="1"/>
  <c r="E1329" i="1" a="1"/>
  <c r="E1329" i="1" s="1"/>
  <c r="D1329" i="1"/>
  <c r="C1329" i="1" a="1"/>
  <c r="C1329" i="1"/>
  <c r="B1329" i="1"/>
  <c r="G1328" i="1"/>
  <c r="E1328" i="1" a="1"/>
  <c r="E1328" i="1" s="1"/>
  <c r="D1328" i="1"/>
  <c r="C1328" i="1" a="1"/>
  <c r="C1328" i="1"/>
  <c r="B1328" i="1"/>
  <c r="E1327" i="1" a="1"/>
  <c r="E1327" i="1"/>
  <c r="D1327" i="1"/>
  <c r="C1327" i="1" a="1"/>
  <c r="C1327" i="1"/>
  <c r="B1327" i="1"/>
  <c r="E1326" i="1" a="1"/>
  <c r="E1326" i="1" s="1"/>
  <c r="D1326" i="1"/>
  <c r="C1326" i="1" a="1"/>
  <c r="C1326" i="1" s="1"/>
  <c r="B1326" i="1"/>
  <c r="D1325" i="1"/>
  <c r="C1325" i="1" a="1"/>
  <c r="C1325" i="1" s="1"/>
  <c r="B1325" i="1"/>
  <c r="G1324" i="1"/>
  <c r="D1324" i="1"/>
  <c r="C1324" i="1" a="1"/>
  <c r="C1324" i="1"/>
  <c r="B1324" i="1"/>
  <c r="G1323" i="1"/>
  <c r="E1323" i="1" a="1"/>
  <c r="E1323" i="1" s="1"/>
  <c r="D1323" i="1"/>
  <c r="C1323" i="1" a="1"/>
  <c r="C1323" i="1" s="1"/>
  <c r="B1323" i="1"/>
  <c r="D1322" i="1"/>
  <c r="C1322" i="1" a="1"/>
  <c r="C1322" i="1" s="1"/>
  <c r="B1322" i="1"/>
  <c r="G1321" i="1"/>
  <c r="E1321" i="1" a="1"/>
  <c r="E1321" i="1"/>
  <c r="D1321" i="1"/>
  <c r="C1321" i="1" a="1"/>
  <c r="C1321" i="1" s="1"/>
  <c r="B1321" i="1"/>
  <c r="G1320" i="1"/>
  <c r="E1320" i="1" a="1"/>
  <c r="E1320" i="1" s="1"/>
  <c r="D1320" i="1"/>
  <c r="E1319" i="1" a="1"/>
  <c r="E1319" i="1" s="1"/>
  <c r="D1319" i="1"/>
  <c r="C1319" i="1" a="1"/>
  <c r="C1319" i="1" s="1"/>
  <c r="B1319" i="1"/>
  <c r="E1318" i="1" a="1"/>
  <c r="E1318" i="1" s="1"/>
  <c r="D1318" i="1"/>
  <c r="C1318" i="1" a="1"/>
  <c r="C1318" i="1" s="1"/>
  <c r="B1318" i="1"/>
  <c r="G1317" i="1"/>
  <c r="E1317" i="1" a="1"/>
  <c r="E1317" i="1"/>
  <c r="D1317" i="1"/>
  <c r="C1317" i="1" a="1"/>
  <c r="C1317" i="1"/>
  <c r="B1317" i="1"/>
  <c r="E1316" i="1" a="1"/>
  <c r="E1316" i="1" s="1"/>
  <c r="D1316" i="1"/>
  <c r="C1316" i="1" a="1"/>
  <c r="C1316" i="1" s="1"/>
  <c r="B1316" i="1"/>
  <c r="G1315" i="1"/>
  <c r="D1315" i="1"/>
  <c r="C1315" i="1" a="1"/>
  <c r="C1315" i="1" s="1"/>
  <c r="B1315" i="1"/>
  <c r="E1314" i="1" a="1"/>
  <c r="E1314" i="1"/>
  <c r="D1314" i="1"/>
  <c r="C1314" i="1" a="1"/>
  <c r="C1314" i="1"/>
  <c r="B1314" i="1"/>
  <c r="G1313" i="1"/>
  <c r="D1313" i="1"/>
  <c r="C1313" i="1" a="1"/>
  <c r="C1313" i="1"/>
  <c r="B1313" i="1"/>
  <c r="E1312" i="1" a="1"/>
  <c r="E1312" i="1" s="1"/>
  <c r="D1312" i="1"/>
  <c r="C1312" i="1" a="1"/>
  <c r="C1312" i="1" s="1"/>
  <c r="B1312" i="1"/>
  <c r="G1311" i="1"/>
  <c r="E1311" i="1" a="1"/>
  <c r="E1311" i="1"/>
  <c r="D1311" i="1"/>
  <c r="C1311" i="1" a="1"/>
  <c r="C1311" i="1" s="1"/>
  <c r="B1311" i="1"/>
  <c r="G1310" i="1"/>
  <c r="E1310" i="1" a="1"/>
  <c r="E1310" i="1"/>
  <c r="D1310" i="1"/>
  <c r="C1310" i="1" a="1"/>
  <c r="C1310" i="1" s="1"/>
  <c r="B1310" i="1"/>
  <c r="E1309" i="1" a="1"/>
  <c r="E1309" i="1"/>
  <c r="D1309" i="1"/>
  <c r="C1309" i="1" a="1"/>
  <c r="C1309" i="1" s="1"/>
  <c r="B1309" i="1"/>
  <c r="E1308" i="1" a="1"/>
  <c r="E1308" i="1" s="1"/>
  <c r="D1308" i="1"/>
  <c r="C1308" i="1" a="1"/>
  <c r="C1308" i="1" s="1"/>
  <c r="B1308" i="1"/>
  <c r="D1307" i="1"/>
  <c r="C1307" i="1" a="1"/>
  <c r="C1307" i="1" s="1"/>
  <c r="B1307" i="1"/>
  <c r="G1306" i="1"/>
  <c r="D1306" i="1"/>
  <c r="C1306" i="1" a="1"/>
  <c r="C1306" i="1"/>
  <c r="B1306" i="1"/>
  <c r="G1305" i="1"/>
  <c r="D1305" i="1"/>
  <c r="C1305" i="1" a="1"/>
  <c r="C1305" i="1"/>
  <c r="B1305" i="1"/>
  <c r="E1304" i="1" a="1"/>
  <c r="E1304" i="1" s="1"/>
  <c r="D1304" i="1"/>
  <c r="C1304" i="1" a="1"/>
  <c r="C1304" i="1" s="1"/>
  <c r="B1304" i="1"/>
  <c r="G1303" i="1"/>
  <c r="E1303" i="1" a="1"/>
  <c r="E1303" i="1"/>
  <c r="D1303" i="1"/>
  <c r="C1303" i="1" a="1"/>
  <c r="C1303" i="1" s="1"/>
  <c r="B1303" i="1"/>
  <c r="E1302" i="1" a="1"/>
  <c r="E1302" i="1" s="1"/>
  <c r="D1302" i="1"/>
  <c r="E1301" i="1" a="1"/>
  <c r="E1301" i="1" s="1"/>
  <c r="D1301" i="1"/>
  <c r="C1301" i="1" a="1"/>
  <c r="C1301" i="1" s="1"/>
  <c r="B1301" i="1"/>
  <c r="G1300" i="1"/>
  <c r="E1300" i="1" a="1"/>
  <c r="E1300" i="1" s="1"/>
  <c r="D1300" i="1"/>
  <c r="C1300" i="1" a="1"/>
  <c r="C1300" i="1" s="1"/>
  <c r="B1300" i="1"/>
  <c r="E1299" i="1" a="1"/>
  <c r="E1299" i="1"/>
  <c r="D1299" i="1"/>
  <c r="C1299" i="1" a="1"/>
  <c r="C1299" i="1"/>
  <c r="B1299" i="1"/>
  <c r="E1298" i="1" a="1"/>
  <c r="E1298" i="1" s="1"/>
  <c r="D1298" i="1"/>
  <c r="C1298" i="1" a="1"/>
  <c r="C1298" i="1" s="1"/>
  <c r="B1298" i="1"/>
  <c r="G1297" i="1"/>
  <c r="D1297" i="1"/>
  <c r="C1297" i="1" a="1"/>
  <c r="C1297" i="1" s="1"/>
  <c r="B1297" i="1"/>
  <c r="G1296" i="1"/>
  <c r="D1296" i="1"/>
  <c r="C1296" i="1" a="1"/>
  <c r="C1296" i="1" s="1"/>
  <c r="B1296" i="1"/>
  <c r="G1295" i="1"/>
  <c r="E1295" i="1" a="1"/>
  <c r="E1295" i="1"/>
  <c r="D1295" i="1"/>
  <c r="C1295" i="1" a="1"/>
  <c r="C1295" i="1"/>
  <c r="B1295" i="1"/>
  <c r="E1294" i="1" a="1"/>
  <c r="E1294" i="1" s="1"/>
  <c r="D1294" i="1"/>
  <c r="C1294" i="1" a="1"/>
  <c r="C1294" i="1" s="1"/>
  <c r="B1294" i="1"/>
  <c r="I1293" i="1"/>
  <c r="E1293" i="1" a="1"/>
  <c r="E1293" i="1" s="1"/>
  <c r="D1293" i="1"/>
  <c r="C1293" i="1" a="1"/>
  <c r="C1293" i="1" s="1"/>
  <c r="B1293" i="1"/>
  <c r="I1292" i="1"/>
  <c r="G1292" i="1"/>
  <c r="E1292" i="1" a="1"/>
  <c r="E1292" i="1" s="1"/>
  <c r="D1292" i="1"/>
  <c r="C1292" i="1" a="1"/>
  <c r="C1292" i="1" s="1"/>
  <c r="B1292" i="1"/>
  <c r="E1291" i="1" a="1"/>
  <c r="E1291" i="1"/>
  <c r="D1291" i="1"/>
  <c r="C1291" i="1" a="1"/>
  <c r="C1291" i="1"/>
  <c r="B1291" i="1"/>
  <c r="E1290" i="1" a="1"/>
  <c r="E1290" i="1"/>
  <c r="D1290" i="1"/>
  <c r="C1290" i="1" a="1"/>
  <c r="C1290" i="1"/>
  <c r="B1290" i="1"/>
  <c r="D1289" i="1"/>
  <c r="C1289" i="1" a="1"/>
  <c r="C1289" i="1" s="1"/>
  <c r="B1289" i="1"/>
  <c r="D1288" i="1"/>
  <c r="C1288" i="1" a="1"/>
  <c r="C1288" i="1"/>
  <c r="B1288" i="1"/>
  <c r="E1287" i="1" a="1"/>
  <c r="E1287" i="1"/>
  <c r="D1287" i="1"/>
  <c r="C1287" i="1" a="1"/>
  <c r="C1287" i="1" s="1"/>
  <c r="B1287" i="1"/>
  <c r="E1286" i="1" a="1"/>
  <c r="E1286" i="1" s="1"/>
  <c r="D1286" i="1"/>
  <c r="C1286" i="1" a="1"/>
  <c r="C1286" i="1" s="1"/>
  <c r="B1286" i="1"/>
  <c r="E1285" i="1" a="1"/>
  <c r="E1285" i="1" s="1"/>
  <c r="D1285" i="1"/>
  <c r="C1285" i="1" a="1"/>
  <c r="C1285" i="1"/>
  <c r="B1285" i="1"/>
  <c r="G1284" i="1"/>
  <c r="D1284" i="1"/>
  <c r="C1284" i="1" a="1"/>
  <c r="C1284" i="1" s="1"/>
  <c r="B1284" i="1"/>
  <c r="G1283" i="1"/>
  <c r="E1283" i="1" a="1"/>
  <c r="E1283" i="1" s="1"/>
  <c r="D1283" i="1"/>
  <c r="C1283" i="1" a="1"/>
  <c r="C1283" i="1" s="1"/>
  <c r="B1283" i="1"/>
  <c r="D1282" i="1"/>
  <c r="C1282" i="1" a="1"/>
  <c r="C1282" i="1"/>
  <c r="B1282" i="1"/>
  <c r="E1281" i="1" a="1"/>
  <c r="E1281" i="1" s="1"/>
  <c r="D1281" i="1"/>
  <c r="C1281" i="1" a="1"/>
  <c r="C1281" i="1" s="1"/>
  <c r="B1281" i="1"/>
  <c r="D1280" i="1"/>
  <c r="C1280" i="1" a="1"/>
  <c r="C1280" i="1"/>
  <c r="B1280" i="1"/>
  <c r="E1279" i="1" a="1"/>
  <c r="E1279" i="1"/>
  <c r="D1279" i="1"/>
  <c r="C1279" i="1" a="1"/>
  <c r="C1279" i="1"/>
  <c r="B1279" i="1"/>
  <c r="D1278" i="1"/>
  <c r="C1278" i="1" a="1"/>
  <c r="C1278" i="1" s="1"/>
  <c r="B1278" i="1"/>
  <c r="G1277" i="1"/>
  <c r="E1277" i="1" a="1"/>
  <c r="E1277" i="1"/>
  <c r="D1277" i="1"/>
  <c r="C1277" i="1" a="1"/>
  <c r="C1277" i="1"/>
  <c r="B1277" i="1"/>
  <c r="E1276" i="1" a="1"/>
  <c r="E1276" i="1" s="1"/>
  <c r="D1276" i="1"/>
  <c r="C1276" i="1" a="1"/>
  <c r="C1276" i="1" s="1"/>
  <c r="B1276" i="1"/>
  <c r="G1275" i="1"/>
  <c r="E1275" i="1" a="1"/>
  <c r="E1275" i="1" s="1"/>
  <c r="D1275" i="1"/>
  <c r="C1275" i="1" a="1"/>
  <c r="C1275" i="1"/>
  <c r="B1275" i="1"/>
  <c r="G1274" i="1"/>
  <c r="E1274" i="1" a="1"/>
  <c r="E1274" i="1" s="1"/>
  <c r="D1274" i="1"/>
  <c r="C1274" i="1" a="1"/>
  <c r="C1274" i="1"/>
  <c r="B1274" i="1"/>
  <c r="I1273" i="1"/>
  <c r="G1273" i="1"/>
  <c r="E1273" i="1" a="1"/>
  <c r="E1273" i="1" s="1"/>
  <c r="D1273" i="1"/>
  <c r="C1273" i="1" a="1"/>
  <c r="C1273" i="1"/>
  <c r="B1273" i="1"/>
  <c r="G1272" i="1"/>
  <c r="E1272" i="1" a="1"/>
  <c r="E1272" i="1" s="1"/>
  <c r="D1272" i="1"/>
  <c r="C1272" i="1" a="1"/>
  <c r="C1272" i="1"/>
  <c r="B1272" i="1"/>
  <c r="E1271" i="1" a="1"/>
  <c r="E1271" i="1"/>
  <c r="D1271" i="1"/>
  <c r="C1271" i="1" a="1"/>
  <c r="C1271" i="1" s="1"/>
  <c r="B1271" i="1"/>
  <c r="E1270" i="1" a="1"/>
  <c r="E1270" i="1"/>
  <c r="D1270" i="1"/>
  <c r="C1270" i="1" a="1"/>
  <c r="C1270" i="1" s="1"/>
  <c r="B1270" i="1"/>
  <c r="E1269" i="1" a="1"/>
  <c r="E1269" i="1" s="1"/>
  <c r="D1269" i="1"/>
  <c r="C1269" i="1" a="1"/>
  <c r="C1269" i="1" s="1"/>
  <c r="B1269" i="1"/>
  <c r="G1268" i="1"/>
  <c r="D1268" i="1"/>
  <c r="C1268" i="1" a="1"/>
  <c r="C1268" i="1" s="1"/>
  <c r="B1268" i="1"/>
  <c r="G1267" i="1"/>
  <c r="E1267" i="1" a="1"/>
  <c r="E1267" i="1"/>
  <c r="D1267" i="1"/>
  <c r="C1267" i="1" a="1"/>
  <c r="C1267" i="1" s="1"/>
  <c r="B1267" i="1"/>
  <c r="G1266" i="1"/>
  <c r="E1266" i="1" a="1"/>
  <c r="E1266" i="1" s="1"/>
  <c r="D1266" i="1"/>
  <c r="C1266" i="1" a="1"/>
  <c r="C1266" i="1" s="1"/>
  <c r="B1266" i="1"/>
  <c r="E1265" i="1" a="1"/>
  <c r="E1265" i="1"/>
  <c r="D1265" i="1"/>
  <c r="C1265" i="1" a="1"/>
  <c r="C1265" i="1" s="1"/>
  <c r="B1265" i="1"/>
  <c r="E1264" i="1" a="1"/>
  <c r="E1264" i="1"/>
  <c r="D1264" i="1"/>
  <c r="C1264" i="1" a="1"/>
  <c r="C1264" i="1"/>
  <c r="B1264" i="1"/>
  <c r="E1263" i="1" a="1"/>
  <c r="E1263" i="1" s="1"/>
  <c r="D1263" i="1"/>
  <c r="C1263" i="1" a="1"/>
  <c r="C1263" i="1" s="1"/>
  <c r="B1263" i="1"/>
  <c r="I1262" i="1"/>
  <c r="E1262" i="1" a="1"/>
  <c r="E1262" i="1" s="1"/>
  <c r="D1262" i="1"/>
  <c r="C1262" i="1" a="1"/>
  <c r="C1262" i="1" s="1"/>
  <c r="B1262" i="1"/>
  <c r="E1261" i="1" a="1"/>
  <c r="E1261" i="1" s="1"/>
  <c r="D1261" i="1"/>
  <c r="C1261" i="1" a="1"/>
  <c r="C1261" i="1"/>
  <c r="B1261" i="1"/>
  <c r="D1260" i="1"/>
  <c r="C1260" i="1" a="1"/>
  <c r="C1260" i="1" s="1"/>
  <c r="B1260" i="1"/>
  <c r="G1259" i="1"/>
  <c r="D1259" i="1"/>
  <c r="C1259" i="1" a="1"/>
  <c r="C1259" i="1"/>
  <c r="B1259" i="1"/>
  <c r="G1258" i="1"/>
  <c r="E1258" i="1" a="1"/>
  <c r="E1258" i="1" s="1"/>
  <c r="D1258" i="1"/>
  <c r="C1258" i="1" a="1"/>
  <c r="C1258" i="1"/>
  <c r="B1258" i="1"/>
  <c r="G1257" i="1"/>
  <c r="E1257" i="1" a="1"/>
  <c r="E1257" i="1" s="1"/>
  <c r="D1257" i="1"/>
  <c r="C1257" i="1" a="1"/>
  <c r="C1257" i="1" s="1"/>
  <c r="B1257" i="1"/>
  <c r="G1256" i="1"/>
  <c r="E1256" i="1" a="1"/>
  <c r="E1256" i="1"/>
  <c r="D1256" i="1"/>
  <c r="C1256" i="1" a="1"/>
  <c r="C1256" i="1" s="1"/>
  <c r="B1256" i="1"/>
  <c r="E1255" i="1" a="1"/>
  <c r="E1255" i="1" s="1"/>
  <c r="D1255" i="1"/>
  <c r="C1255" i="1" a="1"/>
  <c r="C1255" i="1" s="1"/>
  <c r="B1255" i="1"/>
  <c r="E1254" i="1" a="1"/>
  <c r="E1254" i="1"/>
  <c r="D1254" i="1"/>
  <c r="C1254" i="1" a="1"/>
  <c r="C1254" i="1" s="1"/>
  <c r="B1254" i="1"/>
  <c r="G1253" i="1"/>
  <c r="E1253" i="1" a="1"/>
  <c r="E1253" i="1"/>
  <c r="D1253" i="1"/>
  <c r="C1253" i="1" a="1"/>
  <c r="C1253" i="1"/>
  <c r="B1253" i="1"/>
  <c r="G1252" i="1"/>
  <c r="E1252" i="1" a="1"/>
  <c r="E1252" i="1"/>
  <c r="D1252" i="1"/>
  <c r="C1252" i="1" a="1"/>
  <c r="C1252" i="1"/>
  <c r="B1252" i="1"/>
  <c r="D1251" i="1"/>
  <c r="C1251" i="1" a="1"/>
  <c r="C1251" i="1"/>
  <c r="B1251" i="1"/>
  <c r="D1250" i="1"/>
  <c r="C1250" i="1" a="1"/>
  <c r="C1250" i="1" s="1"/>
  <c r="B1250" i="1"/>
  <c r="G1249" i="1"/>
  <c r="E1249" i="1" a="1"/>
  <c r="E1249" i="1"/>
  <c r="D1249" i="1"/>
  <c r="C1249" i="1" a="1"/>
  <c r="C1249" i="1" s="1"/>
  <c r="B1249" i="1"/>
  <c r="G1248" i="1"/>
  <c r="E1248" i="1" a="1"/>
  <c r="E1248" i="1"/>
  <c r="D1248" i="1"/>
  <c r="C1248" i="1" a="1"/>
  <c r="C1248" i="1"/>
  <c r="B1248" i="1"/>
  <c r="E1247" i="1" a="1"/>
  <c r="E1247" i="1" s="1"/>
  <c r="D1247" i="1"/>
  <c r="C1247" i="1" a="1"/>
  <c r="C1247" i="1" s="1"/>
  <c r="B1247" i="1"/>
  <c r="G1246" i="1"/>
  <c r="E1246" i="1" a="1"/>
  <c r="E1246" i="1" s="1"/>
  <c r="D1246" i="1"/>
  <c r="C1246" i="1" a="1"/>
  <c r="C1246" i="1"/>
  <c r="B1246" i="1"/>
  <c r="G1245" i="1"/>
  <c r="E1245" i="1" a="1"/>
  <c r="E1245" i="1" s="1"/>
  <c r="D1245" i="1"/>
  <c r="C1245" i="1" a="1"/>
  <c r="C1245" i="1"/>
  <c r="B1245" i="1"/>
  <c r="I1244" i="1"/>
  <c r="G1244" i="1"/>
  <c r="E1244" i="1" a="1"/>
  <c r="E1244" i="1" s="1"/>
  <c r="D1244" i="1"/>
  <c r="C1244" i="1" a="1"/>
  <c r="C1244" i="1"/>
  <c r="B1244" i="1"/>
  <c r="I1243" i="1"/>
  <c r="G1243" i="1"/>
  <c r="E1243" i="1" a="1"/>
  <c r="E1243" i="1" s="1"/>
  <c r="D1243" i="1"/>
  <c r="C1243" i="1" a="1"/>
  <c r="C1243" i="1"/>
  <c r="B1243" i="1"/>
  <c r="E1242" i="1" a="1"/>
  <c r="E1242" i="1"/>
  <c r="D1242" i="1"/>
  <c r="C1242" i="1" a="1"/>
  <c r="C1242" i="1" s="1"/>
  <c r="B1242" i="1"/>
  <c r="G1241" i="1"/>
  <c r="D1241" i="1"/>
  <c r="C1241" i="1" a="1"/>
  <c r="C1241" i="1"/>
  <c r="B1241" i="1"/>
  <c r="G1240" i="1"/>
  <c r="D1240" i="1"/>
  <c r="C1240" i="1" a="1"/>
  <c r="C1240" i="1"/>
  <c r="B1240" i="1"/>
  <c r="E1239" i="1" a="1"/>
  <c r="E1239" i="1" s="1"/>
  <c r="D1239" i="1"/>
  <c r="C1239" i="1" a="1"/>
  <c r="C1239" i="1" s="1"/>
  <c r="B1239" i="1"/>
  <c r="G1238" i="1"/>
  <c r="D1238" i="1"/>
  <c r="C1238" i="1" a="1"/>
  <c r="C1238" i="1" s="1"/>
  <c r="B1238" i="1"/>
  <c r="G1237" i="1"/>
  <c r="E1237" i="1" a="1"/>
  <c r="E1237" i="1"/>
  <c r="D1237" i="1"/>
  <c r="C1237" i="1" a="1"/>
  <c r="C1237" i="1"/>
  <c r="B1237" i="1"/>
  <c r="D1236" i="1"/>
  <c r="C1236" i="1" a="1"/>
  <c r="C1236" i="1"/>
  <c r="B1236" i="1"/>
  <c r="G1235" i="1"/>
  <c r="D1235" i="1"/>
  <c r="C1235" i="1" a="1"/>
  <c r="C1235" i="1" s="1"/>
  <c r="B1235" i="1"/>
  <c r="G1234" i="1"/>
  <c r="E1234" i="1" a="1"/>
  <c r="E1234" i="1"/>
  <c r="D1234" i="1"/>
  <c r="C1234" i="1" a="1"/>
  <c r="C1234" i="1" s="1"/>
  <c r="B1234" i="1"/>
  <c r="G1233" i="1"/>
  <c r="E1233" i="1" a="1"/>
  <c r="E1233" i="1"/>
  <c r="D1233" i="1"/>
  <c r="C1233" i="1" a="1"/>
  <c r="C1233" i="1" s="1"/>
  <c r="B1233" i="1"/>
  <c r="G1232" i="1"/>
  <c r="E1232" i="1" a="1"/>
  <c r="E1232" i="1"/>
  <c r="D1232" i="1"/>
  <c r="C1232" i="1" a="1"/>
  <c r="C1232" i="1" s="1"/>
  <c r="B1232" i="1"/>
  <c r="G1231" i="1"/>
  <c r="G1230" i="1"/>
  <c r="G1229" i="1"/>
  <c r="G1228" i="1"/>
  <c r="E1228" i="1" a="1"/>
  <c r="E1228" i="1"/>
  <c r="D1228" i="1"/>
  <c r="C1228" i="1" a="1"/>
  <c r="C1228" i="1" s="1"/>
  <c r="B1228" i="1"/>
  <c r="G1227" i="1"/>
  <c r="D1227" i="1"/>
  <c r="C1227" i="1" a="1"/>
  <c r="C1227" i="1"/>
  <c r="B1227" i="1"/>
  <c r="E1226" i="1" a="1"/>
  <c r="E1226" i="1"/>
  <c r="D1226" i="1"/>
  <c r="C1226" i="1" a="1"/>
  <c r="C1226" i="1" s="1"/>
  <c r="B1226" i="1"/>
  <c r="E1225" i="1" a="1"/>
  <c r="E1225" i="1" s="1"/>
  <c r="D1225" i="1"/>
  <c r="C1225" i="1" a="1"/>
  <c r="C1225" i="1"/>
  <c r="B1225" i="1"/>
  <c r="G1224" i="1"/>
  <c r="D1224" i="1"/>
  <c r="C1224" i="1" a="1"/>
  <c r="C1224" i="1" s="1"/>
  <c r="B1224" i="1"/>
  <c r="I1223" i="1"/>
  <c r="G1223" i="1"/>
  <c r="E1223" i="1" a="1"/>
  <c r="E1223" i="1"/>
  <c r="D1223" i="1"/>
  <c r="C1223" i="1" a="1"/>
  <c r="C1223" i="1" s="1"/>
  <c r="B1223" i="1"/>
  <c r="G1222" i="1"/>
  <c r="E1222" i="1" a="1"/>
  <c r="E1222" i="1"/>
  <c r="D1222" i="1"/>
  <c r="C1222" i="1" a="1"/>
  <c r="C1222" i="1" s="1"/>
  <c r="B1222" i="1"/>
  <c r="I1221" i="1"/>
  <c r="G1221" i="1"/>
  <c r="D1221" i="1"/>
  <c r="C1221" i="1" a="1"/>
  <c r="C1221" i="1" s="1"/>
  <c r="B1221" i="1"/>
  <c r="D1220" i="1"/>
  <c r="E1219" i="1" a="1"/>
  <c r="E1219" i="1"/>
  <c r="D1219" i="1"/>
  <c r="C1219" i="1" a="1"/>
  <c r="C1219" i="1"/>
  <c r="B1219" i="1"/>
  <c r="I1218" i="1"/>
  <c r="E1218" i="1" a="1"/>
  <c r="E1218" i="1"/>
  <c r="D1218" i="1"/>
  <c r="C1218" i="1" a="1"/>
  <c r="C1218" i="1"/>
  <c r="B1218" i="1"/>
  <c r="D1216" i="1"/>
  <c r="C1216" i="1" a="1"/>
  <c r="C1216" i="1"/>
  <c r="B1216" i="1"/>
  <c r="D1215" i="1"/>
  <c r="C1215" i="1" a="1"/>
  <c r="C1215" i="1"/>
  <c r="B1215" i="1"/>
  <c r="E1214" i="1" a="1"/>
  <c r="E1214" i="1" s="1"/>
  <c r="D1214" i="1"/>
  <c r="C1214" i="1" a="1"/>
  <c r="C1214" i="1"/>
  <c r="B1214" i="1"/>
  <c r="E1213" i="1" a="1"/>
  <c r="E1213" i="1" s="1"/>
  <c r="D1213" i="1"/>
  <c r="C1213" i="1" a="1"/>
  <c r="C1213" i="1" s="1"/>
  <c r="B1213" i="1"/>
  <c r="D1212" i="1"/>
  <c r="C1212" i="1" a="1"/>
  <c r="C1212" i="1"/>
  <c r="B1212" i="1"/>
  <c r="E1211" i="1" a="1"/>
  <c r="E1211" i="1" s="1"/>
  <c r="D1211" i="1"/>
  <c r="C1211" i="1" a="1"/>
  <c r="C1211" i="1"/>
  <c r="B1211" i="1"/>
  <c r="G1210" i="1"/>
  <c r="D1210" i="1"/>
  <c r="C1210" i="1" a="1"/>
  <c r="C1210" i="1" s="1"/>
  <c r="B1210" i="1"/>
  <c r="G1209" i="1"/>
  <c r="E1209" i="1" a="1"/>
  <c r="E1209" i="1"/>
  <c r="D1209" i="1"/>
  <c r="C1209" i="1" a="1"/>
  <c r="C1209" i="1" s="1"/>
  <c r="B1209" i="1"/>
  <c r="G1208" i="1"/>
  <c r="E1208" i="1" a="1"/>
  <c r="E1208" i="1" s="1"/>
  <c r="D1208" i="1"/>
  <c r="C1208" i="1" a="1"/>
  <c r="C1208" i="1" s="1"/>
  <c r="B1208" i="1"/>
  <c r="E1207" i="1" a="1"/>
  <c r="E1207" i="1"/>
  <c r="D1207" i="1"/>
  <c r="C1207" i="1" a="1"/>
  <c r="C1207" i="1" s="1"/>
  <c r="B1207" i="1"/>
  <c r="D1206" i="1"/>
  <c r="C1206" i="1" a="1"/>
  <c r="C1206" i="1" s="1"/>
  <c r="B1206" i="1"/>
  <c r="E1205" i="1" a="1"/>
  <c r="E1205" i="1" s="1"/>
  <c r="D1205" i="1"/>
  <c r="C1205" i="1" a="1"/>
  <c r="C1205" i="1" s="1"/>
  <c r="B1205" i="1"/>
  <c r="G1204" i="1"/>
  <c r="E1204" i="1" a="1"/>
  <c r="E1204" i="1"/>
  <c r="D1204" i="1"/>
  <c r="C1204" i="1" a="1"/>
  <c r="C1204" i="1" s="1"/>
  <c r="B1204" i="1"/>
  <c r="D1203" i="1"/>
  <c r="C1203" i="1" a="1"/>
  <c r="C1203" i="1"/>
  <c r="B1203" i="1"/>
  <c r="G1202" i="1"/>
  <c r="D1202" i="1"/>
  <c r="C1202" i="1" a="1"/>
  <c r="C1202" i="1" s="1"/>
  <c r="B1202" i="1"/>
  <c r="G1201" i="1"/>
  <c r="D1201" i="1"/>
  <c r="C1201" i="1" a="1"/>
  <c r="C1201" i="1" s="1"/>
  <c r="B1201" i="1"/>
  <c r="D1200" i="1"/>
  <c r="C1200" i="1" a="1"/>
  <c r="C1200" i="1"/>
  <c r="B1200" i="1"/>
  <c r="E1199" i="1" a="1"/>
  <c r="E1199" i="1" s="1"/>
  <c r="D1199" i="1"/>
  <c r="C1199" i="1" a="1"/>
  <c r="C1199" i="1" s="1"/>
  <c r="B1199" i="1"/>
  <c r="E1198" i="1" a="1"/>
  <c r="E1198" i="1" s="1"/>
  <c r="D1198" i="1"/>
  <c r="C1198" i="1" a="1"/>
  <c r="C1198" i="1" s="1"/>
  <c r="B1198" i="1"/>
  <c r="E1197" i="1" a="1"/>
  <c r="E1197" i="1"/>
  <c r="D1197" i="1"/>
  <c r="C1197" i="1" a="1"/>
  <c r="C1197" i="1" s="1"/>
  <c r="B1197" i="1"/>
  <c r="D1196" i="1"/>
  <c r="C1196" i="1" a="1"/>
  <c r="C1196" i="1" s="1"/>
  <c r="B1196" i="1"/>
  <c r="E1195" i="1" a="1"/>
  <c r="E1195" i="1"/>
  <c r="D1195" i="1"/>
  <c r="C1195" i="1" a="1"/>
  <c r="C1195" i="1" s="1"/>
  <c r="B1195" i="1"/>
  <c r="E1194" i="1" a="1"/>
  <c r="E1194" i="1"/>
  <c r="D1194" i="1"/>
  <c r="C1194" i="1" a="1"/>
  <c r="C1194" i="1" s="1"/>
  <c r="B1194" i="1"/>
  <c r="G1193" i="1"/>
  <c r="E1193" i="1" a="1"/>
  <c r="E1193" i="1" s="1"/>
  <c r="D1193" i="1"/>
  <c r="C1193" i="1" a="1"/>
  <c r="C1193" i="1"/>
  <c r="B1193" i="1"/>
  <c r="D1192" i="1"/>
  <c r="C1192" i="1" a="1"/>
  <c r="C1192" i="1" s="1"/>
  <c r="B1192" i="1"/>
  <c r="G1191" i="1"/>
  <c r="E1191" i="1" a="1"/>
  <c r="E1191" i="1"/>
  <c r="D1191" i="1"/>
  <c r="E1190" i="1" a="1"/>
  <c r="E1190" i="1" s="1"/>
  <c r="D1190" i="1"/>
  <c r="I1189" i="1"/>
  <c r="G1189" i="1"/>
  <c r="D1189" i="1"/>
  <c r="G1188" i="1"/>
  <c r="E1188" i="1" a="1"/>
  <c r="E1188" i="1" s="1"/>
  <c r="D1188" i="1"/>
  <c r="C1188" i="1" a="1"/>
  <c r="C1188" i="1" s="1"/>
  <c r="B1188" i="1"/>
  <c r="E1187" i="1" a="1"/>
  <c r="E1187" i="1" s="1"/>
  <c r="D1187" i="1"/>
  <c r="C1187" i="1" a="1"/>
  <c r="C1187" i="1"/>
  <c r="B1187" i="1"/>
  <c r="E1186" i="1" a="1"/>
  <c r="E1186" i="1" s="1"/>
  <c r="D1186" i="1"/>
  <c r="C1186" i="1" a="1"/>
  <c r="C1186" i="1" s="1"/>
  <c r="B1186" i="1"/>
  <c r="G1185" i="1"/>
  <c r="D1185" i="1"/>
  <c r="C1185" i="1" a="1"/>
  <c r="C1185" i="1" s="1"/>
  <c r="B1185" i="1"/>
  <c r="G1184" i="1"/>
  <c r="E1184" i="1" a="1"/>
  <c r="E1184" i="1" s="1"/>
  <c r="D1184" i="1"/>
  <c r="C1184" i="1" a="1"/>
  <c r="C1184" i="1"/>
  <c r="B1184" i="1"/>
  <c r="G1183" i="1"/>
  <c r="D1183" i="1"/>
  <c r="C1183" i="1" a="1"/>
  <c r="C1183" i="1" s="1"/>
  <c r="B1183" i="1"/>
  <c r="G1182" i="1"/>
  <c r="E1182" i="1" a="1"/>
  <c r="E1182" i="1"/>
  <c r="D1182" i="1"/>
  <c r="C1182" i="1" a="1"/>
  <c r="C1182" i="1" s="1"/>
  <c r="B1182" i="1"/>
  <c r="G1181" i="1"/>
  <c r="E1181" i="1" a="1"/>
  <c r="E1181" i="1"/>
  <c r="D1181" i="1"/>
  <c r="G1180" i="1"/>
  <c r="D1180" i="1"/>
  <c r="C1180" i="1" a="1"/>
  <c r="C1180" i="1" s="1"/>
  <c r="B1180" i="1"/>
  <c r="I1179" i="1"/>
  <c r="G1179" i="1"/>
  <c r="E1179" i="1" a="1"/>
  <c r="E1179" i="1" s="1"/>
  <c r="D1179" i="1"/>
  <c r="C1179" i="1" a="1"/>
  <c r="C1179" i="1" s="1"/>
  <c r="B1179" i="1"/>
  <c r="E1178" i="1" a="1"/>
  <c r="E1178" i="1"/>
  <c r="D1178" i="1"/>
  <c r="C1178" i="1" a="1"/>
  <c r="C1178" i="1" s="1"/>
  <c r="B1178" i="1"/>
  <c r="D1177" i="1"/>
  <c r="C1177" i="1" a="1"/>
  <c r="C1177" i="1"/>
  <c r="B1177" i="1"/>
  <c r="D1176" i="1"/>
  <c r="C1176" i="1" a="1"/>
  <c r="C1176" i="1" s="1"/>
  <c r="B1176" i="1"/>
  <c r="G1175" i="1"/>
  <c r="D1175" i="1"/>
  <c r="C1175" i="1" a="1"/>
  <c r="C1175" i="1" s="1"/>
  <c r="B1175" i="1"/>
  <c r="G1174" i="1"/>
  <c r="E1174" i="1" a="1"/>
  <c r="E1174" i="1" s="1"/>
  <c r="D1174" i="1"/>
  <c r="C1174" i="1" a="1"/>
  <c r="C1174" i="1"/>
  <c r="B1174" i="1"/>
  <c r="G1173" i="1"/>
  <c r="D1173" i="1"/>
  <c r="C1173" i="1" a="1"/>
  <c r="C1173" i="1" s="1"/>
  <c r="B1173" i="1"/>
  <c r="G1172" i="1"/>
  <c r="E1172" i="1" a="1"/>
  <c r="E1172" i="1"/>
  <c r="D1172" i="1"/>
  <c r="C1172" i="1" a="1"/>
  <c r="C1172" i="1" s="1"/>
  <c r="B1172" i="1"/>
  <c r="G1171" i="1"/>
  <c r="E1171" i="1" a="1"/>
  <c r="E1171" i="1"/>
  <c r="D1171" i="1"/>
  <c r="C1171" i="1" a="1"/>
  <c r="C1171" i="1"/>
  <c r="B1171" i="1"/>
  <c r="E1170" i="1" a="1"/>
  <c r="E1170" i="1"/>
  <c r="D1170" i="1"/>
  <c r="G1169" i="1"/>
  <c r="E1169" i="1" a="1"/>
  <c r="E1169" i="1"/>
  <c r="D1169" i="1"/>
  <c r="E1168" i="1" a="1"/>
  <c r="E1168" i="1"/>
  <c r="D1168" i="1"/>
  <c r="C1168" i="1" a="1"/>
  <c r="C1168" i="1"/>
  <c r="B1168" i="1"/>
  <c r="I1167" i="1"/>
  <c r="G1167" i="1"/>
  <c r="D1167" i="1"/>
  <c r="C1167" i="1" a="1"/>
  <c r="C1167" i="1"/>
  <c r="B1167" i="1"/>
  <c r="E1166" i="1" a="1"/>
  <c r="E1166" i="1" s="1"/>
  <c r="D1166" i="1"/>
  <c r="C1166" i="1" a="1"/>
  <c r="C1166" i="1"/>
  <c r="B1166" i="1"/>
  <c r="E1165" i="1" a="1"/>
  <c r="E1165" i="1"/>
  <c r="D1165" i="1"/>
  <c r="C1165" i="1" a="1"/>
  <c r="C1165" i="1" s="1"/>
  <c r="B1165" i="1"/>
  <c r="G1164" i="1"/>
  <c r="D1164" i="1"/>
  <c r="C1164" i="1" a="1"/>
  <c r="C1164" i="1" s="1"/>
  <c r="B1164" i="1"/>
  <c r="G1163" i="1"/>
  <c r="D1163" i="1"/>
  <c r="C1163" i="1" a="1"/>
  <c r="C1163" i="1"/>
  <c r="B1163" i="1"/>
  <c r="G1162" i="1"/>
  <c r="E1162" i="1" a="1"/>
  <c r="E1162" i="1"/>
  <c r="D1162" i="1"/>
  <c r="C1162" i="1" a="1"/>
  <c r="C1162" i="1" s="1"/>
  <c r="B1162" i="1"/>
  <c r="G1161" i="1"/>
  <c r="E1161" i="1" a="1"/>
  <c r="E1161" i="1" s="1"/>
  <c r="D1161" i="1"/>
  <c r="C1161" i="1" a="1"/>
  <c r="C1161" i="1" s="1"/>
  <c r="B1161" i="1"/>
  <c r="G1160" i="1"/>
  <c r="E1160" i="1" a="1"/>
  <c r="E1160" i="1"/>
  <c r="D1160" i="1"/>
  <c r="C1160" i="1" a="1"/>
  <c r="C1160" i="1" s="1"/>
  <c r="B1160" i="1"/>
  <c r="G1159" i="1"/>
  <c r="D1159" i="1"/>
  <c r="C1159" i="1" a="1"/>
  <c r="C1159" i="1" s="1"/>
  <c r="B1159" i="1"/>
  <c r="G1158" i="1"/>
  <c r="D1158" i="1"/>
  <c r="C1158" i="1" a="1"/>
  <c r="C1158" i="1" s="1"/>
  <c r="B1158" i="1"/>
  <c r="I1157" i="1"/>
  <c r="G1157" i="1"/>
  <c r="E1157" i="1" a="1"/>
  <c r="E1157" i="1"/>
  <c r="D1157" i="1"/>
  <c r="C1157" i="1" a="1"/>
  <c r="C1157" i="1" s="1"/>
  <c r="B1157" i="1"/>
  <c r="D1156" i="1"/>
  <c r="D1155" i="1"/>
  <c r="C1155" i="1" a="1"/>
  <c r="C1155" i="1" s="1"/>
  <c r="B1155" i="1"/>
  <c r="E1154" i="1" a="1"/>
  <c r="E1154" i="1" s="1"/>
  <c r="D1154" i="1"/>
  <c r="C1154" i="1" a="1"/>
  <c r="C1154" i="1"/>
  <c r="B1154" i="1"/>
  <c r="D1153" i="1"/>
  <c r="C1153" i="1" a="1"/>
  <c r="C1153" i="1"/>
  <c r="B1153" i="1"/>
  <c r="D1152" i="1"/>
  <c r="D1151" i="1"/>
  <c r="C1151" i="1" a="1"/>
  <c r="C1151" i="1" s="1"/>
  <c r="B1151" i="1"/>
  <c r="D1150" i="1"/>
  <c r="C1150" i="1" a="1"/>
  <c r="C1150" i="1"/>
  <c r="B1150" i="1"/>
  <c r="G1149" i="1"/>
  <c r="D1149" i="1"/>
  <c r="C1149" i="1" a="1"/>
  <c r="C1149" i="1" s="1"/>
  <c r="B1149" i="1"/>
  <c r="G1148" i="1"/>
  <c r="D1148" i="1"/>
  <c r="C1148" i="1" a="1"/>
  <c r="C1148" i="1" s="1"/>
  <c r="B1148" i="1"/>
  <c r="G1147" i="1"/>
  <c r="E1147" i="1" a="1"/>
  <c r="E1147" i="1"/>
  <c r="D1147" i="1"/>
  <c r="C1147" i="1" a="1"/>
  <c r="C1147" i="1"/>
  <c r="B1147" i="1"/>
  <c r="I1146" i="1"/>
  <c r="G1146" i="1"/>
  <c r="D1146" i="1"/>
  <c r="C1146" i="1" a="1"/>
  <c r="C1146" i="1" s="1"/>
  <c r="B1146" i="1"/>
  <c r="G1145" i="1"/>
  <c r="G1144" i="1"/>
  <c r="G1143" i="1"/>
  <c r="G1142" i="1"/>
  <c r="G1141" i="1"/>
  <c r="G1140" i="1"/>
  <c r="E1140" i="1" a="1"/>
  <c r="E1140" i="1"/>
  <c r="D1140" i="1"/>
  <c r="C1140" i="1" a="1"/>
  <c r="C1140" i="1" s="1"/>
  <c r="B1140" i="1"/>
  <c r="E1139" i="1" a="1"/>
  <c r="E1139" i="1" s="1"/>
  <c r="D1139" i="1"/>
  <c r="C1139" i="1" a="1"/>
  <c r="C1139" i="1" s="1"/>
  <c r="B1139" i="1"/>
  <c r="G1138" i="1"/>
  <c r="E1138" i="1" a="1"/>
  <c r="E1138" i="1"/>
  <c r="D1138" i="1"/>
  <c r="C1138" i="1" a="1"/>
  <c r="C1138" i="1"/>
  <c r="B1138" i="1"/>
  <c r="G1137" i="1"/>
  <c r="D1137" i="1"/>
  <c r="C1137" i="1" a="1"/>
  <c r="C1137" i="1"/>
  <c r="B1137" i="1"/>
  <c r="I1136" i="1"/>
  <c r="G1136" i="1"/>
  <c r="E1136" i="1" a="1"/>
  <c r="E1136" i="1"/>
  <c r="D1136" i="1"/>
  <c r="C1136" i="1" a="1"/>
  <c r="C1136" i="1" s="1"/>
  <c r="B1136" i="1"/>
  <c r="G1135" i="1"/>
  <c r="E1135" i="1" a="1"/>
  <c r="E1135" i="1"/>
  <c r="D1135" i="1"/>
  <c r="C1135" i="1" a="1"/>
  <c r="C1135" i="1" s="1"/>
  <c r="B1135" i="1"/>
  <c r="G1134" i="1"/>
  <c r="D1134" i="1"/>
  <c r="C1134" i="1" a="1"/>
  <c r="C1134" i="1" s="1"/>
  <c r="B1134" i="1"/>
  <c r="G1133" i="1"/>
  <c r="D1133" i="1"/>
  <c r="C1133" i="1" a="1"/>
  <c r="C1133" i="1" s="1"/>
  <c r="B1133" i="1"/>
  <c r="G1132" i="1"/>
  <c r="E1132" i="1" a="1"/>
  <c r="E1132" i="1" s="1"/>
  <c r="D1132" i="1"/>
  <c r="C1132" i="1" a="1"/>
  <c r="C1132" i="1" s="1"/>
  <c r="B1132" i="1"/>
  <c r="G1131" i="1"/>
  <c r="E1131" i="1" a="1"/>
  <c r="E1131" i="1" s="1"/>
  <c r="D1131" i="1"/>
  <c r="C1131" i="1" a="1"/>
  <c r="C1131" i="1" s="1"/>
  <c r="B1131" i="1"/>
  <c r="G1130" i="1"/>
  <c r="E1130" i="1" a="1"/>
  <c r="E1130" i="1"/>
  <c r="D1130" i="1"/>
  <c r="C1130" i="1" a="1"/>
  <c r="C1130" i="1"/>
  <c r="B1130" i="1"/>
  <c r="D1129" i="1"/>
  <c r="C1129" i="1" a="1"/>
  <c r="C1129" i="1"/>
  <c r="B1129" i="1"/>
  <c r="G1128" i="1"/>
  <c r="E1128" i="1" a="1"/>
  <c r="E1128" i="1" s="1"/>
  <c r="D1128" i="1"/>
  <c r="C1128" i="1" a="1"/>
  <c r="C1128" i="1"/>
  <c r="B1128" i="1"/>
  <c r="G1127" i="1"/>
  <c r="E1127" i="1" a="1"/>
  <c r="E1127" i="1" s="1"/>
  <c r="D1127" i="1"/>
  <c r="C1127" i="1" a="1"/>
  <c r="C1127" i="1" s="1"/>
  <c r="B1127" i="1"/>
  <c r="I1126" i="1"/>
  <c r="G1126" i="1"/>
  <c r="E1126" i="1" a="1"/>
  <c r="E1126" i="1"/>
  <c r="D1126" i="1"/>
  <c r="C1126" i="1" a="1"/>
  <c r="C1126" i="1" s="1"/>
  <c r="B1126" i="1"/>
  <c r="G1125" i="1"/>
  <c r="G1124" i="1"/>
  <c r="E1124" i="1" a="1"/>
  <c r="E1124" i="1"/>
  <c r="D1124" i="1"/>
  <c r="C1124" i="1" a="1"/>
  <c r="C1124" i="1" s="1"/>
  <c r="B1124" i="1"/>
  <c r="G1123" i="1"/>
  <c r="E1123" i="1" a="1"/>
  <c r="E1123" i="1"/>
  <c r="D1123" i="1"/>
  <c r="C1123" i="1" a="1"/>
  <c r="C1123" i="1"/>
  <c r="B1123" i="1"/>
  <c r="G1122" i="1"/>
  <c r="D1122" i="1"/>
  <c r="C1122" i="1" a="1"/>
  <c r="C1122" i="1"/>
  <c r="B1122" i="1"/>
  <c r="G1121" i="1"/>
  <c r="D1121" i="1"/>
  <c r="C1121" i="1" a="1"/>
  <c r="C1121" i="1"/>
  <c r="B1121" i="1"/>
  <c r="G1120" i="1"/>
  <c r="D1120" i="1"/>
  <c r="C1120" i="1" a="1"/>
  <c r="C1120" i="1" s="1"/>
  <c r="B1120" i="1"/>
  <c r="E1119" i="1" a="1"/>
  <c r="E1119" i="1"/>
  <c r="D1119" i="1"/>
  <c r="C1119" i="1" a="1"/>
  <c r="C1119" i="1" s="1"/>
  <c r="B1119" i="1"/>
  <c r="G1118" i="1"/>
  <c r="E1118" i="1" a="1"/>
  <c r="E1118" i="1"/>
  <c r="D1118" i="1"/>
  <c r="C1118" i="1" a="1"/>
  <c r="C1118" i="1"/>
  <c r="B1118" i="1"/>
  <c r="G1117" i="1"/>
  <c r="E1117" i="1" a="1"/>
  <c r="E1117" i="1" s="1"/>
  <c r="D1117" i="1"/>
  <c r="C1117" i="1" a="1"/>
  <c r="C1117" i="1" s="1"/>
  <c r="B1117" i="1"/>
  <c r="I1116" i="1"/>
  <c r="G1116" i="1"/>
  <c r="E1116" i="1" a="1"/>
  <c r="E1116" i="1" s="1"/>
  <c r="D1116" i="1"/>
  <c r="C1116" i="1" a="1"/>
  <c r="C1116" i="1"/>
  <c r="B1116" i="1"/>
  <c r="G1115" i="1"/>
  <c r="G1114" i="1"/>
  <c r="E1114" i="1" a="1"/>
  <c r="E1114" i="1" s="1"/>
  <c r="D1114" i="1"/>
  <c r="C1114" i="1" a="1"/>
  <c r="C1114" i="1"/>
  <c r="B1114" i="1"/>
  <c r="G1113" i="1"/>
  <c r="E1113" i="1" a="1"/>
  <c r="E1113" i="1"/>
  <c r="D1113" i="1"/>
  <c r="C1113" i="1" a="1"/>
  <c r="C1113" i="1"/>
  <c r="B1113" i="1"/>
  <c r="G1112" i="1"/>
  <c r="D1112" i="1"/>
  <c r="C1112" i="1" a="1"/>
  <c r="C1112" i="1"/>
  <c r="B1112" i="1"/>
  <c r="G1111" i="1"/>
  <c r="D1111" i="1"/>
  <c r="C1111" i="1" a="1"/>
  <c r="C1111" i="1"/>
  <c r="B1111" i="1"/>
  <c r="G1110" i="1"/>
  <c r="D1110" i="1"/>
  <c r="C1110" i="1" a="1"/>
  <c r="C1110" i="1"/>
  <c r="B1110" i="1"/>
  <c r="E1109" i="1" a="1"/>
  <c r="E1109" i="1" s="1"/>
  <c r="D1109" i="1"/>
  <c r="C1109" i="1" a="1"/>
  <c r="C1109" i="1" s="1"/>
  <c r="B1109" i="1"/>
  <c r="G1108" i="1"/>
  <c r="E1108" i="1" a="1"/>
  <c r="E1108" i="1"/>
  <c r="D1108" i="1"/>
  <c r="C1108" i="1" a="1"/>
  <c r="C1108" i="1"/>
  <c r="B1108" i="1"/>
  <c r="G1107" i="1"/>
  <c r="E1107" i="1" a="1"/>
  <c r="E1107" i="1" s="1"/>
  <c r="D1107" i="1"/>
  <c r="C1107" i="1" a="1"/>
  <c r="C1107" i="1" s="1"/>
  <c r="B1107" i="1"/>
  <c r="I1106" i="1"/>
  <c r="G1106" i="1"/>
  <c r="E1106" i="1" a="1"/>
  <c r="E1106" i="1"/>
  <c r="D1106" i="1"/>
  <c r="C1106" i="1" a="1"/>
  <c r="C1106" i="1" s="1"/>
  <c r="B1106" i="1"/>
  <c r="G1105" i="1"/>
  <c r="E1105" i="1" a="1"/>
  <c r="E1105" i="1"/>
  <c r="D1105" i="1"/>
  <c r="C1105" i="1" a="1"/>
  <c r="C1105" i="1" s="1"/>
  <c r="B1105" i="1"/>
  <c r="G1104" i="1"/>
  <c r="E1104" i="1" a="1"/>
  <c r="E1104" i="1"/>
  <c r="D1104" i="1"/>
  <c r="C1104" i="1" a="1"/>
  <c r="C1104" i="1"/>
  <c r="B1104" i="1"/>
  <c r="G1103" i="1"/>
  <c r="E1103" i="1" a="1"/>
  <c r="E1103" i="1" s="1"/>
  <c r="D1103" i="1"/>
  <c r="C1103" i="1" a="1"/>
  <c r="C1103" i="1"/>
  <c r="B1103" i="1"/>
  <c r="G1102" i="1"/>
  <c r="E1102" i="1" a="1"/>
  <c r="E1102" i="1"/>
  <c r="D1102" i="1"/>
  <c r="C1102" i="1" a="1"/>
  <c r="C1102" i="1"/>
  <c r="B1102" i="1"/>
  <c r="G1101" i="1"/>
  <c r="D1101" i="1"/>
  <c r="C1101" i="1" a="1"/>
  <c r="C1101" i="1" s="1"/>
  <c r="B1101" i="1"/>
  <c r="G1100" i="1"/>
  <c r="D1100" i="1"/>
  <c r="C1100" i="1" a="1"/>
  <c r="C1100" i="1"/>
  <c r="B1100" i="1"/>
  <c r="E1099" i="1" a="1"/>
  <c r="E1099" i="1" s="1"/>
  <c r="D1099" i="1"/>
  <c r="G1098" i="1"/>
  <c r="D1098" i="1"/>
  <c r="G1097" i="1"/>
  <c r="D1097" i="1"/>
  <c r="I1096" i="1"/>
  <c r="G1096" i="1"/>
  <c r="E1096" i="1" a="1"/>
  <c r="E1096" i="1"/>
  <c r="D1096" i="1"/>
  <c r="C1096" i="1" a="1"/>
  <c r="C1096" i="1" s="1"/>
  <c r="B1096" i="1"/>
  <c r="G1095" i="1"/>
  <c r="G1094" i="1"/>
  <c r="G1093" i="1"/>
  <c r="E1093" i="1" a="1"/>
  <c r="E1093" i="1"/>
  <c r="D1093" i="1"/>
  <c r="C1093" i="1" a="1"/>
  <c r="C1093" i="1"/>
  <c r="B1093" i="1"/>
  <c r="G1092" i="1"/>
  <c r="E1092" i="1" a="1"/>
  <c r="E1092" i="1"/>
  <c r="D1092" i="1"/>
  <c r="C1092" i="1" a="1"/>
  <c r="C1092" i="1" s="1"/>
  <c r="B1092" i="1"/>
  <c r="G1091" i="1"/>
  <c r="E1091" i="1" a="1"/>
  <c r="E1091" i="1" s="1"/>
  <c r="D1091" i="1"/>
  <c r="C1091" i="1" a="1"/>
  <c r="C1091" i="1"/>
  <c r="B1091" i="1"/>
  <c r="E1090" i="1" a="1"/>
  <c r="E1090" i="1"/>
  <c r="D1090" i="1"/>
  <c r="C1090" i="1" a="1"/>
  <c r="C1090" i="1"/>
  <c r="B1090" i="1"/>
  <c r="G1089" i="1"/>
  <c r="D1089" i="1"/>
  <c r="C1089" i="1" a="1"/>
  <c r="C1089" i="1" s="1"/>
  <c r="B1089" i="1"/>
  <c r="G1088" i="1"/>
  <c r="D1088" i="1"/>
  <c r="C1088" i="1" a="1"/>
  <c r="C1088" i="1"/>
  <c r="B1088" i="1"/>
  <c r="I1087" i="1"/>
  <c r="G1087" i="1"/>
  <c r="E1087" i="1" a="1"/>
  <c r="E1087" i="1"/>
  <c r="D1087" i="1"/>
  <c r="C1087" i="1" a="1"/>
  <c r="C1087" i="1"/>
  <c r="B1087" i="1"/>
  <c r="G1086" i="1"/>
  <c r="G1085" i="1"/>
  <c r="D1085" i="1"/>
  <c r="C1085" i="1" a="1"/>
  <c r="C1085" i="1"/>
  <c r="B1085" i="1"/>
  <c r="G1084" i="1"/>
  <c r="D1084" i="1"/>
  <c r="C1084" i="1" a="1"/>
  <c r="C1084" i="1" s="1"/>
  <c r="B1084" i="1"/>
  <c r="G1083" i="1"/>
  <c r="D1083" i="1"/>
  <c r="C1083" i="1" a="1"/>
  <c r="C1083" i="1" s="1"/>
  <c r="B1083" i="1"/>
  <c r="G1082" i="1"/>
  <c r="D1082" i="1"/>
  <c r="C1082" i="1" a="1"/>
  <c r="C1082" i="1"/>
  <c r="B1082" i="1"/>
  <c r="G1081" i="1"/>
  <c r="D1081" i="1"/>
  <c r="C1081" i="1" a="1"/>
  <c r="C1081" i="1" s="1"/>
  <c r="B1081" i="1"/>
  <c r="E1080" i="1" a="1"/>
  <c r="E1080" i="1"/>
  <c r="D1080" i="1"/>
  <c r="C1080" i="1" a="1"/>
  <c r="C1080" i="1"/>
  <c r="B1080" i="1"/>
  <c r="G1079" i="1"/>
  <c r="E1079" i="1" a="1"/>
  <c r="E1079" i="1"/>
  <c r="D1079" i="1"/>
  <c r="C1079" i="1" a="1"/>
  <c r="C1079" i="1" s="1"/>
  <c r="B1079" i="1"/>
  <c r="G1078" i="1"/>
  <c r="D1078" i="1"/>
  <c r="C1078" i="1" a="1"/>
  <c r="C1078" i="1"/>
  <c r="B1078" i="1"/>
  <c r="I1077" i="1"/>
  <c r="G1077" i="1"/>
  <c r="D1077" i="1"/>
  <c r="C1077" i="1" a="1"/>
  <c r="C1077" i="1" s="1"/>
  <c r="B1077" i="1"/>
  <c r="D1076" i="1"/>
  <c r="C1076" i="1" a="1"/>
  <c r="C1076" i="1"/>
  <c r="B1076" i="1"/>
  <c r="D1075" i="1"/>
  <c r="C1075" i="1" a="1"/>
  <c r="C1075" i="1" s="1"/>
  <c r="B1075" i="1"/>
  <c r="G1074" i="1"/>
  <c r="E1074" i="1" a="1"/>
  <c r="E1074" i="1" s="1"/>
  <c r="D1074" i="1"/>
  <c r="C1074" i="1" a="1"/>
  <c r="C1074" i="1" s="1"/>
  <c r="B1074" i="1"/>
  <c r="G1073" i="1"/>
  <c r="D1073" i="1"/>
  <c r="C1073" i="1" a="1"/>
  <c r="C1073" i="1"/>
  <c r="B1073" i="1"/>
  <c r="G1072" i="1"/>
  <c r="D1072" i="1"/>
  <c r="C1072" i="1" a="1"/>
  <c r="C1072" i="1" s="1"/>
  <c r="B1072" i="1"/>
  <c r="G1071" i="1"/>
  <c r="E1071" i="1" a="1"/>
  <c r="E1071" i="1"/>
  <c r="D1071" i="1"/>
  <c r="C1071" i="1" a="1"/>
  <c r="C1071" i="1" s="1"/>
  <c r="B1071" i="1"/>
  <c r="G1070" i="1"/>
  <c r="E1070" i="1" a="1"/>
  <c r="E1070" i="1" s="1"/>
  <c r="D1070" i="1"/>
  <c r="C1070" i="1" a="1"/>
  <c r="C1070" i="1" s="1"/>
  <c r="B1070" i="1"/>
  <c r="G1069" i="1"/>
  <c r="E1069" i="1" a="1"/>
  <c r="E1069" i="1" s="1"/>
  <c r="D1069" i="1"/>
  <c r="C1069" i="1" a="1"/>
  <c r="C1069" i="1"/>
  <c r="B1069" i="1"/>
  <c r="I1068" i="1"/>
  <c r="G1068" i="1"/>
  <c r="E1068" i="1" a="1"/>
  <c r="E1068" i="1" s="1"/>
  <c r="D1068" i="1"/>
  <c r="C1068" i="1" a="1"/>
  <c r="C1068" i="1"/>
  <c r="B1068" i="1"/>
  <c r="G1067" i="1"/>
  <c r="D1067" i="1"/>
  <c r="C1067" i="1" a="1"/>
  <c r="C1067" i="1" s="1"/>
  <c r="B1067" i="1"/>
  <c r="E1066" i="1" a="1"/>
  <c r="E1066" i="1" s="1"/>
  <c r="D1066" i="1"/>
  <c r="C1066" i="1" a="1"/>
  <c r="C1066" i="1"/>
  <c r="B1066" i="1"/>
  <c r="D1065" i="1"/>
  <c r="C1065" i="1" a="1"/>
  <c r="C1065" i="1"/>
  <c r="B1065" i="1"/>
  <c r="D1064" i="1"/>
  <c r="C1064" i="1" a="1"/>
  <c r="C1064" i="1"/>
  <c r="B1064" i="1"/>
  <c r="G1063" i="1"/>
  <c r="D1063" i="1"/>
  <c r="C1063" i="1" a="1"/>
  <c r="C1063" i="1" s="1"/>
  <c r="B1063" i="1"/>
  <c r="G1062" i="1"/>
  <c r="E1062" i="1" a="1"/>
  <c r="E1062" i="1" s="1"/>
  <c r="D1062" i="1"/>
  <c r="C1062" i="1" a="1"/>
  <c r="C1062" i="1" s="1"/>
  <c r="B1062" i="1"/>
  <c r="G1061" i="1"/>
  <c r="D1061" i="1"/>
  <c r="C1061" i="1" a="1"/>
  <c r="C1061" i="1" s="1"/>
  <c r="B1061" i="1"/>
  <c r="G1060" i="1"/>
  <c r="D1060" i="1"/>
  <c r="C1060" i="1" a="1"/>
  <c r="C1060" i="1" s="1"/>
  <c r="B1060" i="1"/>
  <c r="G1059" i="1"/>
  <c r="D1059" i="1"/>
  <c r="C1059" i="1" a="1"/>
  <c r="C1059" i="1"/>
  <c r="B1059" i="1"/>
  <c r="G1058" i="1"/>
  <c r="E1058" i="1" a="1"/>
  <c r="E1058" i="1" s="1"/>
  <c r="D1058" i="1"/>
  <c r="C1058" i="1" a="1"/>
  <c r="C1058" i="1"/>
  <c r="B1058" i="1"/>
  <c r="I1057" i="1"/>
  <c r="G1057" i="1"/>
  <c r="E1057" i="1" a="1"/>
  <c r="E1057" i="1" s="1"/>
  <c r="D1057" i="1"/>
  <c r="C1057" i="1" a="1"/>
  <c r="C1057" i="1"/>
  <c r="B1057" i="1"/>
  <c r="I1056" i="1"/>
  <c r="G1056" i="1"/>
  <c r="D1056" i="1"/>
  <c r="C1056" i="1" a="1"/>
  <c r="C1056" i="1"/>
  <c r="B1056" i="1"/>
  <c r="E1055" i="1" a="1"/>
  <c r="E1055" i="1"/>
  <c r="D1055" i="1"/>
  <c r="C1055" i="1" a="1"/>
  <c r="C1055" i="1" s="1"/>
  <c r="B1055" i="1"/>
  <c r="G1054" i="1"/>
  <c r="D1054" i="1"/>
  <c r="C1054" i="1" a="1"/>
  <c r="C1054" i="1"/>
  <c r="B1054" i="1"/>
  <c r="G1053" i="1"/>
  <c r="E1053" i="1" a="1"/>
  <c r="E1053" i="1" s="1"/>
  <c r="D1053" i="1"/>
  <c r="C1053" i="1" a="1"/>
  <c r="C1053" i="1"/>
  <c r="B1053" i="1"/>
  <c r="G1052" i="1"/>
  <c r="D1052" i="1"/>
  <c r="C1052" i="1" a="1"/>
  <c r="C1052" i="1" s="1"/>
  <c r="B1052" i="1"/>
  <c r="G1051" i="1"/>
  <c r="D1051" i="1"/>
  <c r="C1051" i="1" a="1"/>
  <c r="C1051" i="1" s="1"/>
  <c r="B1051" i="1"/>
  <c r="G1050" i="1"/>
  <c r="D1050" i="1"/>
  <c r="C1050" i="1" a="1"/>
  <c r="C1050" i="1"/>
  <c r="B1050" i="1"/>
  <c r="G1049" i="1"/>
  <c r="D1049" i="1"/>
  <c r="G1048" i="1"/>
  <c r="D1048" i="1"/>
  <c r="G1047" i="1"/>
  <c r="E1047" i="1" a="1"/>
  <c r="E1047" i="1"/>
  <c r="D1047" i="1"/>
  <c r="C1047" i="1" a="1"/>
  <c r="C1047" i="1" s="1"/>
  <c r="B1047" i="1"/>
  <c r="I1046" i="1"/>
  <c r="G1046" i="1"/>
  <c r="E1046" i="1" a="1"/>
  <c r="E1046" i="1"/>
  <c r="D1046" i="1"/>
  <c r="C1046" i="1" a="1"/>
  <c r="C1046" i="1" s="1"/>
  <c r="B1046" i="1"/>
  <c r="G1045" i="1"/>
  <c r="G1044" i="1"/>
  <c r="E1044" i="1" a="1"/>
  <c r="E1044" i="1"/>
  <c r="D1044" i="1"/>
  <c r="C1044" i="1" a="1"/>
  <c r="C1044" i="1" s="1"/>
  <c r="B1044" i="1"/>
  <c r="D1043" i="1"/>
  <c r="C1043" i="1" a="1"/>
  <c r="C1043" i="1"/>
  <c r="B1043" i="1"/>
  <c r="G1042" i="1"/>
  <c r="E1042" i="1" a="1"/>
  <c r="E1042" i="1" s="1"/>
  <c r="D1042" i="1"/>
  <c r="C1042" i="1" a="1"/>
  <c r="C1042" i="1"/>
  <c r="B1042" i="1"/>
  <c r="G1041" i="1"/>
  <c r="D1041" i="1"/>
  <c r="C1041" i="1" a="1"/>
  <c r="C1041" i="1" s="1"/>
  <c r="B1041" i="1"/>
  <c r="D1040" i="1"/>
  <c r="C1040" i="1" a="1"/>
  <c r="C1040" i="1"/>
  <c r="B1040" i="1"/>
  <c r="G1039" i="1"/>
  <c r="D1039" i="1"/>
  <c r="C1039" i="1" a="1"/>
  <c r="C1039" i="1" s="1"/>
  <c r="B1039" i="1"/>
  <c r="G1038" i="1"/>
  <c r="E1038" i="1" a="1"/>
  <c r="E1038" i="1"/>
  <c r="D1038" i="1"/>
  <c r="C1038" i="1" a="1"/>
  <c r="C1038" i="1" s="1"/>
  <c r="B1038" i="1"/>
  <c r="I1037" i="1"/>
  <c r="G1037" i="1"/>
  <c r="E1037" i="1" a="1"/>
  <c r="E1037" i="1"/>
  <c r="D1037" i="1"/>
  <c r="C1037" i="1" a="1"/>
  <c r="C1037" i="1" s="1"/>
  <c r="B1037" i="1"/>
  <c r="D1036" i="1"/>
  <c r="C1036" i="1" a="1"/>
  <c r="C1036" i="1"/>
  <c r="B1036" i="1"/>
  <c r="E1035" i="1" a="1"/>
  <c r="E1035" i="1" s="1"/>
  <c r="D1035" i="1"/>
  <c r="C1035" i="1" a="1"/>
  <c r="C1035" i="1"/>
  <c r="B1035" i="1"/>
  <c r="D1034" i="1"/>
  <c r="C1034" i="1" a="1"/>
  <c r="C1034" i="1" s="1"/>
  <c r="B1034" i="1"/>
  <c r="E1033" i="1" a="1"/>
  <c r="E1033" i="1" s="1"/>
  <c r="D1033" i="1"/>
  <c r="C1033" i="1" a="1"/>
  <c r="C1033" i="1"/>
  <c r="B1033" i="1"/>
  <c r="E1032" i="1" a="1"/>
  <c r="E1032" i="1" s="1"/>
  <c r="D1032" i="1"/>
  <c r="C1032" i="1" a="1"/>
  <c r="C1032" i="1"/>
  <c r="B1032" i="1"/>
  <c r="E1031" i="1" a="1"/>
  <c r="E1031" i="1"/>
  <c r="D1031" i="1"/>
  <c r="C1031" i="1" a="1"/>
  <c r="C1031" i="1" s="1"/>
  <c r="B1031" i="1"/>
  <c r="E1030" i="1" a="1"/>
  <c r="E1030" i="1"/>
  <c r="D1030" i="1"/>
  <c r="C1030" i="1" a="1"/>
  <c r="C1030" i="1"/>
  <c r="B1030" i="1"/>
  <c r="G1029" i="1"/>
  <c r="E1029" i="1" a="1"/>
  <c r="E1029" i="1"/>
  <c r="D1029" i="1"/>
  <c r="C1029" i="1" a="1"/>
  <c r="C1029" i="1"/>
  <c r="B1029" i="1"/>
  <c r="G1028" i="1"/>
  <c r="E1028" i="1" a="1"/>
  <c r="E1028" i="1" s="1"/>
  <c r="D1028" i="1"/>
  <c r="C1028" i="1" a="1"/>
  <c r="C1028" i="1"/>
  <c r="B1028" i="1"/>
  <c r="G1027" i="1"/>
  <c r="E1027" i="1" a="1"/>
  <c r="E1027" i="1" s="1"/>
  <c r="D1027" i="1"/>
  <c r="C1027" i="1" a="1"/>
  <c r="C1027" i="1" s="1"/>
  <c r="B1027" i="1"/>
  <c r="I1026" i="1"/>
  <c r="G1026" i="1"/>
  <c r="E1026" i="1" a="1"/>
  <c r="E1026" i="1" s="1"/>
  <c r="D1026" i="1"/>
  <c r="C1026" i="1" a="1"/>
  <c r="C1026" i="1"/>
  <c r="B1026" i="1"/>
  <c r="D1025" i="1"/>
  <c r="C1025" i="1" a="1"/>
  <c r="C1025" i="1" s="1"/>
  <c r="B1025" i="1"/>
  <c r="E1024" i="1" a="1"/>
  <c r="E1024" i="1"/>
  <c r="D1024" i="1"/>
  <c r="C1024" i="1" a="1"/>
  <c r="C1024" i="1" s="1"/>
  <c r="B1024" i="1"/>
  <c r="D1023" i="1"/>
  <c r="C1023" i="1" a="1"/>
  <c r="C1023" i="1" s="1"/>
  <c r="B1023" i="1"/>
  <c r="E1022" i="1" a="1"/>
  <c r="E1022" i="1" s="1"/>
  <c r="D1022" i="1"/>
  <c r="C1022" i="1" a="1"/>
  <c r="C1022" i="1" s="1"/>
  <c r="B1022" i="1"/>
  <c r="E1021" i="1" a="1"/>
  <c r="E1021" i="1"/>
  <c r="D1021" i="1"/>
  <c r="C1021" i="1" a="1"/>
  <c r="C1021" i="1" s="1"/>
  <c r="B1021" i="1"/>
  <c r="G1020" i="1"/>
  <c r="E1020" i="1" a="1"/>
  <c r="E1020" i="1" s="1"/>
  <c r="D1020" i="1"/>
  <c r="C1020" i="1" a="1"/>
  <c r="C1020" i="1"/>
  <c r="B1020" i="1"/>
  <c r="G1019" i="1"/>
  <c r="E1019" i="1" a="1"/>
  <c r="E1019" i="1" s="1"/>
  <c r="D1019" i="1"/>
  <c r="C1019" i="1" a="1"/>
  <c r="C1019" i="1"/>
  <c r="B1019" i="1"/>
  <c r="G1018" i="1"/>
  <c r="E1018" i="1" a="1"/>
  <c r="E1018" i="1" s="1"/>
  <c r="D1018" i="1"/>
  <c r="C1018" i="1" a="1"/>
  <c r="C1018" i="1"/>
  <c r="B1018" i="1"/>
  <c r="I1017" i="1"/>
  <c r="G1017" i="1"/>
  <c r="E1017" i="1" a="1"/>
  <c r="E1017" i="1" s="1"/>
  <c r="D1017" i="1"/>
  <c r="C1017" i="1" a="1"/>
  <c r="C1017" i="1"/>
  <c r="B1017" i="1"/>
  <c r="G1016" i="1"/>
  <c r="G1015" i="1"/>
  <c r="D1015" i="1"/>
  <c r="C1015" i="1" a="1"/>
  <c r="C1015" i="1" s="1"/>
  <c r="B1015" i="1"/>
  <c r="G1014" i="1"/>
  <c r="D1014" i="1"/>
  <c r="C1014" i="1" a="1"/>
  <c r="C1014" i="1"/>
  <c r="B1014" i="1"/>
  <c r="G1013" i="1"/>
  <c r="D1013" i="1"/>
  <c r="C1013" i="1" a="1"/>
  <c r="C1013" i="1"/>
  <c r="B1013" i="1"/>
  <c r="G1012" i="1"/>
  <c r="D1012" i="1"/>
  <c r="C1012" i="1" a="1"/>
  <c r="C1012" i="1" s="1"/>
  <c r="B1012" i="1"/>
  <c r="G1011" i="1"/>
  <c r="D1011" i="1"/>
  <c r="C1011" i="1" a="1"/>
  <c r="C1011" i="1"/>
  <c r="B1011" i="1"/>
  <c r="G1010" i="1"/>
  <c r="E1010" i="1" a="1"/>
  <c r="E1010" i="1" s="1"/>
  <c r="D1010" i="1"/>
  <c r="C1010" i="1" a="1"/>
  <c r="C1010" i="1"/>
  <c r="B1010" i="1"/>
  <c r="G1009" i="1"/>
  <c r="E1009" i="1" a="1"/>
  <c r="E1009" i="1" s="1"/>
  <c r="D1009" i="1"/>
  <c r="C1009" i="1" a="1"/>
  <c r="C1009" i="1"/>
  <c r="B1009" i="1"/>
  <c r="I1008" i="1"/>
  <c r="G1008" i="1"/>
  <c r="E1008" i="1" a="1"/>
  <c r="E1008" i="1" s="1"/>
  <c r="D1008" i="1"/>
  <c r="C1008" i="1" a="1"/>
  <c r="C1008" i="1"/>
  <c r="B1008" i="1"/>
  <c r="G1007" i="1"/>
  <c r="D1007" i="1"/>
  <c r="C1007" i="1" a="1"/>
  <c r="C1007" i="1" s="1"/>
  <c r="B1007" i="1"/>
  <c r="D1006" i="1"/>
  <c r="C1006" i="1" a="1"/>
  <c r="C1006" i="1"/>
  <c r="B1006" i="1"/>
  <c r="G1005" i="1"/>
  <c r="D1005" i="1"/>
  <c r="C1005" i="1" a="1"/>
  <c r="C1005" i="1" s="1"/>
  <c r="B1005" i="1"/>
  <c r="G1004" i="1"/>
  <c r="E1004" i="1" a="1"/>
  <c r="E1004" i="1"/>
  <c r="D1004" i="1"/>
  <c r="C1004" i="1" a="1"/>
  <c r="C1004" i="1" s="1"/>
  <c r="B1004" i="1"/>
  <c r="G1003" i="1"/>
  <c r="E1003" i="1" a="1"/>
  <c r="E1003" i="1" s="1"/>
  <c r="D1003" i="1"/>
  <c r="C1003" i="1" a="1"/>
  <c r="C1003" i="1" s="1"/>
  <c r="B1003" i="1"/>
  <c r="G1002" i="1"/>
  <c r="E1002" i="1" a="1"/>
  <c r="E1002" i="1" s="1"/>
  <c r="D1002" i="1"/>
  <c r="C1002" i="1" a="1"/>
  <c r="C1002" i="1"/>
  <c r="B1002" i="1"/>
  <c r="E1001" i="1" a="1"/>
  <c r="E1001" i="1"/>
  <c r="D1001" i="1"/>
  <c r="C1001" i="1" a="1"/>
  <c r="C1001" i="1"/>
  <c r="B1001" i="1"/>
  <c r="G1000" i="1"/>
  <c r="E1000" i="1" a="1"/>
  <c r="E1000" i="1" s="1"/>
  <c r="D1000" i="1"/>
  <c r="C1000" i="1" a="1"/>
  <c r="C1000" i="1"/>
  <c r="B1000" i="1"/>
  <c r="G999" i="1"/>
  <c r="E999" i="1" a="1"/>
  <c r="E999" i="1" s="1"/>
  <c r="D999" i="1"/>
  <c r="C999" i="1" a="1"/>
  <c r="C999" i="1" s="1"/>
  <c r="B999" i="1"/>
  <c r="I998" i="1"/>
  <c r="G998" i="1"/>
  <c r="D998" i="1"/>
  <c r="C998" i="1" a="1"/>
  <c r="C998" i="1" s="1"/>
  <c r="B998" i="1"/>
  <c r="D997" i="1"/>
  <c r="C997" i="1" a="1"/>
  <c r="C997" i="1"/>
  <c r="B997" i="1"/>
  <c r="G996" i="1"/>
  <c r="D996" i="1"/>
  <c r="C996" i="1" a="1"/>
  <c r="C996" i="1"/>
  <c r="B996" i="1"/>
  <c r="G995" i="1"/>
  <c r="D995" i="1"/>
  <c r="C995" i="1" a="1"/>
  <c r="C995" i="1" s="1"/>
  <c r="B995" i="1"/>
  <c r="D994" i="1"/>
  <c r="C994" i="1" a="1"/>
  <c r="C994" i="1"/>
  <c r="B994" i="1"/>
  <c r="G993" i="1"/>
  <c r="D993" i="1"/>
  <c r="C993" i="1" a="1"/>
  <c r="C993" i="1" s="1"/>
  <c r="B993" i="1"/>
  <c r="G992" i="1"/>
  <c r="D992" i="1"/>
  <c r="C992" i="1" a="1"/>
  <c r="C992" i="1"/>
  <c r="B992" i="1"/>
  <c r="G991" i="1"/>
  <c r="D991" i="1"/>
  <c r="C991" i="1" a="1"/>
  <c r="C991" i="1"/>
  <c r="B991" i="1"/>
  <c r="G990" i="1"/>
  <c r="E990" i="1" a="1"/>
  <c r="E990" i="1" s="1"/>
  <c r="D990" i="1"/>
  <c r="C990" i="1" a="1"/>
  <c r="C990" i="1"/>
  <c r="B990" i="1"/>
  <c r="G989" i="1"/>
  <c r="E989" i="1" a="1"/>
  <c r="E989" i="1"/>
  <c r="D989" i="1"/>
  <c r="C989" i="1" a="1"/>
  <c r="C989" i="1" s="1"/>
  <c r="B989" i="1"/>
  <c r="G988" i="1"/>
  <c r="D988" i="1"/>
  <c r="C988" i="1" a="1"/>
  <c r="C988" i="1" s="1"/>
  <c r="B988" i="1"/>
  <c r="G987" i="1"/>
  <c r="E987" i="1" a="1"/>
  <c r="E987" i="1"/>
  <c r="D987" i="1"/>
  <c r="C987" i="1" a="1"/>
  <c r="C987" i="1"/>
  <c r="B987" i="1"/>
  <c r="E986" i="1" a="1"/>
  <c r="E986" i="1" s="1"/>
  <c r="D986" i="1"/>
  <c r="C986" i="1" a="1"/>
  <c r="C986" i="1"/>
  <c r="B986" i="1"/>
  <c r="D985" i="1"/>
  <c r="C985" i="1" a="1"/>
  <c r="C985" i="1"/>
  <c r="B985" i="1"/>
  <c r="E984" i="1" a="1"/>
  <c r="E984" i="1" s="1"/>
  <c r="D984" i="1"/>
  <c r="C984" i="1" a="1"/>
  <c r="C984" i="1" s="1"/>
  <c r="B984" i="1"/>
  <c r="D983" i="1"/>
  <c r="C983" i="1" a="1"/>
  <c r="C983" i="1"/>
  <c r="B983" i="1"/>
  <c r="G982" i="1"/>
  <c r="E982" i="1" a="1"/>
  <c r="E982" i="1" s="1"/>
  <c r="D982" i="1"/>
  <c r="C982" i="1" a="1"/>
  <c r="C982" i="1"/>
  <c r="B982" i="1"/>
  <c r="G981" i="1"/>
  <c r="D981" i="1"/>
  <c r="C981" i="1" a="1"/>
  <c r="C981" i="1" s="1"/>
  <c r="B981" i="1"/>
  <c r="G980" i="1"/>
  <c r="D980" i="1"/>
  <c r="C980" i="1" a="1"/>
  <c r="C980" i="1"/>
  <c r="B980" i="1"/>
  <c r="G979" i="1"/>
  <c r="D979" i="1"/>
  <c r="C979" i="1" a="1"/>
  <c r="C979" i="1" s="1"/>
  <c r="B979" i="1"/>
  <c r="G978" i="1"/>
  <c r="E978" i="1" a="1"/>
  <c r="E978" i="1"/>
  <c r="D978" i="1"/>
  <c r="C978" i="1" a="1"/>
  <c r="C978" i="1"/>
  <c r="B978" i="1"/>
  <c r="G977" i="1"/>
  <c r="E977" i="1" a="1"/>
  <c r="E977" i="1" s="1"/>
  <c r="D977" i="1"/>
  <c r="C977" i="1" a="1"/>
  <c r="C977" i="1" s="1"/>
  <c r="B977" i="1"/>
  <c r="G976" i="1"/>
  <c r="D976" i="1"/>
  <c r="G975" i="1"/>
  <c r="E975" i="1" a="1"/>
  <c r="E975" i="1" s="1"/>
  <c r="D975" i="1"/>
  <c r="G974" i="1"/>
  <c r="E974" i="1" a="1"/>
  <c r="E974" i="1" s="1"/>
  <c r="D974" i="1"/>
  <c r="I973" i="1"/>
  <c r="G973" i="1"/>
  <c r="E973" i="1" a="1"/>
  <c r="E973" i="1" s="1"/>
  <c r="D973" i="1"/>
  <c r="C973" i="1" a="1"/>
  <c r="C973" i="1" s="1"/>
  <c r="B973" i="1"/>
  <c r="G972" i="1"/>
  <c r="E972" i="1" a="1"/>
  <c r="E972" i="1" s="1"/>
  <c r="D972" i="1"/>
  <c r="C972" i="1" a="1"/>
  <c r="C972" i="1"/>
  <c r="B972" i="1"/>
  <c r="G971" i="1"/>
  <c r="D971" i="1"/>
  <c r="C971" i="1" a="1"/>
  <c r="C971" i="1" s="1"/>
  <c r="B971" i="1"/>
  <c r="E970" i="1" a="1"/>
  <c r="E970" i="1" s="1"/>
  <c r="D970" i="1"/>
  <c r="C970" i="1" a="1"/>
  <c r="C970" i="1" s="1"/>
  <c r="B970" i="1"/>
  <c r="G969" i="1"/>
  <c r="D969" i="1"/>
  <c r="C969" i="1" a="1"/>
  <c r="C969" i="1" s="1"/>
  <c r="B969" i="1"/>
  <c r="G968" i="1"/>
  <c r="E968" i="1" a="1"/>
  <c r="E968" i="1" s="1"/>
  <c r="D968" i="1"/>
  <c r="C968" i="1" a="1"/>
  <c r="C968" i="1" s="1"/>
  <c r="B968" i="1"/>
  <c r="G967" i="1"/>
  <c r="D967" i="1"/>
  <c r="C967" i="1" a="1"/>
  <c r="C967" i="1" s="1"/>
  <c r="B967" i="1"/>
  <c r="G966" i="1"/>
  <c r="D966" i="1"/>
  <c r="C966" i="1" a="1"/>
  <c r="C966" i="1"/>
  <c r="B966" i="1"/>
  <c r="G965" i="1"/>
  <c r="D965" i="1"/>
  <c r="C965" i="1" a="1"/>
  <c r="C965" i="1"/>
  <c r="B965" i="1"/>
  <c r="G964" i="1"/>
  <c r="E964" i="1" a="1"/>
  <c r="E964" i="1"/>
  <c r="D964" i="1"/>
  <c r="C964" i="1" a="1"/>
  <c r="C964" i="1"/>
  <c r="B964" i="1"/>
  <c r="G963" i="1"/>
  <c r="E963" i="1" a="1"/>
  <c r="E963" i="1"/>
  <c r="D963" i="1"/>
  <c r="C963" i="1" a="1"/>
  <c r="C963" i="1" s="1"/>
  <c r="B963" i="1"/>
  <c r="I962" i="1"/>
  <c r="G962" i="1"/>
  <c r="E962" i="1" a="1"/>
  <c r="E962" i="1"/>
  <c r="D962" i="1"/>
  <c r="C962" i="1" a="1"/>
  <c r="C962" i="1" s="1"/>
  <c r="B962" i="1"/>
  <c r="G961" i="1"/>
  <c r="G960" i="1"/>
  <c r="G959" i="1"/>
  <c r="G958" i="1"/>
  <c r="D958" i="1"/>
  <c r="C958" i="1" a="1"/>
  <c r="C958" i="1" s="1"/>
  <c r="B958" i="1"/>
  <c r="G957" i="1"/>
  <c r="D957" i="1"/>
  <c r="C957" i="1" a="1"/>
  <c r="C957" i="1"/>
  <c r="B957" i="1"/>
  <c r="G956" i="1"/>
  <c r="E956" i="1" a="1"/>
  <c r="E956" i="1"/>
  <c r="D956" i="1"/>
  <c r="C956" i="1" a="1"/>
  <c r="C956" i="1" s="1"/>
  <c r="B956" i="1"/>
  <c r="I955" i="1"/>
  <c r="G955" i="1"/>
  <c r="E955" i="1" a="1"/>
  <c r="E955" i="1" s="1"/>
  <c r="D955" i="1"/>
  <c r="C955" i="1" a="1"/>
  <c r="C955" i="1" s="1"/>
  <c r="B955" i="1"/>
  <c r="I954" i="1"/>
  <c r="G954" i="1"/>
  <c r="D954" i="1"/>
  <c r="C954" i="1" a="1"/>
  <c r="C954" i="1" s="1"/>
  <c r="B954" i="1"/>
  <c r="E953" i="1" a="1"/>
  <c r="E953" i="1"/>
  <c r="D953" i="1"/>
  <c r="C953" i="1" a="1"/>
  <c r="C953" i="1"/>
  <c r="B953" i="1"/>
  <c r="G952" i="1"/>
  <c r="E952" i="1" a="1"/>
  <c r="E952" i="1" s="1"/>
  <c r="D952" i="1"/>
  <c r="C952" i="1" a="1"/>
  <c r="C952" i="1"/>
  <c r="B952" i="1"/>
  <c r="G951" i="1"/>
  <c r="E951" i="1" a="1"/>
  <c r="E951" i="1" s="1"/>
  <c r="D951" i="1"/>
  <c r="C951" i="1" a="1"/>
  <c r="C951" i="1" s="1"/>
  <c r="B951" i="1"/>
  <c r="G950" i="1"/>
  <c r="E950" i="1" a="1"/>
  <c r="E950" i="1"/>
  <c r="D950" i="1"/>
  <c r="C950" i="1" a="1"/>
  <c r="C950" i="1"/>
  <c r="B950" i="1"/>
  <c r="G949" i="1"/>
  <c r="E949" i="1" a="1"/>
  <c r="E949" i="1"/>
  <c r="D949" i="1"/>
  <c r="C949" i="1" a="1"/>
  <c r="C949" i="1"/>
  <c r="B949" i="1"/>
  <c r="G948" i="1"/>
  <c r="D948" i="1"/>
  <c r="C948" i="1" a="1"/>
  <c r="C948" i="1"/>
  <c r="B948" i="1"/>
  <c r="G947" i="1"/>
  <c r="D947" i="1"/>
  <c r="C947" i="1" a="1"/>
  <c r="C947" i="1" s="1"/>
  <c r="B947" i="1"/>
  <c r="G946" i="1"/>
  <c r="E946" i="1" a="1"/>
  <c r="E946" i="1"/>
  <c r="D946" i="1"/>
  <c r="C946" i="1" a="1"/>
  <c r="C946" i="1"/>
  <c r="B946" i="1"/>
  <c r="I945" i="1"/>
  <c r="G945" i="1"/>
  <c r="D945" i="1"/>
  <c r="C945" i="1" a="1"/>
  <c r="C945" i="1" s="1"/>
  <c r="B945" i="1"/>
  <c r="G944" i="1"/>
  <c r="D944" i="1"/>
  <c r="C944" i="1" a="1"/>
  <c r="C944" i="1" s="1"/>
  <c r="B944" i="1"/>
  <c r="G943" i="1"/>
  <c r="E943" i="1" a="1"/>
  <c r="E943" i="1"/>
  <c r="D943" i="1"/>
  <c r="C943" i="1" a="1"/>
  <c r="C943" i="1"/>
  <c r="B943" i="1"/>
  <c r="G942" i="1"/>
  <c r="E942" i="1" a="1"/>
  <c r="E942" i="1" s="1"/>
  <c r="D942" i="1"/>
  <c r="C942" i="1" a="1"/>
  <c r="C942" i="1" s="1"/>
  <c r="B942" i="1"/>
  <c r="G941" i="1"/>
  <c r="D941" i="1"/>
  <c r="C941" i="1" a="1"/>
  <c r="C941" i="1" s="1"/>
  <c r="B941" i="1"/>
  <c r="G940" i="1"/>
  <c r="D940" i="1"/>
  <c r="C940" i="1" a="1"/>
  <c r="C940" i="1" s="1"/>
  <c r="B940" i="1"/>
  <c r="G939" i="1"/>
  <c r="E939" i="1" a="1"/>
  <c r="E939" i="1"/>
  <c r="D939" i="1"/>
  <c r="C939" i="1" a="1"/>
  <c r="C939" i="1"/>
  <c r="B939" i="1"/>
  <c r="G938" i="1"/>
  <c r="E938" i="1" a="1"/>
  <c r="E938" i="1" s="1"/>
  <c r="D938" i="1"/>
  <c r="C938" i="1" a="1"/>
  <c r="C938" i="1" s="1"/>
  <c r="B938" i="1"/>
  <c r="G937" i="1"/>
  <c r="E937" i="1" a="1"/>
  <c r="E937" i="1"/>
  <c r="D937" i="1"/>
  <c r="C937" i="1" a="1"/>
  <c r="C937" i="1"/>
  <c r="B937" i="1"/>
  <c r="I936" i="1"/>
  <c r="G936" i="1"/>
  <c r="D936" i="1"/>
  <c r="C936" i="1" a="1"/>
  <c r="C936" i="1" s="1"/>
  <c r="B936" i="1"/>
  <c r="G935" i="1"/>
  <c r="D935" i="1"/>
  <c r="C935" i="1" a="1"/>
  <c r="C935" i="1" s="1"/>
  <c r="B935" i="1"/>
  <c r="G934" i="1"/>
  <c r="E934" i="1" a="1"/>
  <c r="E934" i="1"/>
  <c r="D934" i="1"/>
  <c r="C934" i="1" a="1"/>
  <c r="C934" i="1"/>
  <c r="B934" i="1"/>
  <c r="G933" i="1"/>
  <c r="E933" i="1" a="1"/>
  <c r="E933" i="1" s="1"/>
  <c r="D933" i="1"/>
  <c r="C933" i="1" a="1"/>
  <c r="C933" i="1" s="1"/>
  <c r="B933" i="1"/>
  <c r="G932" i="1"/>
  <c r="D932" i="1"/>
  <c r="C932" i="1" a="1"/>
  <c r="C932" i="1" s="1"/>
  <c r="B932" i="1"/>
  <c r="G931" i="1"/>
  <c r="D931" i="1"/>
  <c r="C931" i="1" a="1"/>
  <c r="C931" i="1" s="1"/>
  <c r="B931" i="1"/>
  <c r="G930" i="1"/>
  <c r="E930" i="1" a="1"/>
  <c r="E930" i="1"/>
  <c r="D930" i="1"/>
  <c r="C930" i="1" a="1"/>
  <c r="C930" i="1"/>
  <c r="B930" i="1"/>
  <c r="G929" i="1"/>
  <c r="E929" i="1" a="1"/>
  <c r="E929" i="1" s="1"/>
  <c r="D929" i="1"/>
  <c r="C929" i="1" a="1"/>
  <c r="C929" i="1" s="1"/>
  <c r="B929" i="1"/>
  <c r="G928" i="1"/>
  <c r="E928" i="1" a="1"/>
  <c r="E928" i="1"/>
  <c r="D928" i="1"/>
  <c r="C928" i="1" a="1"/>
  <c r="C928" i="1"/>
  <c r="B928" i="1"/>
  <c r="I927" i="1"/>
  <c r="G927" i="1"/>
  <c r="D927" i="1"/>
  <c r="C927" i="1" a="1"/>
  <c r="C927" i="1" s="1"/>
  <c r="B927" i="1"/>
  <c r="D926" i="1"/>
  <c r="C926" i="1" a="1"/>
  <c r="C926" i="1"/>
  <c r="B926" i="1"/>
  <c r="E925" i="1" a="1"/>
  <c r="E925" i="1"/>
  <c r="D925" i="1"/>
  <c r="C925" i="1" a="1"/>
  <c r="C925" i="1"/>
  <c r="B925" i="1"/>
  <c r="G924" i="1"/>
  <c r="D924" i="1"/>
  <c r="C924" i="1" a="1"/>
  <c r="C924" i="1"/>
  <c r="B924" i="1"/>
  <c r="G923" i="1"/>
  <c r="E923" i="1" a="1"/>
  <c r="E923" i="1" s="1"/>
  <c r="D923" i="1"/>
  <c r="C923" i="1" a="1"/>
  <c r="C923" i="1"/>
  <c r="B923" i="1"/>
  <c r="G922" i="1"/>
  <c r="D922" i="1"/>
  <c r="C922" i="1" a="1"/>
  <c r="C922" i="1" s="1"/>
  <c r="B922" i="1"/>
  <c r="G921" i="1"/>
  <c r="D921" i="1"/>
  <c r="C921" i="1" a="1"/>
  <c r="C921" i="1" s="1"/>
  <c r="B921" i="1"/>
  <c r="D920" i="1"/>
  <c r="I919" i="1"/>
  <c r="G919" i="1"/>
  <c r="D919" i="1"/>
  <c r="I918" i="1"/>
  <c r="G918" i="1"/>
  <c r="E918" i="1" a="1"/>
  <c r="E918" i="1"/>
  <c r="D918" i="1"/>
  <c r="C918" i="1" a="1"/>
  <c r="C918" i="1" s="1"/>
  <c r="B918" i="1"/>
  <c r="E917" i="1" a="1"/>
  <c r="E917" i="1" s="1"/>
  <c r="D917" i="1"/>
  <c r="C917" i="1" a="1"/>
  <c r="C917" i="1" s="1"/>
  <c r="B917" i="1"/>
  <c r="G916" i="1"/>
  <c r="D916" i="1"/>
  <c r="C916" i="1" a="1"/>
  <c r="C916" i="1" s="1"/>
  <c r="B916" i="1"/>
  <c r="G915" i="1"/>
  <c r="E915" i="1" a="1"/>
  <c r="E915" i="1"/>
  <c r="D915" i="1"/>
  <c r="C915" i="1" a="1"/>
  <c r="C915" i="1"/>
  <c r="B915" i="1"/>
  <c r="G914" i="1"/>
  <c r="D914" i="1"/>
  <c r="C914" i="1" a="1"/>
  <c r="C914" i="1"/>
  <c r="B914" i="1"/>
  <c r="G913" i="1"/>
  <c r="E913" i="1" a="1"/>
  <c r="E913" i="1" s="1"/>
  <c r="D913" i="1"/>
  <c r="C913" i="1" a="1"/>
  <c r="C913" i="1" s="1"/>
  <c r="B913" i="1"/>
  <c r="D912" i="1"/>
  <c r="C912" i="1" a="1"/>
  <c r="C912" i="1" s="1"/>
  <c r="B912" i="1"/>
  <c r="I911" i="1"/>
  <c r="G911" i="1"/>
  <c r="D911" i="1"/>
  <c r="C911" i="1" a="1"/>
  <c r="C911" i="1"/>
  <c r="B911" i="1"/>
  <c r="I910" i="1"/>
  <c r="G910" i="1"/>
  <c r="E910" i="1" a="1"/>
  <c r="E910" i="1" s="1"/>
  <c r="D910" i="1"/>
  <c r="C910" i="1" a="1"/>
  <c r="C910" i="1"/>
  <c r="B910" i="1"/>
  <c r="E909" i="1" a="1"/>
  <c r="E909" i="1"/>
  <c r="D909" i="1"/>
  <c r="C909" i="1" a="1"/>
  <c r="C909" i="1"/>
  <c r="B909" i="1"/>
  <c r="D908" i="1"/>
  <c r="C908" i="1" a="1"/>
  <c r="C908" i="1" s="1"/>
  <c r="B908" i="1"/>
  <c r="E907" i="1" a="1"/>
  <c r="E907" i="1" s="1"/>
  <c r="D907" i="1"/>
  <c r="C907" i="1" a="1"/>
  <c r="C907" i="1"/>
  <c r="B907" i="1"/>
  <c r="D906" i="1"/>
  <c r="C906" i="1" a="1"/>
  <c r="C906" i="1"/>
  <c r="B906" i="1"/>
  <c r="D905" i="1"/>
  <c r="C905" i="1" a="1"/>
  <c r="C905" i="1"/>
  <c r="B905" i="1"/>
  <c r="G904" i="1"/>
  <c r="D904" i="1"/>
  <c r="C904" i="1" a="1"/>
  <c r="C904" i="1"/>
  <c r="B904" i="1"/>
  <c r="G903" i="1"/>
  <c r="E903" i="1" a="1"/>
  <c r="E903" i="1" s="1"/>
  <c r="D903" i="1"/>
  <c r="G902" i="1"/>
  <c r="D902" i="1"/>
  <c r="C902" i="1" a="1"/>
  <c r="C902" i="1" s="1"/>
  <c r="B902" i="1"/>
  <c r="G901" i="1"/>
  <c r="E901" i="1" a="1"/>
  <c r="E901" i="1"/>
  <c r="D901" i="1"/>
  <c r="G900" i="1"/>
  <c r="D900" i="1"/>
  <c r="G899" i="1"/>
  <c r="E899" i="1" a="1"/>
  <c r="E899" i="1"/>
  <c r="D899" i="1"/>
  <c r="C899" i="1" a="1"/>
  <c r="C899" i="1"/>
  <c r="B899" i="1"/>
  <c r="I898" i="1"/>
  <c r="G898" i="1"/>
  <c r="D898" i="1"/>
  <c r="C898" i="1" a="1"/>
  <c r="C898" i="1" s="1"/>
  <c r="B898" i="1"/>
  <c r="E897" i="1" a="1"/>
  <c r="E897" i="1" s="1"/>
  <c r="D897" i="1"/>
  <c r="C897" i="1" a="1"/>
  <c r="C897" i="1"/>
  <c r="B897" i="1"/>
  <c r="D896" i="1"/>
  <c r="C896" i="1" a="1"/>
  <c r="C896" i="1"/>
  <c r="B896" i="1"/>
  <c r="E895" i="1" a="1"/>
  <c r="E895" i="1"/>
  <c r="D895" i="1"/>
  <c r="C895" i="1" a="1"/>
  <c r="C895" i="1"/>
  <c r="B895" i="1"/>
  <c r="G894" i="1"/>
  <c r="D894" i="1"/>
  <c r="C894" i="1" a="1"/>
  <c r="C894" i="1"/>
  <c r="B894" i="1"/>
  <c r="G893" i="1"/>
  <c r="D893" i="1"/>
  <c r="C893" i="1" a="1"/>
  <c r="C893" i="1" s="1"/>
  <c r="B893" i="1"/>
  <c r="G892" i="1"/>
  <c r="D892" i="1"/>
  <c r="C892" i="1" a="1"/>
  <c r="C892" i="1" s="1"/>
  <c r="B892" i="1"/>
  <c r="G891" i="1"/>
  <c r="E891" i="1" a="1"/>
  <c r="E891" i="1"/>
  <c r="D891" i="1"/>
  <c r="G890" i="1"/>
  <c r="D890" i="1"/>
  <c r="C890" i="1" a="1"/>
  <c r="C890" i="1"/>
  <c r="B890" i="1"/>
  <c r="G889" i="1"/>
  <c r="E889" i="1" a="1"/>
  <c r="E889" i="1" s="1"/>
  <c r="D889" i="1"/>
  <c r="C889" i="1" a="1"/>
  <c r="C889" i="1" s="1"/>
  <c r="B889" i="1"/>
  <c r="I888" i="1"/>
  <c r="G888" i="1"/>
  <c r="D888" i="1"/>
  <c r="C888" i="1" a="1"/>
  <c r="C888" i="1"/>
  <c r="B888" i="1"/>
  <c r="G887" i="1"/>
  <c r="G886" i="1"/>
  <c r="E886" i="1" a="1"/>
  <c r="E886" i="1" s="1"/>
  <c r="D886" i="1"/>
  <c r="C886" i="1" a="1"/>
  <c r="C886" i="1"/>
  <c r="B886" i="1"/>
  <c r="G885" i="1"/>
  <c r="D885" i="1"/>
  <c r="C885" i="1" a="1"/>
  <c r="C885" i="1" s="1"/>
  <c r="B885" i="1"/>
  <c r="G884" i="1"/>
  <c r="D884" i="1"/>
  <c r="C884" i="1" a="1"/>
  <c r="C884" i="1" s="1"/>
  <c r="B884" i="1"/>
  <c r="G883" i="1"/>
  <c r="D883" i="1"/>
  <c r="C883" i="1" a="1"/>
  <c r="C883" i="1" s="1"/>
  <c r="B883" i="1"/>
  <c r="G882" i="1"/>
  <c r="E882" i="1" a="1"/>
  <c r="E882" i="1"/>
  <c r="D882" i="1"/>
  <c r="C882" i="1" a="1"/>
  <c r="C882" i="1"/>
  <c r="B882" i="1"/>
  <c r="G881" i="1"/>
  <c r="D881" i="1"/>
  <c r="C881" i="1" a="1"/>
  <c r="C881" i="1"/>
  <c r="B881" i="1"/>
  <c r="G880" i="1"/>
  <c r="D880" i="1"/>
  <c r="C880" i="1" a="1"/>
  <c r="C880" i="1"/>
  <c r="B880" i="1"/>
  <c r="I879" i="1"/>
  <c r="G879" i="1"/>
  <c r="E879" i="1" a="1"/>
  <c r="E879" i="1" s="1"/>
  <c r="D879" i="1"/>
  <c r="C879" i="1" a="1"/>
  <c r="C879" i="1"/>
  <c r="B879" i="1"/>
  <c r="D878" i="1"/>
  <c r="C878" i="1" a="1"/>
  <c r="C878" i="1"/>
  <c r="B878" i="1"/>
  <c r="E877" i="1" a="1"/>
  <c r="E877" i="1" s="1"/>
  <c r="D877" i="1"/>
  <c r="C877" i="1" a="1"/>
  <c r="C877" i="1" s="1"/>
  <c r="B877" i="1"/>
  <c r="E876" i="1" a="1"/>
  <c r="E876" i="1" s="1"/>
  <c r="D876" i="1"/>
  <c r="C876" i="1" a="1"/>
  <c r="C876" i="1"/>
  <c r="B876" i="1"/>
  <c r="D875" i="1"/>
  <c r="C875" i="1" a="1"/>
  <c r="C875" i="1" s="1"/>
  <c r="B875" i="1"/>
  <c r="G874" i="1"/>
  <c r="E874" i="1" a="1"/>
  <c r="E874" i="1"/>
  <c r="D874" i="1"/>
  <c r="C874" i="1" a="1"/>
  <c r="C874" i="1"/>
  <c r="B874" i="1"/>
  <c r="G873" i="1"/>
  <c r="D873" i="1"/>
  <c r="C873" i="1" a="1"/>
  <c r="C873" i="1"/>
  <c r="B873" i="1"/>
  <c r="G872" i="1"/>
  <c r="D872" i="1"/>
  <c r="C872" i="1" a="1"/>
  <c r="C872" i="1"/>
  <c r="B872" i="1"/>
  <c r="G871" i="1"/>
  <c r="D871" i="1"/>
  <c r="G870" i="1"/>
  <c r="E870" i="1" a="1"/>
  <c r="E870" i="1"/>
  <c r="D870" i="1"/>
  <c r="C870" i="1" a="1"/>
  <c r="C870" i="1" s="1"/>
  <c r="B870" i="1"/>
  <c r="I869" i="1"/>
  <c r="G869" i="1"/>
  <c r="E869" i="1" a="1"/>
  <c r="E869" i="1"/>
  <c r="D869" i="1"/>
  <c r="C869" i="1" a="1"/>
  <c r="C869" i="1" s="1"/>
  <c r="B869" i="1"/>
  <c r="D868" i="1"/>
  <c r="C868" i="1" a="1"/>
  <c r="C868" i="1"/>
  <c r="B868" i="1"/>
  <c r="E867" i="1" a="1"/>
  <c r="E867" i="1"/>
  <c r="D867" i="1"/>
  <c r="C867" i="1" a="1"/>
  <c r="C867" i="1"/>
  <c r="B867" i="1"/>
  <c r="E866" i="1" a="1"/>
  <c r="E866" i="1"/>
  <c r="D866" i="1"/>
  <c r="C866" i="1" a="1"/>
  <c r="C866" i="1" s="1"/>
  <c r="B866" i="1"/>
  <c r="D865" i="1"/>
  <c r="C865" i="1" a="1"/>
  <c r="C865" i="1"/>
  <c r="B865" i="1"/>
  <c r="G864" i="1"/>
  <c r="E864" i="1" a="1"/>
  <c r="E864" i="1"/>
  <c r="D864" i="1"/>
  <c r="C864" i="1" a="1"/>
  <c r="C864" i="1"/>
  <c r="B864" i="1"/>
  <c r="G863" i="1"/>
  <c r="D863" i="1"/>
  <c r="C863" i="1" a="1"/>
  <c r="C863" i="1"/>
  <c r="B863" i="1"/>
  <c r="G862" i="1"/>
  <c r="D862" i="1"/>
  <c r="C862" i="1" a="1"/>
  <c r="C862" i="1" s="1"/>
  <c r="B862" i="1"/>
  <c r="G861" i="1"/>
  <c r="D861" i="1"/>
  <c r="G860" i="1"/>
  <c r="E860" i="1" a="1"/>
  <c r="E860" i="1"/>
  <c r="D860" i="1"/>
  <c r="C860" i="1" a="1"/>
  <c r="C860" i="1"/>
  <c r="B860" i="1"/>
  <c r="I859" i="1"/>
  <c r="G859" i="1"/>
  <c r="E859" i="1" a="1"/>
  <c r="E859" i="1" s="1"/>
  <c r="D859" i="1"/>
  <c r="C859" i="1" a="1"/>
  <c r="C859" i="1"/>
  <c r="B859" i="1"/>
  <c r="D858" i="1"/>
  <c r="C858" i="1" a="1"/>
  <c r="C858" i="1" s="1"/>
  <c r="B858" i="1"/>
  <c r="E857" i="1" a="1"/>
  <c r="E857" i="1" s="1"/>
  <c r="D857" i="1"/>
  <c r="C857" i="1" a="1"/>
  <c r="C857" i="1"/>
  <c r="B857" i="1"/>
  <c r="E856" i="1" a="1"/>
  <c r="E856" i="1"/>
  <c r="D856" i="1"/>
  <c r="C856" i="1" a="1"/>
  <c r="C856" i="1" s="1"/>
  <c r="B856" i="1"/>
  <c r="G855" i="1"/>
  <c r="D855" i="1"/>
  <c r="C855" i="1" a="1"/>
  <c r="C855" i="1"/>
  <c r="B855" i="1"/>
  <c r="G854" i="1"/>
  <c r="E854" i="1" a="1"/>
  <c r="E854" i="1"/>
  <c r="D854" i="1"/>
  <c r="C854" i="1" a="1"/>
  <c r="C854" i="1" s="1"/>
  <c r="B854" i="1"/>
  <c r="G853" i="1"/>
  <c r="D853" i="1"/>
  <c r="C853" i="1" a="1"/>
  <c r="C853" i="1"/>
  <c r="B853" i="1"/>
  <c r="G852" i="1"/>
  <c r="D852" i="1"/>
  <c r="C852" i="1" a="1"/>
  <c r="C852" i="1" s="1"/>
  <c r="B852" i="1"/>
  <c r="G851" i="1"/>
  <c r="E851" i="1" a="1"/>
  <c r="E851" i="1"/>
  <c r="D851" i="1"/>
  <c r="C851" i="1" a="1"/>
  <c r="C851" i="1"/>
  <c r="B851" i="1"/>
  <c r="I850" i="1"/>
  <c r="G850" i="1"/>
  <c r="E850" i="1" a="1"/>
  <c r="E850" i="1"/>
  <c r="D850" i="1"/>
  <c r="C850" i="1" a="1"/>
  <c r="C850" i="1"/>
  <c r="B850" i="1"/>
  <c r="G849" i="1"/>
  <c r="C849" i="1" a="1"/>
  <c r="C849" i="1"/>
  <c r="B849" i="1"/>
  <c r="G848" i="1"/>
  <c r="D848" i="1"/>
  <c r="C848" i="1" a="1"/>
  <c r="C848" i="1" s="1"/>
  <c r="B848" i="1"/>
  <c r="G847" i="1"/>
  <c r="D847" i="1"/>
  <c r="C847" i="1" a="1"/>
  <c r="C847" i="1" s="1"/>
  <c r="B847" i="1"/>
  <c r="G846" i="1"/>
  <c r="E846" i="1" a="1"/>
  <c r="E846" i="1"/>
  <c r="D846" i="1"/>
  <c r="C846" i="1" a="1"/>
  <c r="C846" i="1"/>
  <c r="B846" i="1"/>
  <c r="E845" i="1" a="1"/>
  <c r="E845" i="1" s="1"/>
  <c r="D845" i="1"/>
  <c r="C845" i="1" a="1"/>
  <c r="C845" i="1"/>
  <c r="B845" i="1"/>
  <c r="I844" i="1"/>
  <c r="G844" i="1"/>
  <c r="E844" i="1" a="1"/>
  <c r="E844" i="1" s="1"/>
  <c r="D844" i="1"/>
  <c r="C844" i="1" a="1"/>
  <c r="C844" i="1"/>
  <c r="B844" i="1"/>
  <c r="E843" i="1" a="1"/>
  <c r="E843" i="1" s="1"/>
  <c r="D843" i="1"/>
  <c r="C843" i="1" a="1"/>
  <c r="C843" i="1"/>
  <c r="B843" i="1"/>
  <c r="E842" i="1" a="1"/>
  <c r="E842" i="1"/>
  <c r="D842" i="1"/>
  <c r="C842" i="1" a="1"/>
  <c r="C842" i="1"/>
  <c r="B842" i="1"/>
  <c r="G841" i="1"/>
  <c r="D841" i="1"/>
  <c r="C841" i="1" a="1"/>
  <c r="C841" i="1"/>
  <c r="B841" i="1"/>
  <c r="G840" i="1"/>
  <c r="D840" i="1"/>
  <c r="C840" i="1" a="1"/>
  <c r="C840" i="1"/>
  <c r="B840" i="1"/>
  <c r="G839" i="1"/>
  <c r="E839" i="1" a="1"/>
  <c r="E839" i="1" s="1"/>
  <c r="D839" i="1"/>
  <c r="C839" i="1" a="1"/>
  <c r="C839" i="1" s="1"/>
  <c r="B839" i="1"/>
  <c r="G838" i="1"/>
  <c r="E838" i="1" a="1"/>
  <c r="E838" i="1"/>
  <c r="D838" i="1"/>
  <c r="C838" i="1" a="1"/>
  <c r="C838" i="1"/>
  <c r="B838" i="1"/>
  <c r="E837" i="1" a="1"/>
  <c r="E837" i="1"/>
  <c r="D837" i="1"/>
  <c r="C837" i="1" a="1"/>
  <c r="C837" i="1"/>
  <c r="B837" i="1"/>
  <c r="I836" i="1"/>
  <c r="G836" i="1"/>
  <c r="E836" i="1" a="1"/>
  <c r="E836" i="1"/>
  <c r="D836" i="1"/>
  <c r="C836" i="1" a="1"/>
  <c r="C836" i="1" s="1"/>
  <c r="B836" i="1"/>
  <c r="E835" i="1" a="1"/>
  <c r="E835" i="1"/>
  <c r="D835" i="1"/>
  <c r="C835" i="1" a="1"/>
  <c r="C835" i="1"/>
  <c r="B835" i="1"/>
  <c r="D834" i="1"/>
  <c r="C834" i="1" a="1"/>
  <c r="C834" i="1" s="1"/>
  <c r="B834" i="1"/>
  <c r="G833" i="1"/>
  <c r="D833" i="1"/>
  <c r="C833" i="1" a="1"/>
  <c r="C833" i="1" s="1"/>
  <c r="B833" i="1"/>
  <c r="G832" i="1"/>
  <c r="D832" i="1"/>
  <c r="C832" i="1" a="1"/>
  <c r="C832" i="1" s="1"/>
  <c r="B832" i="1"/>
  <c r="G831" i="1"/>
  <c r="E831" i="1" a="1"/>
  <c r="E831" i="1" s="1"/>
  <c r="D831" i="1"/>
  <c r="C831" i="1" a="1"/>
  <c r="C831" i="1"/>
  <c r="B831" i="1"/>
  <c r="G830" i="1"/>
  <c r="D830" i="1"/>
  <c r="C830" i="1" a="1"/>
  <c r="C830" i="1" s="1"/>
  <c r="B830" i="1"/>
  <c r="G829" i="1"/>
  <c r="E829" i="1" a="1"/>
  <c r="E829" i="1" s="1"/>
  <c r="D829" i="1"/>
  <c r="C829" i="1" a="1"/>
  <c r="C829" i="1" s="1"/>
  <c r="B829" i="1"/>
  <c r="G828" i="1"/>
  <c r="E828" i="1" a="1"/>
  <c r="E828" i="1"/>
  <c r="D828" i="1"/>
  <c r="G827" i="1"/>
  <c r="D827" i="1"/>
  <c r="C827" i="1" a="1"/>
  <c r="C827" i="1" s="1"/>
  <c r="B827" i="1"/>
  <c r="I826" i="1"/>
  <c r="G826" i="1"/>
  <c r="E826" i="1" a="1"/>
  <c r="E826" i="1"/>
  <c r="D826" i="1"/>
  <c r="C826" i="1" a="1"/>
  <c r="C826" i="1" s="1"/>
  <c r="B826" i="1"/>
  <c r="E825" i="1" a="1"/>
  <c r="E825" i="1"/>
  <c r="D825" i="1"/>
  <c r="C825" i="1" a="1"/>
  <c r="C825" i="1"/>
  <c r="B825" i="1"/>
  <c r="G824" i="1"/>
  <c r="D824" i="1"/>
  <c r="C824" i="1" a="1"/>
  <c r="C824" i="1"/>
  <c r="B824" i="1"/>
  <c r="G823" i="1"/>
  <c r="D823" i="1"/>
  <c r="C823" i="1" a="1"/>
  <c r="C823" i="1" s="1"/>
  <c r="B823" i="1"/>
  <c r="G822" i="1"/>
  <c r="D822" i="1"/>
  <c r="C822" i="1" a="1"/>
  <c r="C822" i="1"/>
  <c r="B822" i="1"/>
  <c r="G821" i="1"/>
  <c r="E821" i="1" a="1"/>
  <c r="E821" i="1"/>
  <c r="D821" i="1"/>
  <c r="C821" i="1" a="1"/>
  <c r="C821" i="1" s="1"/>
  <c r="B821" i="1"/>
  <c r="G820" i="1"/>
  <c r="D820" i="1"/>
  <c r="C820" i="1" a="1"/>
  <c r="C820" i="1"/>
  <c r="B820" i="1"/>
  <c r="G819" i="1"/>
  <c r="E819" i="1" a="1"/>
  <c r="E819" i="1"/>
  <c r="D819" i="1"/>
  <c r="C819" i="1" a="1"/>
  <c r="C819" i="1" s="1"/>
  <c r="B819" i="1"/>
  <c r="G818" i="1"/>
  <c r="D818" i="1"/>
  <c r="C818" i="1" a="1"/>
  <c r="C818" i="1"/>
  <c r="B818" i="1"/>
  <c r="I817" i="1"/>
  <c r="G817" i="1"/>
  <c r="E817" i="1" a="1"/>
  <c r="E817" i="1" s="1"/>
  <c r="D817" i="1"/>
  <c r="C817" i="1" a="1"/>
  <c r="C817" i="1"/>
  <c r="B817" i="1"/>
  <c r="D816" i="1"/>
  <c r="C816" i="1" a="1"/>
  <c r="C816" i="1"/>
  <c r="B816" i="1"/>
  <c r="G815" i="1"/>
  <c r="E815" i="1" a="1"/>
  <c r="E815" i="1"/>
  <c r="D815" i="1"/>
  <c r="C815" i="1" a="1"/>
  <c r="C815" i="1" s="1"/>
  <c r="B815" i="1"/>
  <c r="G814" i="1"/>
  <c r="D814" i="1"/>
  <c r="C814" i="1" a="1"/>
  <c r="C814" i="1"/>
  <c r="B814" i="1"/>
  <c r="G813" i="1"/>
  <c r="E813" i="1" a="1"/>
  <c r="E813" i="1"/>
  <c r="D813" i="1"/>
  <c r="C813" i="1" a="1"/>
  <c r="C813" i="1" s="1"/>
  <c r="B813" i="1"/>
  <c r="G812" i="1"/>
  <c r="E812" i="1" a="1"/>
  <c r="E812" i="1" s="1"/>
  <c r="D812" i="1"/>
  <c r="C812" i="1" a="1"/>
  <c r="C812" i="1"/>
  <c r="B812" i="1"/>
  <c r="G811" i="1"/>
  <c r="E811" i="1" a="1"/>
  <c r="E811" i="1" s="1"/>
  <c r="D811" i="1"/>
  <c r="C811" i="1" a="1"/>
  <c r="C811" i="1" s="1"/>
  <c r="B811" i="1"/>
  <c r="E810" i="1" a="1"/>
  <c r="E810" i="1"/>
  <c r="D810" i="1"/>
  <c r="I809" i="1"/>
  <c r="G809" i="1"/>
  <c r="E809" i="1" a="1"/>
  <c r="E809" i="1"/>
  <c r="D809" i="1"/>
  <c r="I808" i="1"/>
  <c r="G808" i="1"/>
  <c r="D808" i="1"/>
  <c r="C808" i="1" a="1"/>
  <c r="C808" i="1"/>
  <c r="B808" i="1"/>
  <c r="G807" i="1"/>
  <c r="G806" i="1"/>
  <c r="D806" i="1"/>
  <c r="C806" i="1" a="1"/>
  <c r="C806" i="1" s="1"/>
  <c r="B806" i="1"/>
  <c r="G805" i="1"/>
  <c r="E805" i="1" a="1"/>
  <c r="E805" i="1"/>
  <c r="D805" i="1"/>
  <c r="C805" i="1" a="1"/>
  <c r="C805" i="1"/>
  <c r="B805" i="1"/>
  <c r="G804" i="1"/>
  <c r="D804" i="1"/>
  <c r="C804" i="1" a="1"/>
  <c r="C804" i="1"/>
  <c r="B804" i="1"/>
  <c r="G803" i="1"/>
  <c r="E803" i="1" a="1"/>
  <c r="E803" i="1" s="1"/>
  <c r="D803" i="1"/>
  <c r="C803" i="1" a="1"/>
  <c r="C803" i="1" s="1"/>
  <c r="B803" i="1"/>
  <c r="E802" i="1" a="1"/>
  <c r="E802" i="1"/>
  <c r="D802" i="1"/>
  <c r="C802" i="1" a="1"/>
  <c r="C802" i="1"/>
  <c r="B802" i="1"/>
  <c r="I801" i="1"/>
  <c r="G801" i="1"/>
  <c r="E801" i="1" a="1"/>
  <c r="E801" i="1"/>
  <c r="D801" i="1"/>
  <c r="C801" i="1" a="1"/>
  <c r="C801" i="1"/>
  <c r="B801" i="1"/>
  <c r="I800" i="1"/>
  <c r="G800" i="1"/>
  <c r="D800" i="1"/>
  <c r="C800" i="1" a="1"/>
  <c r="C800" i="1" s="1"/>
  <c r="B800" i="1"/>
  <c r="E799" i="1" a="1"/>
  <c r="E799" i="1" s="1"/>
  <c r="D799" i="1"/>
  <c r="C799" i="1" a="1"/>
  <c r="C799" i="1"/>
  <c r="B799" i="1"/>
  <c r="E798" i="1" a="1"/>
  <c r="E798" i="1" s="1"/>
  <c r="D798" i="1"/>
  <c r="C798" i="1" a="1"/>
  <c r="C798" i="1"/>
  <c r="B798" i="1"/>
  <c r="D797" i="1"/>
  <c r="C797" i="1" a="1"/>
  <c r="C797" i="1" s="1"/>
  <c r="B797" i="1"/>
  <c r="G796" i="1"/>
  <c r="E796" i="1" a="1"/>
  <c r="E796" i="1"/>
  <c r="D796" i="1"/>
  <c r="C796" i="1" a="1"/>
  <c r="C796" i="1"/>
  <c r="B796" i="1"/>
  <c r="G795" i="1"/>
  <c r="D795" i="1"/>
  <c r="C795" i="1" a="1"/>
  <c r="C795" i="1"/>
  <c r="B795" i="1"/>
  <c r="G794" i="1"/>
  <c r="E794" i="1" a="1"/>
  <c r="E794" i="1" s="1"/>
  <c r="D794" i="1"/>
  <c r="C794" i="1" a="1"/>
  <c r="C794" i="1" s="1"/>
  <c r="B794" i="1"/>
  <c r="G793" i="1"/>
  <c r="D793" i="1"/>
  <c r="G792" i="1"/>
  <c r="E792" i="1" a="1"/>
  <c r="E792" i="1" s="1"/>
  <c r="D792" i="1"/>
  <c r="G791" i="1"/>
  <c r="E791" i="1" a="1"/>
  <c r="E791" i="1" s="1"/>
  <c r="D791" i="1"/>
  <c r="C791" i="1" a="1"/>
  <c r="C791" i="1" s="1"/>
  <c r="B791" i="1"/>
  <c r="I790" i="1"/>
  <c r="G790" i="1"/>
  <c r="E790" i="1" a="1"/>
  <c r="E790" i="1" s="1"/>
  <c r="D790" i="1"/>
  <c r="C790" i="1" a="1"/>
  <c r="C790" i="1" s="1"/>
  <c r="B790" i="1"/>
  <c r="E789" i="1" a="1"/>
  <c r="E789" i="1" s="1"/>
  <c r="D789" i="1"/>
  <c r="C789" i="1" a="1"/>
  <c r="C789" i="1"/>
  <c r="B789" i="1"/>
  <c r="G788" i="1"/>
  <c r="E788" i="1" a="1"/>
  <c r="E788" i="1"/>
  <c r="D788" i="1"/>
  <c r="C788" i="1" a="1"/>
  <c r="C788" i="1" s="1"/>
  <c r="B788" i="1"/>
  <c r="G787" i="1"/>
  <c r="D787" i="1"/>
  <c r="C787" i="1" a="1"/>
  <c r="C787" i="1"/>
  <c r="B787" i="1"/>
  <c r="G786" i="1"/>
  <c r="E786" i="1" a="1"/>
  <c r="E786" i="1"/>
  <c r="D786" i="1"/>
  <c r="C786" i="1" a="1"/>
  <c r="C786" i="1"/>
  <c r="B786" i="1"/>
  <c r="G785" i="1"/>
  <c r="D785" i="1"/>
  <c r="C785" i="1" a="1"/>
  <c r="C785" i="1"/>
  <c r="B785" i="1"/>
  <c r="G784" i="1"/>
  <c r="E784" i="1" a="1"/>
  <c r="E784" i="1"/>
  <c r="D784" i="1"/>
  <c r="C784" i="1" a="1"/>
  <c r="C784" i="1" s="1"/>
  <c r="B784" i="1"/>
  <c r="G783" i="1"/>
  <c r="E783" i="1" a="1"/>
  <c r="E783" i="1" s="1"/>
  <c r="D783" i="1"/>
  <c r="C783" i="1" a="1"/>
  <c r="C783" i="1"/>
  <c r="B783" i="1"/>
  <c r="I782" i="1"/>
  <c r="G782" i="1"/>
  <c r="E782" i="1" a="1"/>
  <c r="E782" i="1" s="1"/>
  <c r="D782" i="1"/>
  <c r="C782" i="1" a="1"/>
  <c r="C782" i="1"/>
  <c r="B782" i="1"/>
  <c r="E781" i="1" a="1"/>
  <c r="E781" i="1"/>
  <c r="D781" i="1"/>
  <c r="C781" i="1" a="1"/>
  <c r="C781" i="1"/>
  <c r="B781" i="1"/>
  <c r="G780" i="1"/>
  <c r="D780" i="1"/>
  <c r="C780" i="1" a="1"/>
  <c r="C780" i="1" s="1"/>
  <c r="B780" i="1"/>
  <c r="G779" i="1"/>
  <c r="E779" i="1" a="1"/>
  <c r="E779" i="1" s="1"/>
  <c r="D779" i="1"/>
  <c r="C779" i="1" a="1"/>
  <c r="C779" i="1"/>
  <c r="B779" i="1"/>
  <c r="G778" i="1"/>
  <c r="E778" i="1" a="1"/>
  <c r="E778" i="1"/>
  <c r="D778" i="1"/>
  <c r="C778" i="1" a="1"/>
  <c r="C778" i="1" s="1"/>
  <c r="B778" i="1"/>
  <c r="G777" i="1"/>
  <c r="D777" i="1"/>
  <c r="C777" i="1" a="1"/>
  <c r="C777" i="1"/>
  <c r="B777" i="1"/>
  <c r="G776" i="1"/>
  <c r="D776" i="1"/>
  <c r="C776" i="1" a="1"/>
  <c r="C776" i="1"/>
  <c r="B776" i="1"/>
  <c r="G775" i="1"/>
  <c r="E775" i="1" a="1"/>
  <c r="E775" i="1" s="1"/>
  <c r="D775" i="1"/>
  <c r="C775" i="1" a="1"/>
  <c r="C775" i="1"/>
  <c r="B775" i="1"/>
  <c r="I774" i="1"/>
  <c r="G774" i="1"/>
  <c r="E774" i="1" a="1"/>
  <c r="E774" i="1" s="1"/>
  <c r="D774" i="1"/>
  <c r="C774" i="1" a="1"/>
  <c r="C774" i="1"/>
  <c r="B774" i="1"/>
  <c r="G773" i="1"/>
  <c r="E773" i="1" a="1"/>
  <c r="E773" i="1"/>
  <c r="D773" i="1"/>
  <c r="C773" i="1" a="1"/>
  <c r="C773" i="1" s="1"/>
  <c r="B773" i="1"/>
  <c r="G772" i="1"/>
  <c r="D772" i="1"/>
  <c r="C772" i="1" a="1"/>
  <c r="C772" i="1"/>
  <c r="B772" i="1"/>
  <c r="G771" i="1"/>
  <c r="D771" i="1"/>
  <c r="C771" i="1" a="1"/>
  <c r="C771" i="1"/>
  <c r="B771" i="1"/>
  <c r="G770" i="1"/>
  <c r="D770" i="1"/>
  <c r="C770" i="1" a="1"/>
  <c r="C770" i="1"/>
  <c r="B770" i="1"/>
  <c r="G769" i="1"/>
  <c r="E769" i="1" a="1"/>
  <c r="E769" i="1" s="1"/>
  <c r="D769" i="1"/>
  <c r="C769" i="1" a="1"/>
  <c r="C769" i="1" s="1"/>
  <c r="B769" i="1"/>
  <c r="G768" i="1"/>
  <c r="E768" i="1" a="1"/>
  <c r="E768" i="1" s="1"/>
  <c r="D768" i="1"/>
  <c r="C768" i="1" a="1"/>
  <c r="C768" i="1"/>
  <c r="B768" i="1"/>
  <c r="G767" i="1"/>
  <c r="E767" i="1" a="1"/>
  <c r="E767" i="1"/>
  <c r="D767" i="1"/>
  <c r="C767" i="1" a="1"/>
  <c r="C767" i="1"/>
  <c r="B767" i="1"/>
  <c r="G766" i="1"/>
  <c r="E766" i="1" a="1"/>
  <c r="E766" i="1" s="1"/>
  <c r="D766" i="1"/>
  <c r="C766" i="1" a="1"/>
  <c r="C766" i="1" s="1"/>
  <c r="B766" i="1"/>
  <c r="I765" i="1"/>
  <c r="G765" i="1"/>
  <c r="E765" i="1" a="1"/>
  <c r="E765" i="1" s="1"/>
  <c r="D765" i="1"/>
  <c r="C765" i="1" a="1"/>
  <c r="C765" i="1" s="1"/>
  <c r="B765" i="1"/>
  <c r="G764" i="1"/>
  <c r="E764" i="1" a="1"/>
  <c r="E764" i="1"/>
  <c r="D764" i="1"/>
  <c r="C764" i="1" a="1"/>
  <c r="C764" i="1"/>
  <c r="B764" i="1"/>
  <c r="G763" i="1"/>
  <c r="D763" i="1"/>
  <c r="C763" i="1" a="1"/>
  <c r="C763" i="1"/>
  <c r="B763" i="1"/>
  <c r="G762" i="1"/>
  <c r="E762" i="1" a="1"/>
  <c r="E762" i="1" s="1"/>
  <c r="D762" i="1"/>
  <c r="C762" i="1" a="1"/>
  <c r="C762" i="1" s="1"/>
  <c r="B762" i="1"/>
  <c r="G761" i="1"/>
  <c r="D761" i="1"/>
  <c r="C761" i="1" a="1"/>
  <c r="C761" i="1" s="1"/>
  <c r="B761" i="1"/>
  <c r="G760" i="1"/>
  <c r="E760" i="1" a="1"/>
  <c r="E760" i="1"/>
  <c r="D760" i="1"/>
  <c r="C760" i="1" a="1"/>
  <c r="C760" i="1" s="1"/>
  <c r="B760" i="1"/>
  <c r="G759" i="1"/>
  <c r="E759" i="1" a="1"/>
  <c r="E759" i="1" s="1"/>
  <c r="D759" i="1"/>
  <c r="C759" i="1" a="1"/>
  <c r="C759" i="1"/>
  <c r="B759" i="1"/>
  <c r="G758" i="1"/>
  <c r="E758" i="1" a="1"/>
  <c r="E758" i="1"/>
  <c r="D758" i="1"/>
  <c r="C758" i="1" a="1"/>
  <c r="C758" i="1" s="1"/>
  <c r="B758" i="1"/>
  <c r="G757" i="1"/>
  <c r="E757" i="1" a="1"/>
  <c r="E757" i="1"/>
  <c r="D757" i="1"/>
  <c r="C757" i="1" a="1"/>
  <c r="C757" i="1"/>
  <c r="B757" i="1"/>
  <c r="I756" i="1"/>
  <c r="G756" i="1"/>
  <c r="E756" i="1" a="1"/>
  <c r="E756" i="1"/>
  <c r="D756" i="1"/>
  <c r="C756" i="1" a="1"/>
  <c r="C756" i="1"/>
  <c r="B756" i="1"/>
  <c r="E755" i="1" a="1"/>
  <c r="E755" i="1"/>
  <c r="D755" i="1"/>
  <c r="C755" i="1" a="1"/>
  <c r="C755" i="1"/>
  <c r="B755" i="1"/>
  <c r="D754" i="1"/>
  <c r="C754" i="1" a="1"/>
  <c r="C754" i="1"/>
  <c r="B754" i="1"/>
  <c r="E753" i="1" a="1"/>
  <c r="E753" i="1"/>
  <c r="D753" i="1"/>
  <c r="C753" i="1" a="1"/>
  <c r="C753" i="1"/>
  <c r="B753" i="1"/>
  <c r="D752" i="1"/>
  <c r="C752" i="1" a="1"/>
  <c r="C752" i="1" s="1"/>
  <c r="B752" i="1"/>
  <c r="D751" i="1"/>
  <c r="C751" i="1" a="1"/>
  <c r="C751" i="1"/>
  <c r="B751" i="1"/>
  <c r="G750" i="1"/>
  <c r="E750" i="1" a="1"/>
  <c r="E750" i="1" s="1"/>
  <c r="D750" i="1"/>
  <c r="C750" i="1" a="1"/>
  <c r="C750" i="1" s="1"/>
  <c r="B750" i="1"/>
  <c r="G749" i="1"/>
  <c r="E749" i="1" a="1"/>
  <c r="E749" i="1"/>
  <c r="D749" i="1"/>
  <c r="C749" i="1" a="1"/>
  <c r="C749" i="1"/>
  <c r="B749" i="1"/>
  <c r="G748" i="1"/>
  <c r="E748" i="1" a="1"/>
  <c r="E748" i="1"/>
  <c r="D748" i="1"/>
  <c r="C748" i="1" a="1"/>
  <c r="C748" i="1"/>
  <c r="B748" i="1"/>
  <c r="G747" i="1"/>
  <c r="E747" i="1" a="1"/>
  <c r="E747" i="1" s="1"/>
  <c r="D747" i="1"/>
  <c r="E746" i="1" a="1"/>
  <c r="E746" i="1"/>
  <c r="D746" i="1"/>
  <c r="I745" i="1"/>
  <c r="G745" i="1"/>
  <c r="E745" i="1" a="1"/>
  <c r="E745" i="1"/>
  <c r="D745" i="1"/>
  <c r="C745" i="1" a="1"/>
  <c r="C745" i="1" s="1"/>
  <c r="B745" i="1"/>
  <c r="I744" i="1"/>
  <c r="G744" i="1"/>
  <c r="D744" i="1"/>
  <c r="E743" i="1" a="1"/>
  <c r="E743" i="1"/>
  <c r="D743" i="1"/>
  <c r="C743" i="1" a="1"/>
  <c r="C743" i="1"/>
  <c r="B743" i="1"/>
  <c r="D742" i="1"/>
  <c r="C742" i="1" a="1"/>
  <c r="C742" i="1"/>
  <c r="B742" i="1"/>
  <c r="G741" i="1"/>
  <c r="D741" i="1"/>
  <c r="C741" i="1" a="1"/>
  <c r="C741" i="1" s="1"/>
  <c r="B741" i="1"/>
  <c r="G740" i="1"/>
  <c r="D740" i="1"/>
  <c r="C740" i="1" a="1"/>
  <c r="C740" i="1" s="1"/>
  <c r="B740" i="1"/>
  <c r="G739" i="1"/>
  <c r="E739" i="1" a="1"/>
  <c r="E739" i="1"/>
  <c r="D739" i="1"/>
  <c r="C739" i="1" a="1"/>
  <c r="C739" i="1" s="1"/>
  <c r="B739" i="1"/>
  <c r="G738" i="1"/>
  <c r="E738" i="1" a="1"/>
  <c r="E738" i="1" s="1"/>
  <c r="D738" i="1"/>
  <c r="C738" i="1" a="1"/>
  <c r="C738" i="1"/>
  <c r="B738" i="1"/>
  <c r="E737" i="1" a="1"/>
  <c r="E737" i="1"/>
  <c r="D737" i="1"/>
  <c r="C737" i="1" a="1"/>
  <c r="C737" i="1" s="1"/>
  <c r="B737" i="1"/>
  <c r="I736" i="1"/>
  <c r="G736" i="1"/>
  <c r="E736" i="1" a="1"/>
  <c r="E736" i="1"/>
  <c r="D736" i="1"/>
  <c r="C736" i="1" a="1"/>
  <c r="C736" i="1" s="1"/>
  <c r="B736" i="1"/>
  <c r="I735" i="1"/>
  <c r="G735" i="1"/>
  <c r="D735" i="1"/>
  <c r="E734" i="1" a="1"/>
  <c r="E734" i="1" s="1"/>
  <c r="D734" i="1"/>
  <c r="C734" i="1" a="1"/>
  <c r="C734" i="1"/>
  <c r="B734" i="1"/>
  <c r="E733" i="1" a="1"/>
  <c r="E733" i="1" s="1"/>
  <c r="D733" i="1"/>
  <c r="C733" i="1" a="1"/>
  <c r="C733" i="1"/>
  <c r="B733" i="1"/>
  <c r="D732" i="1"/>
  <c r="C732" i="1" a="1"/>
  <c r="C732" i="1" s="1"/>
  <c r="B732" i="1"/>
  <c r="D731" i="1"/>
  <c r="C731" i="1" a="1"/>
  <c r="C731" i="1"/>
  <c r="B731" i="1"/>
  <c r="D730" i="1"/>
  <c r="C730" i="1" a="1"/>
  <c r="C730" i="1" s="1"/>
  <c r="B730" i="1"/>
  <c r="D729" i="1"/>
  <c r="C729" i="1" a="1"/>
  <c r="C729" i="1"/>
  <c r="B729" i="1"/>
  <c r="E728" i="1" a="1"/>
  <c r="E728" i="1" s="1"/>
  <c r="D728" i="1"/>
  <c r="C728" i="1" a="1"/>
  <c r="C728" i="1"/>
  <c r="B728" i="1"/>
  <c r="E727" i="1" a="1"/>
  <c r="E727" i="1" s="1"/>
  <c r="D727" i="1"/>
  <c r="C727" i="1" a="1"/>
  <c r="C727" i="1" s="1"/>
  <c r="B727" i="1"/>
  <c r="G726" i="1"/>
  <c r="E726" i="1" a="1"/>
  <c r="E726" i="1"/>
  <c r="D726" i="1"/>
  <c r="E725" i="1" a="1"/>
  <c r="E725" i="1" s="1"/>
  <c r="D725" i="1"/>
  <c r="G724" i="1"/>
  <c r="E724" i="1" a="1"/>
  <c r="E724" i="1"/>
  <c r="D724" i="1"/>
  <c r="G723" i="1"/>
  <c r="E723" i="1" a="1"/>
  <c r="E723" i="1" s="1"/>
  <c r="D723" i="1"/>
  <c r="I722" i="1"/>
  <c r="G722" i="1"/>
  <c r="E722" i="1" a="1"/>
  <c r="E722" i="1" s="1"/>
  <c r="D722" i="1"/>
  <c r="C722" i="1" a="1"/>
  <c r="C722" i="1" s="1"/>
  <c r="B722" i="1"/>
  <c r="E721" i="1" a="1"/>
  <c r="E721" i="1" s="1"/>
  <c r="D721" i="1"/>
  <c r="C721" i="1" a="1"/>
  <c r="C721" i="1"/>
  <c r="B721" i="1"/>
  <c r="E720" i="1" a="1"/>
  <c r="E720" i="1"/>
  <c r="D720" i="1"/>
  <c r="C720" i="1" a="1"/>
  <c r="C720" i="1"/>
  <c r="B720" i="1"/>
  <c r="D719" i="1"/>
  <c r="C719" i="1" a="1"/>
  <c r="C719" i="1" s="1"/>
  <c r="B719" i="1"/>
  <c r="D718" i="1"/>
  <c r="C718" i="1" a="1"/>
  <c r="C718" i="1"/>
  <c r="B718" i="1"/>
  <c r="G717" i="1"/>
  <c r="D717" i="1"/>
  <c r="C717" i="1" a="1"/>
  <c r="C717" i="1"/>
  <c r="B717" i="1"/>
  <c r="E716" i="1" a="1"/>
  <c r="E716" i="1" s="1"/>
  <c r="D716" i="1"/>
  <c r="C716" i="1" a="1"/>
  <c r="C716" i="1" s="1"/>
  <c r="B716" i="1"/>
  <c r="G715" i="1"/>
  <c r="E715" i="1" a="1"/>
  <c r="E715" i="1"/>
  <c r="D715" i="1"/>
  <c r="C715" i="1" a="1"/>
  <c r="C715" i="1"/>
  <c r="B715" i="1"/>
  <c r="G714" i="1"/>
  <c r="E714" i="1" a="1"/>
  <c r="E714" i="1" s="1"/>
  <c r="D714" i="1"/>
  <c r="C714" i="1" a="1"/>
  <c r="C714" i="1"/>
  <c r="B714" i="1"/>
  <c r="I713" i="1"/>
  <c r="G713" i="1"/>
  <c r="E713" i="1" a="1"/>
  <c r="E713" i="1" s="1"/>
  <c r="D713" i="1"/>
  <c r="C713" i="1" a="1"/>
  <c r="C713" i="1"/>
  <c r="B713" i="1"/>
  <c r="E712" i="1" a="1"/>
  <c r="E712" i="1"/>
  <c r="D712" i="1"/>
  <c r="C712" i="1" a="1"/>
  <c r="C712" i="1"/>
  <c r="B712" i="1"/>
  <c r="E711" i="1" a="1"/>
  <c r="E711" i="1" s="1"/>
  <c r="D711" i="1"/>
  <c r="C711" i="1" a="1"/>
  <c r="C711" i="1"/>
  <c r="B711" i="1"/>
  <c r="D710" i="1"/>
  <c r="C710" i="1" a="1"/>
  <c r="C710" i="1"/>
  <c r="B710" i="1"/>
  <c r="G709" i="1"/>
  <c r="E709" i="1" a="1"/>
  <c r="E709" i="1"/>
  <c r="D709" i="1"/>
  <c r="C709" i="1" a="1"/>
  <c r="C709" i="1" s="1"/>
  <c r="B709" i="1"/>
  <c r="G708" i="1"/>
  <c r="E708" i="1" a="1"/>
  <c r="E708" i="1"/>
  <c r="D708" i="1"/>
  <c r="C708" i="1" a="1"/>
  <c r="C708" i="1"/>
  <c r="B708" i="1"/>
  <c r="G707" i="1"/>
  <c r="D707" i="1"/>
  <c r="C707" i="1" a="1"/>
  <c r="C707" i="1"/>
  <c r="B707" i="1"/>
  <c r="G706" i="1"/>
  <c r="E706" i="1" a="1"/>
  <c r="E706" i="1" s="1"/>
  <c r="D706" i="1"/>
  <c r="C706" i="1" a="1"/>
  <c r="C706" i="1" s="1"/>
  <c r="B706" i="1"/>
  <c r="G705" i="1"/>
  <c r="E705" i="1" a="1"/>
  <c r="E705" i="1"/>
  <c r="D705" i="1"/>
  <c r="C705" i="1" a="1"/>
  <c r="C705" i="1" s="1"/>
  <c r="B705" i="1"/>
  <c r="G704" i="1"/>
  <c r="D704" i="1"/>
  <c r="G703" i="1"/>
  <c r="E703" i="1" a="1"/>
  <c r="E703" i="1" s="1"/>
  <c r="D703" i="1"/>
  <c r="G702" i="1"/>
  <c r="E702" i="1" a="1"/>
  <c r="E702" i="1"/>
  <c r="D702" i="1"/>
  <c r="I701" i="1"/>
  <c r="G701" i="1"/>
  <c r="E701" i="1" a="1"/>
  <c r="E701" i="1"/>
  <c r="D701" i="1"/>
  <c r="C701" i="1" a="1"/>
  <c r="C701" i="1"/>
  <c r="B701" i="1"/>
  <c r="E700" i="1" a="1"/>
  <c r="E700" i="1"/>
  <c r="D700" i="1"/>
  <c r="C700" i="1" a="1"/>
  <c r="C700" i="1"/>
  <c r="B700" i="1"/>
  <c r="E699" i="1" a="1"/>
  <c r="E699" i="1"/>
  <c r="D699" i="1"/>
  <c r="C699" i="1" a="1"/>
  <c r="C699" i="1" s="1"/>
  <c r="B699" i="1"/>
  <c r="G698" i="1"/>
  <c r="D698" i="1"/>
  <c r="C698" i="1" a="1"/>
  <c r="C698" i="1"/>
  <c r="B698" i="1"/>
  <c r="G697" i="1"/>
  <c r="E697" i="1" a="1"/>
  <c r="E697" i="1"/>
  <c r="D697" i="1"/>
  <c r="C697" i="1" a="1"/>
  <c r="C697" i="1"/>
  <c r="B697" i="1"/>
  <c r="G696" i="1"/>
  <c r="E696" i="1" a="1"/>
  <c r="E696" i="1" s="1"/>
  <c r="D696" i="1"/>
  <c r="C696" i="1" a="1"/>
  <c r="C696" i="1" s="1"/>
  <c r="B696" i="1"/>
  <c r="G695" i="1"/>
  <c r="D695" i="1"/>
  <c r="C695" i="1" a="1"/>
  <c r="C695" i="1" s="1"/>
  <c r="B695" i="1"/>
  <c r="G694" i="1"/>
  <c r="E694" i="1" a="1"/>
  <c r="E694" i="1"/>
  <c r="D694" i="1"/>
  <c r="C694" i="1" a="1"/>
  <c r="C694" i="1"/>
  <c r="B694" i="1"/>
  <c r="G693" i="1"/>
  <c r="E693" i="1" a="1"/>
  <c r="E693" i="1" s="1"/>
  <c r="D693" i="1"/>
  <c r="C693" i="1" a="1"/>
  <c r="C693" i="1" s="1"/>
  <c r="B693" i="1"/>
  <c r="G692" i="1"/>
  <c r="E692" i="1" a="1"/>
  <c r="E692" i="1" s="1"/>
  <c r="D692" i="1"/>
  <c r="G691" i="1"/>
  <c r="E691" i="1" a="1"/>
  <c r="E691" i="1" s="1"/>
  <c r="D691" i="1"/>
  <c r="I690" i="1"/>
  <c r="G690" i="1"/>
  <c r="E690" i="1" a="1"/>
  <c r="E690" i="1" s="1"/>
  <c r="D690" i="1"/>
  <c r="C690" i="1" a="1"/>
  <c r="C690" i="1" s="1"/>
  <c r="B690" i="1"/>
  <c r="G689" i="1"/>
  <c r="E689" i="1" a="1"/>
  <c r="E689" i="1" s="1"/>
  <c r="D689" i="1"/>
  <c r="C689" i="1" a="1"/>
  <c r="C689" i="1"/>
  <c r="B689" i="1"/>
  <c r="G688" i="1"/>
  <c r="E688" i="1" a="1"/>
  <c r="E688" i="1"/>
  <c r="D688" i="1"/>
  <c r="C688" i="1" a="1"/>
  <c r="C688" i="1"/>
  <c r="B688" i="1"/>
  <c r="G687" i="1"/>
  <c r="D687" i="1"/>
  <c r="C687" i="1" a="1"/>
  <c r="C687" i="1"/>
  <c r="B687" i="1"/>
  <c r="G686" i="1"/>
  <c r="E686" i="1" a="1"/>
  <c r="E686" i="1"/>
  <c r="D686" i="1"/>
  <c r="C686" i="1" a="1"/>
  <c r="C686" i="1" s="1"/>
  <c r="B686" i="1"/>
  <c r="G685" i="1"/>
  <c r="E685" i="1" a="1"/>
  <c r="E685" i="1"/>
  <c r="D685" i="1"/>
  <c r="C685" i="1" a="1"/>
  <c r="C685" i="1"/>
  <c r="B685" i="1"/>
  <c r="G684" i="1"/>
  <c r="D684" i="1"/>
  <c r="C684" i="1" a="1"/>
  <c r="C684" i="1" s="1"/>
  <c r="B684" i="1"/>
  <c r="G683" i="1"/>
  <c r="E683" i="1" a="1"/>
  <c r="E683" i="1" s="1"/>
  <c r="D683" i="1"/>
  <c r="C683" i="1" a="1"/>
  <c r="C683" i="1" s="1"/>
  <c r="B683" i="1"/>
  <c r="G682" i="1"/>
  <c r="E682" i="1" a="1"/>
  <c r="E682" i="1"/>
  <c r="D682" i="1"/>
  <c r="C682" i="1" a="1"/>
  <c r="C682" i="1"/>
  <c r="B682" i="1"/>
  <c r="I681" i="1"/>
  <c r="G681" i="1"/>
  <c r="E681" i="1" a="1"/>
  <c r="E681" i="1"/>
  <c r="D681" i="1"/>
  <c r="C681" i="1" a="1"/>
  <c r="C681" i="1"/>
  <c r="B681" i="1"/>
  <c r="D680" i="1"/>
  <c r="C680" i="1" a="1"/>
  <c r="C680" i="1" s="1"/>
  <c r="B680" i="1"/>
  <c r="D679" i="1"/>
  <c r="C679" i="1" a="1"/>
  <c r="C679" i="1" s="1"/>
  <c r="B679" i="1"/>
  <c r="D678" i="1"/>
  <c r="C678" i="1" a="1"/>
  <c r="C678" i="1" s="1"/>
  <c r="B678" i="1"/>
  <c r="D677" i="1"/>
  <c r="C677" i="1" a="1"/>
  <c r="C677" i="1" s="1"/>
  <c r="B677" i="1"/>
  <c r="G676" i="1"/>
  <c r="E676" i="1" a="1"/>
  <c r="E676" i="1" s="1"/>
  <c r="D676" i="1"/>
  <c r="C676" i="1" a="1"/>
  <c r="C676" i="1"/>
  <c r="B676" i="1"/>
  <c r="G675" i="1"/>
  <c r="E675" i="1" a="1"/>
  <c r="E675" i="1"/>
  <c r="D675" i="1"/>
  <c r="C675" i="1" a="1"/>
  <c r="C675" i="1" s="1"/>
  <c r="B675" i="1"/>
  <c r="G674" i="1"/>
  <c r="D674" i="1"/>
  <c r="C674" i="1" a="1"/>
  <c r="C674" i="1"/>
  <c r="B674" i="1"/>
  <c r="G673" i="1"/>
  <c r="E673" i="1" a="1"/>
  <c r="E673" i="1"/>
  <c r="D673" i="1"/>
  <c r="C673" i="1" a="1"/>
  <c r="C673" i="1" s="1"/>
  <c r="B673" i="1"/>
  <c r="D672" i="1"/>
  <c r="G671" i="1"/>
  <c r="E671" i="1" a="1"/>
  <c r="E671" i="1" s="1"/>
  <c r="D671" i="1"/>
  <c r="I670" i="1"/>
  <c r="G670" i="1"/>
  <c r="E670" i="1" a="1"/>
  <c r="E670" i="1"/>
  <c r="D670" i="1"/>
  <c r="C670" i="1" a="1"/>
  <c r="C670" i="1" s="1"/>
  <c r="B670" i="1"/>
  <c r="D669" i="1"/>
  <c r="D668" i="1"/>
  <c r="C668" i="1" a="1"/>
  <c r="C668" i="1"/>
  <c r="B668" i="1"/>
  <c r="G667" i="1"/>
  <c r="D667" i="1"/>
  <c r="C667" i="1" a="1"/>
  <c r="C667" i="1" s="1"/>
  <c r="B667" i="1"/>
  <c r="G666" i="1"/>
  <c r="D666" i="1"/>
  <c r="C666" i="1" a="1"/>
  <c r="C666" i="1"/>
  <c r="B666" i="1"/>
  <c r="G665" i="1"/>
  <c r="E665" i="1" a="1"/>
  <c r="E665" i="1"/>
  <c r="D665" i="1"/>
  <c r="C665" i="1" a="1"/>
  <c r="C665" i="1" s="1"/>
  <c r="B665" i="1"/>
  <c r="G664" i="1"/>
  <c r="E664" i="1" a="1"/>
  <c r="E664" i="1" s="1"/>
  <c r="D664" i="1"/>
  <c r="C664" i="1" a="1"/>
  <c r="C664" i="1"/>
  <c r="B664" i="1"/>
  <c r="D663" i="1"/>
  <c r="C663" i="1" a="1"/>
  <c r="C663" i="1" s="1"/>
  <c r="B663" i="1"/>
  <c r="G662" i="1"/>
  <c r="E662" i="1" a="1"/>
  <c r="E662" i="1" s="1"/>
  <c r="D662" i="1"/>
  <c r="C662" i="1" a="1"/>
  <c r="C662" i="1" s="1"/>
  <c r="B662" i="1"/>
  <c r="I661" i="1"/>
  <c r="G661" i="1"/>
  <c r="E661" i="1" a="1"/>
  <c r="E661" i="1" s="1"/>
  <c r="D661" i="1"/>
  <c r="C661" i="1" a="1"/>
  <c r="C661" i="1" s="1"/>
  <c r="B661" i="1"/>
  <c r="G660" i="1"/>
  <c r="G659" i="1"/>
  <c r="G658" i="1"/>
  <c r="G657" i="1"/>
  <c r="G656" i="1"/>
  <c r="E656" i="1" a="1"/>
  <c r="E656" i="1" s="1"/>
  <c r="D656" i="1"/>
  <c r="C656" i="1" a="1"/>
  <c r="C656" i="1" s="1"/>
  <c r="B656" i="1"/>
  <c r="G655" i="1"/>
  <c r="D655" i="1"/>
  <c r="C655" i="1" a="1"/>
  <c r="C655" i="1"/>
  <c r="B655" i="1"/>
  <c r="G654" i="1"/>
  <c r="E654" i="1" a="1"/>
  <c r="E654" i="1"/>
  <c r="D654" i="1"/>
  <c r="C654" i="1" a="1"/>
  <c r="C654" i="1" s="1"/>
  <c r="B654" i="1"/>
  <c r="I653" i="1"/>
  <c r="G653" i="1"/>
  <c r="E653" i="1" a="1"/>
  <c r="E653" i="1"/>
  <c r="D653" i="1"/>
  <c r="C653" i="1" a="1"/>
  <c r="C653" i="1" s="1"/>
  <c r="B653" i="1"/>
  <c r="D652" i="1"/>
  <c r="C652" i="1" a="1"/>
  <c r="C652" i="1" s="1"/>
  <c r="B652" i="1"/>
  <c r="E651" i="1" a="1"/>
  <c r="E651" i="1"/>
  <c r="D651" i="1"/>
  <c r="C651" i="1" a="1"/>
  <c r="C651" i="1" s="1"/>
  <c r="B651" i="1"/>
  <c r="D650" i="1"/>
  <c r="C650" i="1" a="1"/>
  <c r="C650" i="1" s="1"/>
  <c r="B650" i="1"/>
  <c r="E649" i="1" a="1"/>
  <c r="E649" i="1"/>
  <c r="D649" i="1"/>
  <c r="C649" i="1" a="1"/>
  <c r="C649" i="1" s="1"/>
  <c r="B649" i="1"/>
  <c r="G648" i="1"/>
  <c r="E648" i="1" a="1"/>
  <c r="E648" i="1" s="1"/>
  <c r="D648" i="1"/>
  <c r="C648" i="1" a="1"/>
  <c r="C648" i="1"/>
  <c r="B648" i="1"/>
  <c r="G647" i="1"/>
  <c r="E647" i="1" a="1"/>
  <c r="E647" i="1"/>
  <c r="D647" i="1"/>
  <c r="C647" i="1" a="1"/>
  <c r="C647" i="1" s="1"/>
  <c r="B647" i="1"/>
  <c r="G646" i="1"/>
  <c r="E646" i="1" a="1"/>
  <c r="E646" i="1" s="1"/>
  <c r="D646" i="1"/>
  <c r="C646" i="1" a="1"/>
  <c r="C646" i="1"/>
  <c r="B646" i="1"/>
  <c r="G645" i="1"/>
  <c r="D645" i="1"/>
  <c r="C645" i="1" a="1"/>
  <c r="C645" i="1" s="1"/>
  <c r="B645" i="1"/>
  <c r="G644" i="1"/>
  <c r="D644" i="1"/>
  <c r="C644" i="1" a="1"/>
  <c r="C644" i="1"/>
  <c r="B644" i="1"/>
  <c r="G643" i="1"/>
  <c r="D643" i="1"/>
  <c r="G642" i="1"/>
  <c r="D642" i="1"/>
  <c r="I641" i="1"/>
  <c r="G641" i="1"/>
  <c r="E641" i="1" a="1"/>
  <c r="E641" i="1" s="1"/>
  <c r="D641" i="1"/>
  <c r="C641" i="1" a="1"/>
  <c r="C641" i="1"/>
  <c r="B641" i="1"/>
  <c r="D640" i="1"/>
  <c r="C640" i="1" a="1"/>
  <c r="C640" i="1"/>
  <c r="B640" i="1"/>
  <c r="E639" i="1" a="1"/>
  <c r="E639" i="1" s="1"/>
  <c r="D639" i="1"/>
  <c r="C639" i="1" a="1"/>
  <c r="C639" i="1" s="1"/>
  <c r="B639" i="1"/>
  <c r="G638" i="1"/>
  <c r="D638" i="1"/>
  <c r="C638" i="1" a="1"/>
  <c r="C638" i="1" s="1"/>
  <c r="B638" i="1"/>
  <c r="G637" i="1"/>
  <c r="E637" i="1" a="1"/>
  <c r="E637" i="1" s="1"/>
  <c r="D637" i="1"/>
  <c r="C637" i="1" a="1"/>
  <c r="C637" i="1"/>
  <c r="B637" i="1"/>
  <c r="G636" i="1"/>
  <c r="E636" i="1" a="1"/>
  <c r="E636" i="1" s="1"/>
  <c r="D636" i="1"/>
  <c r="C636" i="1" a="1"/>
  <c r="C636" i="1" s="1"/>
  <c r="B636" i="1"/>
  <c r="G635" i="1"/>
  <c r="E635" i="1" a="1"/>
  <c r="E635" i="1" s="1"/>
  <c r="D635" i="1"/>
  <c r="C635" i="1" a="1"/>
  <c r="C635" i="1"/>
  <c r="B635" i="1"/>
  <c r="G634" i="1"/>
  <c r="E634" i="1" a="1"/>
  <c r="E634" i="1"/>
  <c r="D634" i="1"/>
  <c r="C634" i="1" a="1"/>
  <c r="C634" i="1" s="1"/>
  <c r="B634" i="1"/>
  <c r="G633" i="1"/>
  <c r="D633" i="1"/>
  <c r="C633" i="1" a="1"/>
  <c r="C633" i="1"/>
  <c r="B633" i="1"/>
  <c r="G632" i="1"/>
  <c r="D632" i="1"/>
  <c r="C632" i="1" a="1"/>
  <c r="C632" i="1" s="1"/>
  <c r="B632" i="1"/>
  <c r="I631" i="1"/>
  <c r="G631" i="1"/>
  <c r="E631" i="1" a="1"/>
  <c r="E631" i="1"/>
  <c r="D631" i="1"/>
  <c r="C631" i="1" a="1"/>
  <c r="C631" i="1" s="1"/>
  <c r="B631" i="1"/>
  <c r="G630" i="1"/>
  <c r="D630" i="1"/>
  <c r="C630" i="1" a="1"/>
  <c r="C630" i="1" s="1"/>
  <c r="B630" i="1"/>
  <c r="G629" i="1"/>
  <c r="D629" i="1"/>
  <c r="C629" i="1" a="1"/>
  <c r="C629" i="1" s="1"/>
  <c r="B629" i="1"/>
  <c r="G628" i="1"/>
  <c r="E628" i="1" a="1"/>
  <c r="E628" i="1" s="1"/>
  <c r="D628" i="1"/>
  <c r="C628" i="1" a="1"/>
  <c r="C628" i="1"/>
  <c r="B628" i="1"/>
  <c r="G627" i="1"/>
  <c r="D627" i="1"/>
  <c r="C627" i="1" a="1"/>
  <c r="C627" i="1" s="1"/>
  <c r="B627" i="1"/>
  <c r="G626" i="1"/>
  <c r="D626" i="1"/>
  <c r="C626" i="1" a="1"/>
  <c r="C626" i="1"/>
  <c r="B626" i="1"/>
  <c r="G625" i="1"/>
  <c r="D625" i="1"/>
  <c r="C625" i="1" a="1"/>
  <c r="C625" i="1" s="1"/>
  <c r="B625" i="1"/>
  <c r="G624" i="1"/>
  <c r="E624" i="1" a="1"/>
  <c r="E624" i="1" s="1"/>
  <c r="D624" i="1"/>
  <c r="C624" i="1" a="1"/>
  <c r="C624" i="1"/>
  <c r="B624" i="1"/>
  <c r="G623" i="1"/>
  <c r="D623" i="1"/>
  <c r="C623" i="1" a="1"/>
  <c r="C623" i="1" s="1"/>
  <c r="B623" i="1"/>
  <c r="G622" i="1"/>
  <c r="D622" i="1"/>
  <c r="I621" i="1"/>
  <c r="G621" i="1"/>
  <c r="D621" i="1"/>
  <c r="C621" i="1" a="1"/>
  <c r="C621" i="1" s="1"/>
  <c r="B621" i="1"/>
  <c r="I620" i="1"/>
  <c r="G620" i="1"/>
  <c r="E620" i="1" a="1"/>
  <c r="E620" i="1"/>
  <c r="D620" i="1"/>
  <c r="C620" i="1" a="1"/>
  <c r="C620" i="1" s="1"/>
  <c r="B620" i="1"/>
  <c r="G619" i="1"/>
  <c r="D619" i="1"/>
  <c r="C619" i="1" a="1"/>
  <c r="C619" i="1"/>
  <c r="B619" i="1"/>
  <c r="G618" i="1"/>
  <c r="D618" i="1"/>
  <c r="C618" i="1" a="1"/>
  <c r="C618" i="1" s="1"/>
  <c r="B618" i="1"/>
  <c r="G617" i="1"/>
  <c r="E617" i="1" a="1"/>
  <c r="E617" i="1" s="1"/>
  <c r="D617" i="1"/>
  <c r="C617" i="1" a="1"/>
  <c r="C617" i="1" s="1"/>
  <c r="B617" i="1"/>
  <c r="G616" i="1"/>
  <c r="D616" i="1"/>
  <c r="C616" i="1" a="1"/>
  <c r="C616" i="1" s="1"/>
  <c r="B616" i="1"/>
  <c r="G615" i="1"/>
  <c r="D615" i="1"/>
  <c r="C615" i="1" a="1"/>
  <c r="C615" i="1"/>
  <c r="B615" i="1"/>
  <c r="G614" i="1"/>
  <c r="D614" i="1"/>
  <c r="C614" i="1" a="1"/>
  <c r="C614" i="1" s="1"/>
  <c r="B614" i="1"/>
  <c r="G613" i="1"/>
  <c r="E613" i="1" a="1"/>
  <c r="E613" i="1" s="1"/>
  <c r="D613" i="1"/>
  <c r="C613" i="1" a="1"/>
  <c r="C613" i="1"/>
  <c r="B613" i="1"/>
  <c r="G612" i="1"/>
  <c r="D612" i="1"/>
  <c r="C612" i="1" a="1"/>
  <c r="C612" i="1" s="1"/>
  <c r="B612" i="1"/>
  <c r="G611" i="1"/>
  <c r="D611" i="1"/>
  <c r="I610" i="1"/>
  <c r="G610" i="1"/>
  <c r="D610" i="1"/>
  <c r="C610" i="1" a="1"/>
  <c r="C610" i="1" s="1"/>
  <c r="B610" i="1"/>
  <c r="I609" i="1"/>
  <c r="G609" i="1"/>
  <c r="E609" i="1" a="1"/>
  <c r="E609" i="1" s="1"/>
  <c r="D609" i="1"/>
  <c r="C609" i="1" a="1"/>
  <c r="C609" i="1" s="1"/>
  <c r="B609" i="1"/>
  <c r="G608" i="1"/>
  <c r="G607" i="1"/>
  <c r="D607" i="1"/>
  <c r="C607" i="1" a="1"/>
  <c r="C607" i="1" s="1"/>
  <c r="B607" i="1"/>
  <c r="G606" i="1"/>
  <c r="D606" i="1"/>
  <c r="C606" i="1" a="1"/>
  <c r="C606" i="1" s="1"/>
  <c r="B606" i="1"/>
  <c r="G605" i="1"/>
  <c r="E605" i="1" a="1"/>
  <c r="E605" i="1"/>
  <c r="D605" i="1"/>
  <c r="C605" i="1" a="1"/>
  <c r="C605" i="1"/>
  <c r="B605" i="1"/>
  <c r="G604" i="1"/>
  <c r="D604" i="1"/>
  <c r="C604" i="1" a="1"/>
  <c r="C604" i="1"/>
  <c r="B604" i="1"/>
  <c r="G603" i="1"/>
  <c r="D603" i="1"/>
  <c r="C603" i="1" a="1"/>
  <c r="C603" i="1" s="1"/>
  <c r="B603" i="1"/>
  <c r="G602" i="1"/>
  <c r="D602" i="1"/>
  <c r="C602" i="1" a="1"/>
  <c r="C602" i="1" s="1"/>
  <c r="B602" i="1"/>
  <c r="G601" i="1"/>
  <c r="E601" i="1" a="1"/>
  <c r="E601" i="1"/>
  <c r="D601" i="1"/>
  <c r="C601" i="1" a="1"/>
  <c r="C601" i="1"/>
  <c r="B601" i="1"/>
  <c r="G600" i="1"/>
  <c r="D600" i="1"/>
  <c r="C600" i="1" a="1"/>
  <c r="C600" i="1"/>
  <c r="B600" i="1"/>
  <c r="I599" i="1"/>
  <c r="G599" i="1"/>
  <c r="D599" i="1"/>
  <c r="C599" i="1" a="1"/>
  <c r="C599" i="1" s="1"/>
  <c r="B599" i="1"/>
  <c r="I598" i="1"/>
  <c r="G598" i="1"/>
  <c r="E598" i="1" a="1"/>
  <c r="E598" i="1"/>
  <c r="D598" i="1"/>
  <c r="C598" i="1" a="1"/>
  <c r="C598" i="1" s="1"/>
  <c r="B598" i="1"/>
  <c r="D597" i="1"/>
  <c r="C597" i="1" a="1"/>
  <c r="C597" i="1" s="1"/>
  <c r="B597" i="1"/>
  <c r="E596" i="1" a="1"/>
  <c r="E596" i="1"/>
  <c r="D596" i="1"/>
  <c r="C596" i="1" a="1"/>
  <c r="C596" i="1"/>
  <c r="B596" i="1"/>
  <c r="E595" i="1" a="1"/>
  <c r="E595" i="1"/>
  <c r="D595" i="1"/>
  <c r="C595" i="1" a="1"/>
  <c r="C595" i="1" s="1"/>
  <c r="B595" i="1"/>
  <c r="E594" i="1" a="1"/>
  <c r="E594" i="1" s="1"/>
  <c r="D594" i="1"/>
  <c r="C594" i="1" a="1"/>
  <c r="C594" i="1"/>
  <c r="B594" i="1"/>
  <c r="G593" i="1"/>
  <c r="E593" i="1" a="1"/>
  <c r="E593" i="1" s="1"/>
  <c r="D593" i="1"/>
  <c r="C593" i="1" a="1"/>
  <c r="C593" i="1" s="1"/>
  <c r="B593" i="1"/>
  <c r="G592" i="1"/>
  <c r="D592" i="1"/>
  <c r="C592" i="1" a="1"/>
  <c r="C592" i="1" s="1"/>
  <c r="B592" i="1"/>
  <c r="G591" i="1"/>
  <c r="E591" i="1" a="1"/>
  <c r="E591" i="1"/>
  <c r="D591" i="1"/>
  <c r="C591" i="1" a="1"/>
  <c r="C591" i="1"/>
  <c r="B591" i="1"/>
  <c r="G590" i="1"/>
  <c r="E590" i="1" a="1"/>
  <c r="E590" i="1" s="1"/>
  <c r="D590" i="1"/>
  <c r="G589" i="1"/>
  <c r="D589" i="1"/>
  <c r="I588" i="1"/>
  <c r="G588" i="1"/>
  <c r="E588" i="1" a="1"/>
  <c r="E588" i="1"/>
  <c r="D588" i="1"/>
  <c r="C588" i="1" a="1"/>
  <c r="C588" i="1" s="1"/>
  <c r="B588" i="1"/>
  <c r="D587" i="1"/>
  <c r="C587" i="1" a="1"/>
  <c r="C587" i="1" s="1"/>
  <c r="B587" i="1"/>
  <c r="E586" i="1" a="1"/>
  <c r="E586" i="1"/>
  <c r="D586" i="1"/>
  <c r="C586" i="1" a="1"/>
  <c r="C586" i="1"/>
  <c r="B586" i="1"/>
  <c r="E585" i="1" a="1"/>
  <c r="E585" i="1"/>
  <c r="D585" i="1"/>
  <c r="C585" i="1" a="1"/>
  <c r="C585" i="1" s="1"/>
  <c r="B585" i="1"/>
  <c r="E584" i="1" a="1"/>
  <c r="E584" i="1" s="1"/>
  <c r="D584" i="1"/>
  <c r="C584" i="1" a="1"/>
  <c r="C584" i="1"/>
  <c r="B584" i="1"/>
  <c r="G583" i="1"/>
  <c r="E583" i="1" a="1"/>
  <c r="E583" i="1" s="1"/>
  <c r="D583" i="1"/>
  <c r="C583" i="1" a="1"/>
  <c r="C583" i="1" s="1"/>
  <c r="B583" i="1"/>
  <c r="G582" i="1"/>
  <c r="D582" i="1"/>
  <c r="C582" i="1" a="1"/>
  <c r="C582" i="1" s="1"/>
  <c r="B582" i="1"/>
  <c r="G581" i="1"/>
  <c r="E581" i="1" a="1"/>
  <c r="E581" i="1"/>
  <c r="D581" i="1"/>
  <c r="C581" i="1" a="1"/>
  <c r="C581" i="1"/>
  <c r="B581" i="1"/>
  <c r="G580" i="1"/>
  <c r="E580" i="1" a="1"/>
  <c r="E580" i="1" s="1"/>
  <c r="D580" i="1"/>
  <c r="G579" i="1"/>
  <c r="D579" i="1"/>
  <c r="I578" i="1"/>
  <c r="G578" i="1"/>
  <c r="E578" i="1" a="1"/>
  <c r="E578" i="1"/>
  <c r="D578" i="1"/>
  <c r="C578" i="1" a="1"/>
  <c r="C578" i="1" s="1"/>
  <c r="B578" i="1"/>
  <c r="I577" i="1"/>
  <c r="G577" i="1"/>
  <c r="E577" i="1" a="1"/>
  <c r="E577" i="1"/>
  <c r="D577" i="1"/>
  <c r="C577" i="1" a="1"/>
  <c r="C577" i="1" s="1"/>
  <c r="B577" i="1"/>
  <c r="G576" i="1"/>
  <c r="G575" i="1"/>
  <c r="G574" i="1"/>
  <c r="G573" i="1"/>
  <c r="D573" i="1"/>
  <c r="C573" i="1" a="1"/>
  <c r="C573" i="1" s="1"/>
  <c r="B573" i="1"/>
  <c r="G572" i="1"/>
  <c r="D572" i="1"/>
  <c r="C572" i="1" a="1"/>
  <c r="C572" i="1"/>
  <c r="B572" i="1"/>
  <c r="D571" i="1"/>
  <c r="C571" i="1" a="1"/>
  <c r="C571" i="1"/>
  <c r="B571" i="1"/>
  <c r="G570" i="1"/>
  <c r="D570" i="1"/>
  <c r="C570" i="1" a="1"/>
  <c r="C570" i="1"/>
  <c r="B570" i="1"/>
  <c r="I569" i="1"/>
  <c r="G569" i="1"/>
  <c r="E569" i="1" a="1"/>
  <c r="E569" i="1" s="1"/>
  <c r="D569" i="1"/>
  <c r="C569" i="1" a="1"/>
  <c r="C569" i="1"/>
  <c r="B569" i="1"/>
  <c r="I568" i="1"/>
  <c r="G568" i="1"/>
  <c r="E568" i="1" a="1"/>
  <c r="E568" i="1" s="1"/>
  <c r="D568" i="1"/>
  <c r="C568" i="1" a="1"/>
  <c r="C568" i="1"/>
  <c r="B568" i="1"/>
  <c r="G567" i="1"/>
  <c r="D567" i="1"/>
  <c r="C567" i="1" a="1"/>
  <c r="C567" i="1" s="1"/>
  <c r="B567" i="1"/>
  <c r="G566" i="1"/>
  <c r="D566" i="1"/>
  <c r="C566" i="1" a="1"/>
  <c r="C566" i="1"/>
  <c r="B566" i="1"/>
  <c r="G565" i="1"/>
  <c r="D565" i="1"/>
  <c r="C565" i="1" a="1"/>
  <c r="C565" i="1" s="1"/>
  <c r="B565" i="1"/>
  <c r="G564" i="1"/>
  <c r="D564" i="1"/>
  <c r="C564" i="1" a="1"/>
  <c r="C564" i="1" s="1"/>
  <c r="B564" i="1"/>
  <c r="G563" i="1"/>
  <c r="E563" i="1" a="1"/>
  <c r="E563" i="1" s="1"/>
  <c r="D563" i="1"/>
  <c r="C563" i="1" a="1"/>
  <c r="C563" i="1"/>
  <c r="B563" i="1"/>
  <c r="E562" i="1" a="1"/>
  <c r="E562" i="1" s="1"/>
  <c r="D562" i="1"/>
  <c r="C562" i="1" a="1"/>
  <c r="C562" i="1"/>
  <c r="B562" i="1"/>
  <c r="G561" i="1"/>
  <c r="E561" i="1" a="1"/>
  <c r="E561" i="1"/>
  <c r="D561" i="1"/>
  <c r="I560" i="1"/>
  <c r="G560" i="1"/>
  <c r="E560" i="1" a="1"/>
  <c r="E560" i="1"/>
  <c r="D560" i="1"/>
  <c r="I559" i="1"/>
  <c r="G559" i="1"/>
  <c r="E559" i="1" a="1"/>
  <c r="E559" i="1" s="1"/>
  <c r="D559" i="1"/>
  <c r="C559" i="1" a="1"/>
  <c r="C559" i="1"/>
  <c r="B559" i="1"/>
  <c r="G558" i="1"/>
  <c r="G557" i="1"/>
  <c r="E557" i="1" a="1"/>
  <c r="E557" i="1" s="1"/>
  <c r="D557" i="1"/>
  <c r="C557" i="1" a="1"/>
  <c r="C557" i="1"/>
  <c r="B557" i="1"/>
  <c r="G556" i="1"/>
  <c r="D556" i="1"/>
  <c r="C556" i="1" a="1"/>
  <c r="C556" i="1" s="1"/>
  <c r="B556" i="1"/>
  <c r="G555" i="1"/>
  <c r="D555" i="1"/>
  <c r="C555" i="1" a="1"/>
  <c r="C555" i="1" s="1"/>
  <c r="B555" i="1"/>
  <c r="G554" i="1"/>
  <c r="D554" i="1"/>
  <c r="C554" i="1" a="1"/>
  <c r="C554" i="1"/>
  <c r="B554" i="1"/>
  <c r="D553" i="1"/>
  <c r="C553" i="1" a="1"/>
  <c r="C553" i="1" s="1"/>
  <c r="B553" i="1"/>
  <c r="G552" i="1"/>
  <c r="E552" i="1" a="1"/>
  <c r="E552" i="1" s="1"/>
  <c r="D552" i="1"/>
  <c r="C552" i="1" a="1"/>
  <c r="C552" i="1"/>
  <c r="B552" i="1"/>
  <c r="G551" i="1"/>
  <c r="E551" i="1" a="1"/>
  <c r="E551" i="1"/>
  <c r="D551" i="1"/>
  <c r="C551" i="1" a="1"/>
  <c r="C551" i="1" s="1"/>
  <c r="B551" i="1"/>
  <c r="I550" i="1"/>
  <c r="G550" i="1"/>
  <c r="E550" i="1" a="1"/>
  <c r="E550" i="1"/>
  <c r="D550" i="1"/>
  <c r="C550" i="1" a="1"/>
  <c r="C550" i="1" s="1"/>
  <c r="B550" i="1"/>
  <c r="G549" i="1"/>
  <c r="C549" i="1" a="1"/>
  <c r="C549" i="1"/>
  <c r="B549" i="1"/>
  <c r="E548" i="1" a="1"/>
  <c r="E548" i="1" s="1"/>
  <c r="D548" i="1"/>
  <c r="C548" i="1" a="1"/>
  <c r="C548" i="1" s="1"/>
  <c r="B548" i="1"/>
  <c r="G547" i="1"/>
  <c r="E547" i="1" a="1"/>
  <c r="E547" i="1"/>
  <c r="D547" i="1"/>
  <c r="C547" i="1" a="1"/>
  <c r="C547" i="1" s="1"/>
  <c r="B547" i="1"/>
  <c r="I546" i="1"/>
  <c r="G546" i="1"/>
  <c r="D546" i="1"/>
  <c r="C546" i="1" a="1"/>
  <c r="C546" i="1" s="1"/>
  <c r="B546" i="1"/>
  <c r="I545" i="1"/>
  <c r="G545" i="1"/>
  <c r="D545" i="1"/>
  <c r="C545" i="1" a="1"/>
  <c r="C545" i="1" s="1"/>
  <c r="B545" i="1"/>
  <c r="I544" i="1"/>
  <c r="G544" i="1"/>
  <c r="E544" i="1" a="1"/>
  <c r="E544" i="1" s="1"/>
  <c r="D544" i="1"/>
  <c r="C544" i="1" a="1"/>
  <c r="C544" i="1" s="1"/>
  <c r="B544" i="1"/>
  <c r="E543" i="1" a="1"/>
  <c r="E543" i="1"/>
  <c r="D543" i="1"/>
  <c r="C543" i="1" a="1"/>
  <c r="C543" i="1" s="1"/>
  <c r="B543" i="1"/>
  <c r="E542" i="1" a="1"/>
  <c r="E542" i="1"/>
  <c r="D542" i="1"/>
  <c r="C542" i="1" a="1"/>
  <c r="C542" i="1" s="1"/>
  <c r="B542" i="1"/>
  <c r="G541" i="1"/>
  <c r="E541" i="1" a="1"/>
  <c r="E541" i="1" s="1"/>
  <c r="D541" i="1"/>
  <c r="C541" i="1" a="1"/>
  <c r="C541" i="1"/>
  <c r="B541" i="1"/>
  <c r="D540" i="1"/>
  <c r="C540" i="1" a="1"/>
  <c r="C540" i="1" s="1"/>
  <c r="B540" i="1"/>
  <c r="G539" i="1"/>
  <c r="D539" i="1"/>
  <c r="C539" i="1" a="1"/>
  <c r="C539" i="1" s="1"/>
  <c r="B539" i="1"/>
  <c r="I538" i="1"/>
  <c r="G538" i="1"/>
  <c r="E538" i="1" a="1"/>
  <c r="E538" i="1" s="1"/>
  <c r="D538" i="1"/>
  <c r="C538" i="1" a="1"/>
  <c r="C538" i="1" s="1"/>
  <c r="B538" i="1"/>
  <c r="I537" i="1"/>
  <c r="G537" i="1"/>
  <c r="E537" i="1" a="1"/>
  <c r="E537" i="1" s="1"/>
  <c r="D537" i="1"/>
  <c r="C537" i="1" a="1"/>
  <c r="C537" i="1" s="1"/>
  <c r="B537" i="1"/>
  <c r="I536" i="1"/>
  <c r="G536" i="1"/>
  <c r="E536" i="1" a="1"/>
  <c r="E536" i="1" s="1"/>
  <c r="D536" i="1"/>
  <c r="C536" i="1" a="1"/>
  <c r="C536" i="1" s="1"/>
  <c r="B536" i="1"/>
  <c r="E535" i="1" a="1"/>
  <c r="E535" i="1" s="1"/>
  <c r="D535" i="1"/>
  <c r="C535" i="1" a="1"/>
  <c r="C535" i="1"/>
  <c r="B535" i="1"/>
  <c r="E534" i="1" a="1"/>
  <c r="E534" i="1" s="1"/>
  <c r="D534" i="1"/>
  <c r="C534" i="1" a="1"/>
  <c r="C534" i="1"/>
  <c r="B534" i="1"/>
  <c r="E533" i="1" a="1"/>
  <c r="E533" i="1" s="1"/>
  <c r="D533" i="1"/>
  <c r="C533" i="1" a="1"/>
  <c r="C533" i="1"/>
  <c r="B533" i="1"/>
  <c r="E532" i="1" a="1"/>
  <c r="E532" i="1" s="1"/>
  <c r="D532" i="1"/>
  <c r="C532" i="1" a="1"/>
  <c r="C532" i="1" s="1"/>
  <c r="B532" i="1"/>
  <c r="D531" i="1"/>
  <c r="D530" i="1"/>
  <c r="C530" i="1" a="1"/>
  <c r="C530" i="1" s="1"/>
  <c r="B530" i="1"/>
  <c r="D529" i="1"/>
  <c r="C529" i="1" a="1"/>
  <c r="C529" i="1" s="1"/>
  <c r="B529" i="1"/>
  <c r="E528" i="1" a="1"/>
  <c r="E528" i="1"/>
  <c r="D528" i="1"/>
  <c r="C528" i="1" a="1"/>
  <c r="C528" i="1" s="1"/>
  <c r="B528" i="1"/>
  <c r="E527" i="1" a="1"/>
  <c r="E527" i="1"/>
  <c r="D527" i="1"/>
  <c r="C527" i="1" a="1"/>
  <c r="C527" i="1" s="1"/>
  <c r="B527" i="1"/>
  <c r="G526" i="1"/>
  <c r="D526" i="1"/>
  <c r="C526" i="1" a="1"/>
  <c r="C526" i="1"/>
  <c r="B526" i="1"/>
  <c r="G525" i="1"/>
  <c r="D525" i="1"/>
  <c r="G524" i="1"/>
  <c r="E524" i="1" a="1"/>
  <c r="E524" i="1" s="1"/>
  <c r="D524" i="1"/>
  <c r="I523" i="1"/>
  <c r="G523" i="1"/>
  <c r="D523" i="1"/>
  <c r="I522" i="1"/>
  <c r="G522" i="1"/>
  <c r="E522" i="1" a="1"/>
  <c r="E522" i="1" s="1"/>
  <c r="D522" i="1"/>
  <c r="C522" i="1" a="1"/>
  <c r="C522" i="1" s="1"/>
  <c r="B522" i="1"/>
  <c r="E521" i="1" a="1"/>
  <c r="E521" i="1"/>
  <c r="D521" i="1"/>
  <c r="C521" i="1" a="1"/>
  <c r="C521" i="1"/>
  <c r="B521" i="1"/>
  <c r="D520" i="1"/>
  <c r="C520" i="1" a="1"/>
  <c r="C520" i="1" s="1"/>
  <c r="B520" i="1"/>
  <c r="E519" i="1" a="1"/>
  <c r="E519" i="1" s="1"/>
  <c r="D519" i="1"/>
  <c r="C519" i="1" a="1"/>
  <c r="C519" i="1" s="1"/>
  <c r="B519" i="1"/>
  <c r="D518" i="1"/>
  <c r="C518" i="1" a="1"/>
  <c r="C518" i="1" s="1"/>
  <c r="B518" i="1"/>
  <c r="D517" i="1"/>
  <c r="C517" i="1" a="1"/>
  <c r="C517" i="1" s="1"/>
  <c r="B517" i="1"/>
  <c r="G516" i="1"/>
  <c r="D516" i="1"/>
  <c r="C516" i="1" a="1"/>
  <c r="C516" i="1" s="1"/>
  <c r="B516" i="1"/>
  <c r="G515" i="1"/>
  <c r="E515" i="1" a="1"/>
  <c r="E515" i="1"/>
  <c r="D515" i="1"/>
  <c r="C515" i="1" a="1"/>
  <c r="C515" i="1" s="1"/>
  <c r="B515" i="1"/>
  <c r="G514" i="1"/>
  <c r="E514" i="1" a="1"/>
  <c r="E514" i="1" s="1"/>
  <c r="D514" i="1"/>
  <c r="C514" i="1" a="1"/>
  <c r="C514" i="1"/>
  <c r="B514" i="1"/>
  <c r="I513" i="1"/>
  <c r="G513" i="1"/>
  <c r="D513" i="1"/>
  <c r="C513" i="1" a="1"/>
  <c r="C513" i="1"/>
  <c r="B513" i="1"/>
  <c r="I512" i="1"/>
  <c r="G512" i="1"/>
  <c r="E512" i="1" a="1"/>
  <c r="E512" i="1"/>
  <c r="D512" i="1"/>
  <c r="C512" i="1" a="1"/>
  <c r="C512" i="1"/>
  <c r="B512" i="1"/>
  <c r="E511" i="1" a="1"/>
  <c r="E511" i="1" s="1"/>
  <c r="D511" i="1"/>
  <c r="C511" i="1" a="1"/>
  <c r="C511" i="1"/>
  <c r="B511" i="1"/>
  <c r="D510" i="1"/>
  <c r="C510" i="1" a="1"/>
  <c r="C510" i="1"/>
  <c r="B510" i="1"/>
  <c r="D509" i="1"/>
  <c r="C509" i="1" a="1"/>
  <c r="C509" i="1"/>
  <c r="B509" i="1"/>
  <c r="D508" i="1"/>
  <c r="C508" i="1" a="1"/>
  <c r="C508" i="1" s="1"/>
  <c r="B508" i="1"/>
  <c r="G507" i="1"/>
  <c r="E507" i="1" a="1"/>
  <c r="E507" i="1" s="1"/>
  <c r="D507" i="1"/>
  <c r="C507" i="1" a="1"/>
  <c r="C507" i="1"/>
  <c r="B507" i="1"/>
  <c r="G506" i="1"/>
  <c r="D506" i="1"/>
  <c r="C506" i="1" a="1"/>
  <c r="C506" i="1" s="1"/>
  <c r="B506" i="1"/>
  <c r="G505" i="1"/>
  <c r="E505" i="1" a="1"/>
  <c r="E505" i="1" s="1"/>
  <c r="D505" i="1"/>
  <c r="C505" i="1" a="1"/>
  <c r="C505" i="1"/>
  <c r="B505" i="1"/>
  <c r="G504" i="1"/>
  <c r="E504" i="1" a="1"/>
  <c r="E504" i="1"/>
  <c r="D504" i="1"/>
  <c r="D503" i="1"/>
  <c r="I502" i="1"/>
  <c r="G502" i="1"/>
  <c r="E502" i="1" a="1"/>
  <c r="E502" i="1" s="1"/>
  <c r="D502" i="1"/>
  <c r="I501" i="1"/>
  <c r="G501" i="1"/>
  <c r="E501" i="1" a="1"/>
  <c r="E501" i="1"/>
  <c r="D501" i="1"/>
  <c r="C501" i="1" a="1"/>
  <c r="C501" i="1" s="1"/>
  <c r="B501" i="1"/>
  <c r="E500" i="1" a="1"/>
  <c r="E500" i="1"/>
  <c r="D500" i="1"/>
  <c r="C500" i="1" a="1"/>
  <c r="C500" i="1"/>
  <c r="B500" i="1"/>
  <c r="G499" i="1"/>
  <c r="D499" i="1"/>
  <c r="C499" i="1" a="1"/>
  <c r="C499" i="1" s="1"/>
  <c r="B499" i="1"/>
  <c r="G498" i="1"/>
  <c r="D498" i="1"/>
  <c r="C498" i="1" a="1"/>
  <c r="C498" i="1"/>
  <c r="B498" i="1"/>
  <c r="G497" i="1"/>
  <c r="D497" i="1"/>
  <c r="C497" i="1" a="1"/>
  <c r="C497" i="1" s="1"/>
  <c r="B497" i="1"/>
  <c r="G496" i="1"/>
  <c r="E496" i="1" a="1"/>
  <c r="E496" i="1" s="1"/>
  <c r="D496" i="1"/>
  <c r="C496" i="1" a="1"/>
  <c r="C496" i="1"/>
  <c r="B496" i="1"/>
  <c r="D495" i="1"/>
  <c r="C495" i="1" a="1"/>
  <c r="C495" i="1" s="1"/>
  <c r="B495" i="1"/>
  <c r="I494" i="1"/>
  <c r="G494" i="1"/>
  <c r="E494" i="1" a="1"/>
  <c r="E494" i="1"/>
  <c r="D494" i="1"/>
  <c r="C494" i="1" a="1"/>
  <c r="C494" i="1" s="1"/>
  <c r="B494" i="1"/>
  <c r="I493" i="1"/>
  <c r="G493" i="1"/>
  <c r="E493" i="1" a="1"/>
  <c r="E493" i="1"/>
  <c r="D493" i="1"/>
  <c r="C493" i="1" a="1"/>
  <c r="C493" i="1" s="1"/>
  <c r="B493" i="1"/>
  <c r="D492" i="1"/>
  <c r="C492" i="1" a="1"/>
  <c r="C492" i="1" s="1"/>
  <c r="B492" i="1"/>
  <c r="G491" i="1"/>
  <c r="D491" i="1"/>
  <c r="C491" i="1" a="1"/>
  <c r="C491" i="1"/>
  <c r="B491" i="1"/>
  <c r="G490" i="1"/>
  <c r="D490" i="1"/>
  <c r="C490" i="1" a="1"/>
  <c r="C490" i="1" s="1"/>
  <c r="B490" i="1"/>
  <c r="G489" i="1"/>
  <c r="D489" i="1"/>
  <c r="C489" i="1" a="1"/>
  <c r="C489" i="1"/>
  <c r="B489" i="1"/>
  <c r="G488" i="1"/>
  <c r="E488" i="1" a="1"/>
  <c r="E488" i="1"/>
  <c r="D488" i="1"/>
  <c r="C488" i="1" a="1"/>
  <c r="C488" i="1" s="1"/>
  <c r="B488" i="1"/>
  <c r="G487" i="1"/>
  <c r="E487" i="1" a="1"/>
  <c r="E487" i="1" s="1"/>
  <c r="D487" i="1"/>
  <c r="C487" i="1" a="1"/>
  <c r="C487" i="1"/>
  <c r="B487" i="1"/>
  <c r="G486" i="1"/>
  <c r="E486" i="1" a="1"/>
  <c r="E486" i="1"/>
  <c r="D486" i="1"/>
  <c r="I485" i="1"/>
  <c r="G485" i="1"/>
  <c r="E485" i="1" a="1"/>
  <c r="E485" i="1" s="1"/>
  <c r="D485" i="1"/>
  <c r="C485" i="1" a="1"/>
  <c r="C485" i="1"/>
  <c r="B485" i="1"/>
  <c r="I484" i="1"/>
  <c r="G484" i="1"/>
  <c r="E484" i="1" a="1"/>
  <c r="E484" i="1" s="1"/>
  <c r="D484" i="1"/>
  <c r="C484" i="1" a="1"/>
  <c r="C484" i="1"/>
  <c r="B484" i="1"/>
  <c r="G483" i="1"/>
  <c r="D483" i="1"/>
  <c r="C483" i="1" a="1"/>
  <c r="C483" i="1" s="1"/>
  <c r="B483" i="1"/>
  <c r="G482" i="1"/>
  <c r="D482" i="1"/>
  <c r="C482" i="1" a="1"/>
  <c r="C482" i="1"/>
  <c r="B482" i="1"/>
  <c r="G481" i="1"/>
  <c r="D481" i="1"/>
  <c r="C481" i="1" a="1"/>
  <c r="C481" i="1"/>
  <c r="B481" i="1"/>
  <c r="G480" i="1"/>
  <c r="D480" i="1"/>
  <c r="C480" i="1" a="1"/>
  <c r="C480" i="1"/>
  <c r="B480" i="1"/>
  <c r="G479" i="1"/>
  <c r="E479" i="1" a="1"/>
  <c r="E479" i="1"/>
  <c r="D479" i="1"/>
  <c r="C479" i="1" a="1"/>
  <c r="C479" i="1" s="1"/>
  <c r="B479" i="1"/>
  <c r="G478" i="1"/>
  <c r="E478" i="1" a="1"/>
  <c r="E478" i="1" s="1"/>
  <c r="D478" i="1"/>
  <c r="C478" i="1" a="1"/>
  <c r="C478" i="1"/>
  <c r="B478" i="1"/>
  <c r="I477" i="1"/>
  <c r="G477" i="1"/>
  <c r="E477" i="1" a="1"/>
  <c r="E477" i="1" s="1"/>
  <c r="D477" i="1"/>
  <c r="C477" i="1" a="1"/>
  <c r="C477" i="1"/>
  <c r="B477" i="1"/>
  <c r="I476" i="1"/>
  <c r="G476" i="1"/>
  <c r="E476" i="1" a="1"/>
  <c r="E476" i="1" s="1"/>
  <c r="D476" i="1"/>
  <c r="C476" i="1" a="1"/>
  <c r="C476" i="1"/>
  <c r="B476" i="1"/>
  <c r="E475" i="1" a="1"/>
  <c r="E475" i="1" s="1"/>
  <c r="D475" i="1"/>
  <c r="C475" i="1" a="1"/>
  <c r="C475" i="1"/>
  <c r="B475" i="1"/>
  <c r="E474" i="1" a="1"/>
  <c r="E474" i="1" s="1"/>
  <c r="D474" i="1"/>
  <c r="C474" i="1" a="1"/>
  <c r="C474" i="1"/>
  <c r="B474" i="1"/>
  <c r="G473" i="1"/>
  <c r="D473" i="1"/>
  <c r="C473" i="1" a="1"/>
  <c r="C473" i="1" s="1"/>
  <c r="B473" i="1"/>
  <c r="G472" i="1"/>
  <c r="E472" i="1" a="1"/>
  <c r="E472" i="1" s="1"/>
  <c r="D472" i="1"/>
  <c r="C472" i="1" a="1"/>
  <c r="C472" i="1"/>
  <c r="B472" i="1"/>
  <c r="G471" i="1"/>
  <c r="E471" i="1" a="1"/>
  <c r="E471" i="1"/>
  <c r="D471" i="1"/>
  <c r="C471" i="1" a="1"/>
  <c r="C471" i="1" s="1"/>
  <c r="B471" i="1"/>
  <c r="G470" i="1"/>
  <c r="D470" i="1"/>
  <c r="C470" i="1" a="1"/>
  <c r="C470" i="1"/>
  <c r="B470" i="1"/>
  <c r="G469" i="1"/>
  <c r="E469" i="1" a="1"/>
  <c r="E469" i="1"/>
  <c r="D469" i="1"/>
  <c r="C469" i="1" a="1"/>
  <c r="C469" i="1" s="1"/>
  <c r="B469" i="1"/>
  <c r="G468" i="1"/>
  <c r="D468" i="1"/>
  <c r="G467" i="1"/>
  <c r="E467" i="1" a="1"/>
  <c r="E467" i="1" s="1"/>
  <c r="D467" i="1"/>
  <c r="I466" i="1"/>
  <c r="G466" i="1"/>
  <c r="E466" i="1" a="1"/>
  <c r="E466" i="1"/>
  <c r="D466" i="1"/>
  <c r="C466" i="1" a="1"/>
  <c r="C466" i="1" s="1"/>
  <c r="B466" i="1"/>
  <c r="G465" i="1"/>
  <c r="E465" i="1" a="1"/>
  <c r="E465" i="1" s="1"/>
  <c r="D465" i="1"/>
  <c r="C465" i="1" a="1"/>
  <c r="C465" i="1"/>
  <c r="B465" i="1"/>
  <c r="G464" i="1"/>
  <c r="E464" i="1" a="1"/>
  <c r="E464" i="1"/>
  <c r="D464" i="1"/>
  <c r="C464" i="1" a="1"/>
  <c r="C464" i="1" s="1"/>
  <c r="B464" i="1"/>
  <c r="G463" i="1"/>
  <c r="D463" i="1"/>
  <c r="C463" i="1" a="1"/>
  <c r="C463" i="1" s="1"/>
  <c r="B463" i="1"/>
  <c r="G462" i="1"/>
  <c r="E462" i="1" a="1"/>
  <c r="E462" i="1"/>
  <c r="D462" i="1"/>
  <c r="C462" i="1" a="1"/>
  <c r="C462" i="1" s="1"/>
  <c r="B462" i="1"/>
  <c r="G461" i="1"/>
  <c r="E461" i="1" a="1"/>
  <c r="E461" i="1" s="1"/>
  <c r="D461" i="1"/>
  <c r="C461" i="1" a="1"/>
  <c r="C461" i="1"/>
  <c r="B461" i="1"/>
  <c r="G460" i="1"/>
  <c r="D460" i="1"/>
  <c r="C460" i="1" a="1"/>
  <c r="C460" i="1" s="1"/>
  <c r="B460" i="1"/>
  <c r="G459" i="1"/>
  <c r="E459" i="1" a="1"/>
  <c r="E459" i="1" s="1"/>
  <c r="D459" i="1"/>
  <c r="C459" i="1" a="1"/>
  <c r="C459" i="1"/>
  <c r="B459" i="1"/>
  <c r="I458" i="1"/>
  <c r="G458" i="1"/>
  <c r="E458" i="1" a="1"/>
  <c r="E458" i="1" s="1"/>
  <c r="D458" i="1"/>
  <c r="C458" i="1" a="1"/>
  <c r="C458" i="1"/>
  <c r="B458" i="1"/>
  <c r="E457" i="1" a="1"/>
  <c r="E457" i="1" s="1"/>
  <c r="D457" i="1"/>
  <c r="C457" i="1" a="1"/>
  <c r="C457" i="1" s="1"/>
  <c r="B457" i="1"/>
  <c r="E456" i="1" a="1"/>
  <c r="E456" i="1" s="1"/>
  <c r="D456" i="1"/>
  <c r="C456" i="1" a="1"/>
  <c r="C456" i="1"/>
  <c r="B456" i="1"/>
  <c r="E455" i="1" a="1"/>
  <c r="E455" i="1"/>
  <c r="D455" i="1"/>
  <c r="C455" i="1" a="1"/>
  <c r="C455" i="1"/>
  <c r="B455" i="1"/>
  <c r="E454" i="1" a="1"/>
  <c r="E454" i="1" s="1"/>
  <c r="D454" i="1"/>
  <c r="C454" i="1" a="1"/>
  <c r="C454" i="1"/>
  <c r="B454" i="1"/>
  <c r="E453" i="1" a="1"/>
  <c r="E453" i="1" s="1"/>
  <c r="D453" i="1"/>
  <c r="C453" i="1" a="1"/>
  <c r="C453" i="1" s="1"/>
  <c r="B453" i="1"/>
  <c r="E452" i="1" a="1"/>
  <c r="E452" i="1"/>
  <c r="D452" i="1"/>
  <c r="C452" i="1" a="1"/>
  <c r="C452" i="1" s="1"/>
  <c r="B452" i="1"/>
  <c r="G451" i="1"/>
  <c r="E451" i="1" a="1"/>
  <c r="E451" i="1" s="1"/>
  <c r="D451" i="1"/>
  <c r="C451" i="1" a="1"/>
  <c r="C451" i="1"/>
  <c r="B451" i="1"/>
  <c r="G450" i="1"/>
  <c r="E450" i="1" a="1"/>
  <c r="E450" i="1"/>
  <c r="D450" i="1"/>
  <c r="C450" i="1" a="1"/>
  <c r="C450" i="1" s="1"/>
  <c r="B450" i="1"/>
  <c r="G449" i="1"/>
  <c r="E449" i="1" a="1"/>
  <c r="E449" i="1"/>
  <c r="D449" i="1"/>
  <c r="C449" i="1" a="1"/>
  <c r="C449" i="1"/>
  <c r="B449" i="1"/>
  <c r="G448" i="1"/>
  <c r="E448" i="1" a="1"/>
  <c r="E448" i="1" s="1"/>
  <c r="D448" i="1"/>
  <c r="G447" i="1"/>
  <c r="D447" i="1"/>
  <c r="C447" i="1" a="1"/>
  <c r="C447" i="1" s="1"/>
  <c r="B447" i="1"/>
  <c r="G446" i="1"/>
  <c r="D446" i="1"/>
  <c r="C446" i="1" a="1"/>
  <c r="C446" i="1"/>
  <c r="B446" i="1"/>
  <c r="I445" i="1"/>
  <c r="G445" i="1"/>
  <c r="E445" i="1" a="1"/>
  <c r="E445" i="1" s="1"/>
  <c r="D445" i="1"/>
  <c r="C445" i="1" a="1"/>
  <c r="C445" i="1"/>
  <c r="B445" i="1"/>
  <c r="E444" i="1" a="1"/>
  <c r="E444" i="1" s="1"/>
  <c r="D444" i="1"/>
  <c r="C444" i="1" a="1"/>
  <c r="C444" i="1" s="1"/>
  <c r="B444" i="1"/>
  <c r="E443" i="1" a="1"/>
  <c r="E443" i="1" s="1"/>
  <c r="D443" i="1"/>
  <c r="C443" i="1" a="1"/>
  <c r="C443" i="1"/>
  <c r="B443" i="1"/>
  <c r="E442" i="1" a="1"/>
  <c r="E442" i="1"/>
  <c r="D442" i="1"/>
  <c r="C442" i="1" a="1"/>
  <c r="C442" i="1"/>
  <c r="B442" i="1"/>
  <c r="E441" i="1" a="1"/>
  <c r="E441" i="1" s="1"/>
  <c r="D441" i="1"/>
  <c r="C441" i="1" a="1"/>
  <c r="C441" i="1" s="1"/>
  <c r="B441" i="1"/>
  <c r="G440" i="1"/>
  <c r="E440" i="1" a="1"/>
  <c r="E440" i="1" s="1"/>
  <c r="D440" i="1"/>
  <c r="C440" i="1" a="1"/>
  <c r="C440" i="1"/>
  <c r="B440" i="1"/>
  <c r="G439" i="1"/>
  <c r="E439" i="1" a="1"/>
  <c r="E439" i="1"/>
  <c r="D439" i="1"/>
  <c r="C439" i="1" a="1"/>
  <c r="C439" i="1"/>
  <c r="B439" i="1"/>
  <c r="G438" i="1"/>
  <c r="E438" i="1" a="1"/>
  <c r="E438" i="1" s="1"/>
  <c r="D438" i="1"/>
  <c r="C438" i="1" a="1"/>
  <c r="C438" i="1" s="1"/>
  <c r="B438" i="1"/>
  <c r="G437" i="1"/>
  <c r="E437" i="1" a="1"/>
  <c r="E437" i="1"/>
  <c r="D437" i="1"/>
  <c r="C437" i="1" a="1"/>
  <c r="C437" i="1" s="1"/>
  <c r="B437" i="1"/>
  <c r="G436" i="1"/>
  <c r="D436" i="1"/>
  <c r="C436" i="1" a="1"/>
  <c r="C436" i="1"/>
  <c r="B436" i="1"/>
  <c r="G435" i="1"/>
  <c r="D435" i="1"/>
  <c r="C435" i="1" a="1"/>
  <c r="C435" i="1"/>
  <c r="B435" i="1"/>
  <c r="I434" i="1"/>
  <c r="G434" i="1"/>
  <c r="E434" i="1" a="1"/>
  <c r="E434" i="1"/>
  <c r="D434" i="1"/>
  <c r="C434" i="1" a="1"/>
  <c r="C434" i="1"/>
  <c r="B434" i="1"/>
  <c r="E433" i="1" a="1"/>
  <c r="E433" i="1"/>
  <c r="D433" i="1"/>
  <c r="C433" i="1" a="1"/>
  <c r="C433" i="1" s="1"/>
  <c r="B433" i="1"/>
  <c r="D432" i="1"/>
  <c r="C432" i="1" a="1"/>
  <c r="C432" i="1" s="1"/>
  <c r="B432" i="1"/>
  <c r="G431" i="1"/>
  <c r="D431" i="1"/>
  <c r="C431" i="1" a="1"/>
  <c r="C431" i="1" s="1"/>
  <c r="B431" i="1"/>
  <c r="G430" i="1"/>
  <c r="E430" i="1" a="1"/>
  <c r="E430" i="1"/>
  <c r="D430" i="1"/>
  <c r="C430" i="1" a="1"/>
  <c r="C430" i="1" s="1"/>
  <c r="B430" i="1"/>
  <c r="G429" i="1"/>
  <c r="E429" i="1" a="1"/>
  <c r="E429" i="1" s="1"/>
  <c r="D429" i="1"/>
  <c r="C429" i="1" a="1"/>
  <c r="C429" i="1"/>
  <c r="B429" i="1"/>
  <c r="G428" i="1"/>
  <c r="E428" i="1" a="1"/>
  <c r="E428" i="1"/>
  <c r="D428" i="1"/>
  <c r="C428" i="1" a="1"/>
  <c r="C428" i="1" s="1"/>
  <c r="B428" i="1"/>
  <c r="G427" i="1"/>
  <c r="E427" i="1" a="1"/>
  <c r="E427" i="1"/>
  <c r="D427" i="1"/>
  <c r="C427" i="1" a="1"/>
  <c r="C427" i="1"/>
  <c r="B427" i="1"/>
  <c r="G426" i="1"/>
  <c r="E426" i="1" a="1"/>
  <c r="E426" i="1" s="1"/>
  <c r="D426" i="1"/>
  <c r="G425" i="1"/>
  <c r="E425" i="1" a="1"/>
  <c r="E425" i="1"/>
  <c r="D425" i="1"/>
  <c r="I424" i="1"/>
  <c r="G424" i="1"/>
  <c r="E424" i="1" a="1"/>
  <c r="E424" i="1"/>
  <c r="D424" i="1"/>
  <c r="C424" i="1" a="1"/>
  <c r="C424" i="1"/>
  <c r="B424" i="1"/>
  <c r="G423" i="1"/>
  <c r="E423" i="1" a="1"/>
  <c r="E423" i="1" s="1"/>
  <c r="D423" i="1"/>
  <c r="C423" i="1" a="1"/>
  <c r="C423" i="1" s="1"/>
  <c r="B423" i="1"/>
  <c r="G422" i="1"/>
  <c r="D422" i="1"/>
  <c r="C422" i="1" a="1"/>
  <c r="C422" i="1" s="1"/>
  <c r="B422" i="1"/>
  <c r="G421" i="1"/>
  <c r="D421" i="1"/>
  <c r="C421" i="1" a="1"/>
  <c r="C421" i="1" s="1"/>
  <c r="B421" i="1"/>
  <c r="G420" i="1"/>
  <c r="E420" i="1" a="1"/>
  <c r="E420" i="1" s="1"/>
  <c r="D420" i="1"/>
  <c r="C420" i="1" a="1"/>
  <c r="C420" i="1"/>
  <c r="B420" i="1"/>
  <c r="G419" i="1"/>
  <c r="E419" i="1" a="1"/>
  <c r="E419" i="1" s="1"/>
  <c r="D419" i="1"/>
  <c r="C419" i="1" a="1"/>
  <c r="C419" i="1" s="1"/>
  <c r="B419" i="1"/>
  <c r="G418" i="1"/>
  <c r="E418" i="1" a="1"/>
  <c r="E418" i="1" s="1"/>
  <c r="D418" i="1"/>
  <c r="C418" i="1" a="1"/>
  <c r="C418" i="1"/>
  <c r="B418" i="1"/>
  <c r="G417" i="1"/>
  <c r="E417" i="1" a="1"/>
  <c r="E417" i="1"/>
  <c r="D417" i="1"/>
  <c r="C417" i="1" a="1"/>
  <c r="C417" i="1" s="1"/>
  <c r="B417" i="1"/>
  <c r="I416" i="1"/>
  <c r="G416" i="1"/>
  <c r="E416" i="1" a="1"/>
  <c r="E416" i="1"/>
  <c r="D416" i="1"/>
  <c r="C416" i="1" a="1"/>
  <c r="C416" i="1" s="1"/>
  <c r="B416" i="1"/>
  <c r="G415" i="1"/>
  <c r="G414" i="1"/>
  <c r="G413" i="1"/>
  <c r="G412" i="1"/>
  <c r="C412" i="1" a="1"/>
  <c r="C412" i="1" s="1"/>
  <c r="B412" i="1"/>
  <c r="G411" i="1"/>
  <c r="D411" i="1"/>
  <c r="C411" i="1" a="1"/>
  <c r="C411" i="1" s="1"/>
  <c r="B411" i="1"/>
  <c r="G410" i="1"/>
  <c r="E410" i="1" a="1"/>
  <c r="E410" i="1" s="1"/>
  <c r="D410" i="1"/>
  <c r="C410" i="1" a="1"/>
  <c r="C410" i="1"/>
  <c r="B410" i="1"/>
  <c r="G409" i="1"/>
  <c r="D409" i="1"/>
  <c r="C409" i="1" a="1"/>
  <c r="C409" i="1" s="1"/>
  <c r="B409" i="1"/>
  <c r="I408" i="1"/>
  <c r="G408" i="1"/>
  <c r="E408" i="1" a="1"/>
  <c r="E408" i="1"/>
  <c r="D408" i="1"/>
  <c r="C408" i="1" a="1"/>
  <c r="C408" i="1" s="1"/>
  <c r="B408" i="1"/>
  <c r="E407" i="1" a="1"/>
  <c r="E407" i="1"/>
  <c r="D407" i="1"/>
  <c r="C407" i="1" a="1"/>
  <c r="C407" i="1" s="1"/>
  <c r="B407" i="1"/>
  <c r="E406" i="1" a="1"/>
  <c r="E406" i="1"/>
  <c r="D406" i="1"/>
  <c r="C406" i="1" a="1"/>
  <c r="C406" i="1" s="1"/>
  <c r="B406" i="1"/>
  <c r="G405" i="1"/>
  <c r="E405" i="1" a="1"/>
  <c r="E405" i="1" s="1"/>
  <c r="D405" i="1"/>
  <c r="C405" i="1" a="1"/>
  <c r="C405" i="1"/>
  <c r="B405" i="1"/>
  <c r="G404" i="1"/>
  <c r="E404" i="1" a="1"/>
  <c r="E404" i="1" s="1"/>
  <c r="D404" i="1"/>
  <c r="C404" i="1" a="1"/>
  <c r="C404" i="1" s="1"/>
  <c r="B404" i="1"/>
  <c r="G403" i="1"/>
  <c r="E403" i="1" a="1"/>
  <c r="E403" i="1" s="1"/>
  <c r="D403" i="1"/>
  <c r="C403" i="1" a="1"/>
  <c r="C403" i="1"/>
  <c r="B403" i="1"/>
  <c r="G402" i="1"/>
  <c r="E402" i="1" a="1"/>
  <c r="E402" i="1"/>
  <c r="D402" i="1"/>
  <c r="C402" i="1" a="1"/>
  <c r="C402" i="1" s="1"/>
  <c r="B402" i="1"/>
  <c r="G401" i="1"/>
  <c r="D401" i="1"/>
  <c r="C401" i="1" a="1"/>
  <c r="C401" i="1"/>
  <c r="B401" i="1"/>
  <c r="G400" i="1"/>
  <c r="E400" i="1" a="1"/>
  <c r="E400" i="1"/>
  <c r="D400" i="1"/>
  <c r="G399" i="1"/>
  <c r="D399" i="1"/>
  <c r="I398" i="1"/>
  <c r="G398" i="1"/>
  <c r="E398" i="1" a="1"/>
  <c r="E398" i="1" s="1"/>
  <c r="D398" i="1"/>
  <c r="C398" i="1" a="1"/>
  <c r="C398" i="1"/>
  <c r="B398" i="1"/>
  <c r="G397" i="1"/>
  <c r="D397" i="1"/>
  <c r="C397" i="1" a="1"/>
  <c r="C397" i="1" s="1"/>
  <c r="B397" i="1"/>
  <c r="G396" i="1"/>
  <c r="D396" i="1"/>
  <c r="C396" i="1" a="1"/>
  <c r="C396" i="1"/>
  <c r="B396" i="1"/>
  <c r="G395" i="1"/>
  <c r="E395" i="1" a="1"/>
  <c r="E395" i="1"/>
  <c r="D395" i="1"/>
  <c r="C395" i="1" a="1"/>
  <c r="C395" i="1" s="1"/>
  <c r="B395" i="1"/>
  <c r="G394" i="1"/>
  <c r="E394" i="1" a="1"/>
  <c r="E394" i="1" s="1"/>
  <c r="D394" i="1"/>
  <c r="C394" i="1" a="1"/>
  <c r="C394" i="1"/>
  <c r="B394" i="1"/>
  <c r="G393" i="1"/>
  <c r="E393" i="1" a="1"/>
  <c r="E393" i="1"/>
  <c r="D393" i="1"/>
  <c r="C393" i="1" a="1"/>
  <c r="C393" i="1" s="1"/>
  <c r="B393" i="1"/>
  <c r="G392" i="1"/>
  <c r="E392" i="1" a="1"/>
  <c r="E392" i="1" s="1"/>
  <c r="D392" i="1"/>
  <c r="C392" i="1" a="1"/>
  <c r="C392" i="1"/>
  <c r="B392" i="1"/>
  <c r="G391" i="1"/>
  <c r="D391" i="1"/>
  <c r="C391" i="1" a="1"/>
  <c r="C391" i="1" s="1"/>
  <c r="B391" i="1"/>
  <c r="I390" i="1"/>
  <c r="G390" i="1"/>
  <c r="E390" i="1" a="1"/>
  <c r="E390" i="1"/>
  <c r="D390" i="1"/>
  <c r="C390" i="1" a="1"/>
  <c r="C390" i="1" s="1"/>
  <c r="B390" i="1"/>
  <c r="D389" i="1"/>
  <c r="C389" i="1" a="1"/>
  <c r="C389" i="1" s="1"/>
  <c r="B389" i="1"/>
  <c r="D388" i="1"/>
  <c r="C388" i="1" a="1"/>
  <c r="C388" i="1" s="1"/>
  <c r="B388" i="1"/>
  <c r="E387" i="1" a="1"/>
  <c r="E387" i="1"/>
  <c r="D387" i="1"/>
  <c r="C387" i="1" a="1"/>
  <c r="C387" i="1" s="1"/>
  <c r="B387" i="1"/>
  <c r="E386" i="1" a="1"/>
  <c r="E386" i="1"/>
  <c r="D386" i="1"/>
  <c r="C386" i="1" a="1"/>
  <c r="C386" i="1" s="1"/>
  <c r="B386" i="1"/>
  <c r="G385" i="1"/>
  <c r="E385" i="1" a="1"/>
  <c r="E385" i="1" s="1"/>
  <c r="D385" i="1"/>
  <c r="C385" i="1" a="1"/>
  <c r="C385" i="1"/>
  <c r="B385" i="1"/>
  <c r="G384" i="1"/>
  <c r="E384" i="1" a="1"/>
  <c r="E384" i="1"/>
  <c r="D384" i="1"/>
  <c r="C384" i="1" a="1"/>
  <c r="C384" i="1" s="1"/>
  <c r="B384" i="1"/>
  <c r="G383" i="1"/>
  <c r="E383" i="1" a="1"/>
  <c r="E383" i="1" s="1"/>
  <c r="D383" i="1"/>
  <c r="C383" i="1" a="1"/>
  <c r="C383" i="1"/>
  <c r="B383" i="1"/>
  <c r="G382" i="1"/>
  <c r="D382" i="1"/>
  <c r="D381" i="1"/>
  <c r="C381" i="1" a="1"/>
  <c r="C381" i="1"/>
  <c r="B381" i="1"/>
  <c r="D380" i="1"/>
  <c r="C380" i="1" a="1"/>
  <c r="C380" i="1"/>
  <c r="B380" i="1"/>
  <c r="E379" i="1" a="1"/>
  <c r="E379" i="1" s="1"/>
  <c r="D379" i="1"/>
  <c r="C379" i="1" a="1"/>
  <c r="C379" i="1" s="1"/>
  <c r="B379" i="1"/>
  <c r="G378" i="1"/>
  <c r="E378" i="1" a="1"/>
  <c r="E378" i="1"/>
  <c r="D378" i="1"/>
  <c r="C378" i="1" a="1"/>
  <c r="C378" i="1" s="1"/>
  <c r="B378" i="1"/>
  <c r="G377" i="1"/>
  <c r="E377" i="1" a="1"/>
  <c r="E377" i="1" s="1"/>
  <c r="D377" i="1"/>
  <c r="C377" i="1" a="1"/>
  <c r="C377" i="1"/>
  <c r="B377" i="1"/>
  <c r="G376" i="1"/>
  <c r="E376" i="1" a="1"/>
  <c r="E376" i="1"/>
  <c r="D376" i="1"/>
  <c r="C376" i="1" a="1"/>
  <c r="C376" i="1" s="1"/>
  <c r="B376" i="1"/>
  <c r="G375" i="1"/>
  <c r="E375" i="1" a="1"/>
  <c r="E375" i="1" s="1"/>
  <c r="D375" i="1"/>
  <c r="C375" i="1" a="1"/>
  <c r="C375" i="1"/>
  <c r="B375" i="1"/>
  <c r="G374" i="1"/>
  <c r="G373" i="1"/>
  <c r="G372" i="1"/>
  <c r="G371" i="1"/>
  <c r="D371" i="1"/>
  <c r="C371" i="1" a="1"/>
  <c r="C371" i="1"/>
  <c r="B371" i="1"/>
  <c r="G370" i="1"/>
  <c r="E370" i="1" a="1"/>
  <c r="E370" i="1"/>
  <c r="D370" i="1"/>
  <c r="C370" i="1" a="1"/>
  <c r="C370" i="1" s="1"/>
  <c r="B370" i="1"/>
  <c r="G369" i="1"/>
  <c r="D369" i="1"/>
  <c r="C369" i="1" a="1"/>
  <c r="C369" i="1" s="1"/>
  <c r="B369" i="1"/>
  <c r="I368" i="1"/>
  <c r="G368" i="1"/>
  <c r="E368" i="1" a="1"/>
  <c r="E368" i="1" s="1"/>
  <c r="D368" i="1"/>
  <c r="C368" i="1" a="1"/>
  <c r="C368" i="1" s="1"/>
  <c r="B368" i="1"/>
  <c r="E367" i="1" a="1"/>
  <c r="E367" i="1" s="1"/>
  <c r="D367" i="1"/>
  <c r="C367" i="1" a="1"/>
  <c r="C367" i="1" s="1"/>
  <c r="B367" i="1"/>
  <c r="D366" i="1"/>
  <c r="C366" i="1" a="1"/>
  <c r="C366" i="1"/>
  <c r="B366" i="1"/>
  <c r="G365" i="1"/>
  <c r="E365" i="1" a="1"/>
  <c r="E365" i="1" s="1"/>
  <c r="D365" i="1"/>
  <c r="C365" i="1" a="1"/>
  <c r="C365" i="1" s="1"/>
  <c r="B365" i="1"/>
  <c r="G364" i="1"/>
  <c r="D364" i="1"/>
  <c r="C364" i="1" a="1"/>
  <c r="C364" i="1" s="1"/>
  <c r="B364" i="1"/>
  <c r="G363" i="1"/>
  <c r="D363" i="1"/>
  <c r="C363" i="1" a="1"/>
  <c r="C363" i="1" s="1"/>
  <c r="B363" i="1"/>
  <c r="G362" i="1"/>
  <c r="D362" i="1"/>
  <c r="C362" i="1" a="1"/>
  <c r="C362" i="1" s="1"/>
  <c r="B362" i="1"/>
  <c r="G361" i="1"/>
  <c r="D361" i="1"/>
  <c r="C361" i="1" a="1"/>
  <c r="C361" i="1" s="1"/>
  <c r="B361" i="1"/>
  <c r="G360" i="1"/>
  <c r="E360" i="1" a="1"/>
  <c r="E360" i="1" s="1"/>
  <c r="D360" i="1"/>
  <c r="C360" i="1" a="1"/>
  <c r="C360" i="1"/>
  <c r="B360" i="1"/>
  <c r="I359" i="1"/>
  <c r="G359" i="1"/>
  <c r="E359" i="1" a="1"/>
  <c r="E359" i="1" s="1"/>
  <c r="D359" i="1"/>
  <c r="C359" i="1" a="1"/>
  <c r="C359" i="1"/>
  <c r="B359" i="1"/>
  <c r="G358" i="1"/>
  <c r="D357" i="1"/>
  <c r="C357" i="1" a="1"/>
  <c r="C357" i="1"/>
  <c r="B357" i="1"/>
  <c r="G356" i="1"/>
  <c r="D356" i="1"/>
  <c r="C356" i="1" a="1"/>
  <c r="C356" i="1"/>
  <c r="B356" i="1"/>
  <c r="G355" i="1"/>
  <c r="E355" i="1" a="1"/>
  <c r="E355" i="1" s="1"/>
  <c r="D355" i="1"/>
  <c r="C355" i="1" a="1"/>
  <c r="C355" i="1" s="1"/>
  <c r="B355" i="1"/>
  <c r="G354" i="1"/>
  <c r="E354" i="1" a="1"/>
  <c r="E354" i="1"/>
  <c r="D354" i="1"/>
  <c r="C354" i="1" a="1"/>
  <c r="C354" i="1" s="1"/>
  <c r="B354" i="1"/>
  <c r="I353" i="1"/>
  <c r="G353" i="1"/>
  <c r="E353" i="1" a="1"/>
  <c r="E353" i="1"/>
  <c r="D353" i="1"/>
  <c r="C353" i="1" a="1"/>
  <c r="C353" i="1" s="1"/>
  <c r="B353" i="1"/>
  <c r="D352" i="1"/>
  <c r="C352" i="1" a="1"/>
  <c r="C352" i="1" s="1"/>
  <c r="B352" i="1"/>
  <c r="E351" i="1" a="1"/>
  <c r="E351" i="1"/>
  <c r="D351" i="1"/>
  <c r="C351" i="1" a="1"/>
  <c r="C351" i="1" s="1"/>
  <c r="B351" i="1"/>
  <c r="G350" i="1"/>
  <c r="D350" i="1"/>
  <c r="C350" i="1" a="1"/>
  <c r="C350" i="1"/>
  <c r="B350" i="1"/>
  <c r="E349" i="1" a="1"/>
  <c r="E349" i="1" s="1"/>
  <c r="D349" i="1"/>
  <c r="C349" i="1" a="1"/>
  <c r="C349" i="1" s="1"/>
  <c r="B349" i="1"/>
  <c r="G348" i="1"/>
  <c r="E348" i="1" a="1"/>
  <c r="E348" i="1" s="1"/>
  <c r="D348" i="1"/>
  <c r="C348" i="1" a="1"/>
  <c r="C348" i="1"/>
  <c r="B348" i="1"/>
  <c r="G347" i="1"/>
  <c r="E347" i="1" a="1"/>
  <c r="E347" i="1" s="1"/>
  <c r="D347" i="1"/>
  <c r="C347" i="1" a="1"/>
  <c r="C347" i="1" s="1"/>
  <c r="B347" i="1"/>
  <c r="G346" i="1"/>
  <c r="E346" i="1" a="1"/>
  <c r="E346" i="1" s="1"/>
  <c r="D346" i="1"/>
  <c r="C346" i="1" a="1"/>
  <c r="C346" i="1" s="1"/>
  <c r="B346" i="1"/>
  <c r="I345" i="1"/>
  <c r="G345" i="1"/>
  <c r="E345" i="1" a="1"/>
  <c r="E345" i="1" s="1"/>
  <c r="D345" i="1"/>
  <c r="C345" i="1" a="1"/>
  <c r="C345" i="1" s="1"/>
  <c r="B345" i="1"/>
  <c r="G344" i="1"/>
  <c r="G343" i="1"/>
  <c r="G342" i="1"/>
  <c r="C342" i="1" a="1"/>
  <c r="C342" i="1" s="1"/>
  <c r="B342" i="1"/>
  <c r="G341" i="1"/>
  <c r="D341" i="1"/>
  <c r="C341" i="1" a="1"/>
  <c r="C341" i="1" s="1"/>
  <c r="B341" i="1"/>
  <c r="G340" i="1"/>
  <c r="D340" i="1"/>
  <c r="C340" i="1" a="1"/>
  <c r="C340" i="1" s="1"/>
  <c r="B340" i="1"/>
  <c r="G339" i="1"/>
  <c r="D339" i="1"/>
  <c r="C339" i="1" a="1"/>
  <c r="C339" i="1"/>
  <c r="B339" i="1"/>
  <c r="I338" i="1"/>
  <c r="G338" i="1"/>
  <c r="D338" i="1"/>
  <c r="C338" i="1" a="1"/>
  <c r="C338" i="1" s="1"/>
  <c r="B338" i="1"/>
  <c r="D337" i="1"/>
  <c r="C337" i="1" a="1"/>
  <c r="C337" i="1"/>
  <c r="B337" i="1"/>
  <c r="D336" i="1"/>
  <c r="C336" i="1" a="1"/>
  <c r="C336" i="1" s="1"/>
  <c r="B336" i="1"/>
  <c r="D335" i="1"/>
  <c r="C335" i="1" a="1"/>
  <c r="C335" i="1"/>
  <c r="B335" i="1"/>
  <c r="G334" i="1"/>
  <c r="E334" i="1" a="1"/>
  <c r="E334" i="1" s="1"/>
  <c r="D334" i="1"/>
  <c r="C334" i="1" a="1"/>
  <c r="C334" i="1" s="1"/>
  <c r="B334" i="1"/>
  <c r="G333" i="1"/>
  <c r="D333" i="1"/>
  <c r="C333" i="1" a="1"/>
  <c r="C333" i="1" s="1"/>
  <c r="B333" i="1"/>
  <c r="G332" i="1"/>
  <c r="D332" i="1"/>
  <c r="C332" i="1" a="1"/>
  <c r="C332" i="1" s="1"/>
  <c r="B332" i="1"/>
  <c r="G331" i="1"/>
  <c r="E331" i="1" a="1"/>
  <c r="E331" i="1"/>
  <c r="D331" i="1"/>
  <c r="C331" i="1" a="1"/>
  <c r="C331" i="1"/>
  <c r="B331" i="1"/>
  <c r="G330" i="1"/>
  <c r="E330" i="1" a="1"/>
  <c r="E330" i="1" s="1"/>
  <c r="D330" i="1"/>
  <c r="C330" i="1" a="1"/>
  <c r="C330" i="1" s="1"/>
  <c r="B330" i="1"/>
  <c r="G329" i="1"/>
  <c r="E329" i="1" a="1"/>
  <c r="E329" i="1"/>
  <c r="D329" i="1"/>
  <c r="C329" i="1" a="1"/>
  <c r="C329" i="1"/>
  <c r="B329" i="1"/>
  <c r="I328" i="1"/>
  <c r="G328" i="1"/>
  <c r="D328" i="1"/>
  <c r="C328" i="1" a="1"/>
  <c r="C328" i="1" s="1"/>
  <c r="B328" i="1"/>
  <c r="G327" i="1"/>
  <c r="G326" i="1"/>
  <c r="G325" i="1"/>
  <c r="G324" i="1"/>
  <c r="G323" i="1"/>
  <c r="G322" i="1"/>
  <c r="G321" i="1"/>
  <c r="D321" i="1"/>
  <c r="C321" i="1" a="1"/>
  <c r="C321" i="1" s="1"/>
  <c r="B321" i="1"/>
  <c r="G320" i="1"/>
  <c r="E320" i="1" a="1"/>
  <c r="E320" i="1"/>
  <c r="D320" i="1"/>
  <c r="C320" i="1" a="1"/>
  <c r="C320" i="1"/>
  <c r="B320" i="1"/>
  <c r="G319" i="1"/>
  <c r="E319" i="1" a="1"/>
  <c r="E319" i="1" s="1"/>
  <c r="D319" i="1"/>
  <c r="C319" i="1" a="1"/>
  <c r="C319" i="1"/>
  <c r="B319" i="1"/>
  <c r="G318" i="1"/>
  <c r="E318" i="1" a="1"/>
  <c r="E318" i="1" s="1"/>
  <c r="D318" i="1"/>
  <c r="C318" i="1" a="1"/>
  <c r="C318" i="1" s="1"/>
  <c r="B318" i="1"/>
  <c r="I317" i="1"/>
  <c r="G317" i="1"/>
  <c r="E317" i="1" a="1"/>
  <c r="E317" i="1" s="1"/>
  <c r="D317" i="1"/>
  <c r="C317" i="1" a="1"/>
  <c r="C317" i="1" s="1"/>
  <c r="B317" i="1"/>
  <c r="G316" i="1"/>
  <c r="G315" i="1"/>
  <c r="G314" i="1"/>
  <c r="G313" i="1"/>
  <c r="D313" i="1"/>
  <c r="C313" i="1" a="1"/>
  <c r="C313" i="1" s="1"/>
  <c r="B313" i="1"/>
  <c r="G312" i="1"/>
  <c r="D312" i="1"/>
  <c r="C312" i="1" a="1"/>
  <c r="C312" i="1" s="1"/>
  <c r="B312" i="1"/>
  <c r="G311" i="1"/>
  <c r="D311" i="1"/>
  <c r="C311" i="1" a="1"/>
  <c r="C311" i="1" s="1"/>
  <c r="B311" i="1"/>
  <c r="G310" i="1"/>
  <c r="E310" i="1" a="1"/>
  <c r="E310" i="1" s="1"/>
  <c r="D310" i="1"/>
  <c r="C310" i="1" a="1"/>
  <c r="C310" i="1"/>
  <c r="B310" i="1"/>
  <c r="G309" i="1"/>
  <c r="E309" i="1" a="1"/>
  <c r="E309" i="1" s="1"/>
  <c r="D309" i="1"/>
  <c r="C309" i="1" a="1"/>
  <c r="C309" i="1" s="1"/>
  <c r="B309" i="1"/>
  <c r="G308" i="1"/>
  <c r="E308" i="1" a="1"/>
  <c r="E308" i="1"/>
  <c r="D308" i="1"/>
  <c r="C308" i="1" a="1"/>
  <c r="C308" i="1"/>
  <c r="B308" i="1"/>
  <c r="G307" i="1"/>
  <c r="E307" i="1" a="1"/>
  <c r="E307" i="1" s="1"/>
  <c r="D307" i="1"/>
  <c r="C307" i="1" a="1"/>
  <c r="C307" i="1" s="1"/>
  <c r="B307" i="1"/>
  <c r="I306" i="1"/>
  <c r="G306" i="1"/>
  <c r="E306" i="1" a="1"/>
  <c r="E306" i="1" s="1"/>
  <c r="D306" i="1"/>
  <c r="C306" i="1" a="1"/>
  <c r="C306" i="1" s="1"/>
  <c r="B306" i="1"/>
  <c r="G305" i="1"/>
  <c r="G304" i="1"/>
  <c r="G303" i="1"/>
  <c r="G302" i="1"/>
  <c r="D302" i="1"/>
  <c r="C302" i="1" a="1"/>
  <c r="C302" i="1" s="1"/>
  <c r="B302" i="1"/>
  <c r="G301" i="1"/>
  <c r="D301" i="1"/>
  <c r="C301" i="1" a="1"/>
  <c r="C301" i="1" s="1"/>
  <c r="B301" i="1"/>
  <c r="G300" i="1"/>
  <c r="D300" i="1"/>
  <c r="C300" i="1" a="1"/>
  <c r="C300" i="1" s="1"/>
  <c r="B300" i="1"/>
  <c r="G299" i="1"/>
  <c r="E299" i="1" a="1"/>
  <c r="E299" i="1" s="1"/>
  <c r="D299" i="1"/>
  <c r="C299" i="1" a="1"/>
  <c r="C299" i="1"/>
  <c r="B299" i="1"/>
  <c r="G298" i="1"/>
  <c r="E298" i="1" a="1"/>
  <c r="E298" i="1" s="1"/>
  <c r="D298" i="1"/>
  <c r="C298" i="1" a="1"/>
  <c r="C298" i="1" s="1"/>
  <c r="B298" i="1"/>
  <c r="G297" i="1"/>
  <c r="E297" i="1" a="1"/>
  <c r="E297" i="1" s="1"/>
  <c r="D297" i="1"/>
  <c r="C297" i="1" a="1"/>
  <c r="C297" i="1" s="1"/>
  <c r="B297" i="1"/>
  <c r="G296" i="1"/>
  <c r="E296" i="1" a="1"/>
  <c r="E296" i="1"/>
  <c r="D296" i="1"/>
  <c r="C296" i="1" a="1"/>
  <c r="C296" i="1" s="1"/>
  <c r="B296" i="1"/>
  <c r="I295" i="1"/>
  <c r="G295" i="1"/>
  <c r="E295" i="1" a="1"/>
  <c r="E295" i="1"/>
  <c r="D295" i="1"/>
  <c r="C295" i="1" a="1"/>
  <c r="C295" i="1" s="1"/>
  <c r="B295" i="1"/>
  <c r="G294" i="1"/>
  <c r="G293" i="1"/>
  <c r="G292" i="1"/>
  <c r="G291" i="1"/>
  <c r="G290" i="1"/>
  <c r="G289" i="1"/>
  <c r="G288" i="1"/>
  <c r="D288" i="1"/>
  <c r="C288" i="1" a="1"/>
  <c r="C288" i="1"/>
  <c r="B288" i="1"/>
  <c r="G287" i="1"/>
  <c r="E287" i="1" a="1"/>
  <c r="E287" i="1" s="1"/>
  <c r="D287" i="1"/>
  <c r="C287" i="1" a="1"/>
  <c r="C287" i="1" s="1"/>
  <c r="B287" i="1"/>
  <c r="G286" i="1"/>
  <c r="E286" i="1" a="1"/>
  <c r="E286" i="1" s="1"/>
  <c r="D286" i="1"/>
  <c r="C286" i="1" a="1"/>
  <c r="C286" i="1" s="1"/>
  <c r="B286" i="1"/>
  <c r="G285" i="1"/>
  <c r="E285" i="1" a="1"/>
  <c r="E285" i="1"/>
  <c r="D285" i="1"/>
  <c r="C285" i="1" a="1"/>
  <c r="C285" i="1"/>
  <c r="B285" i="1"/>
  <c r="I284" i="1"/>
  <c r="G284" i="1"/>
  <c r="E284" i="1" a="1"/>
  <c r="E284" i="1"/>
  <c r="D284" i="1"/>
  <c r="C284" i="1" a="1"/>
  <c r="C284" i="1" s="1"/>
  <c r="B284" i="1"/>
  <c r="G283" i="1"/>
  <c r="G282" i="1"/>
  <c r="G281" i="1"/>
  <c r="G280" i="1"/>
  <c r="D280" i="1"/>
  <c r="C280" i="1" a="1"/>
  <c r="C280" i="1" s="1"/>
  <c r="B280" i="1"/>
  <c r="G279" i="1"/>
  <c r="E279" i="1" a="1"/>
  <c r="E279" i="1" s="1"/>
  <c r="D279" i="1"/>
  <c r="C279" i="1" a="1"/>
  <c r="C279" i="1" s="1"/>
  <c r="B279" i="1"/>
  <c r="G278" i="1"/>
  <c r="E278" i="1" a="1"/>
  <c r="E278" i="1"/>
  <c r="D278" i="1"/>
  <c r="C278" i="1" a="1"/>
  <c r="C278" i="1"/>
  <c r="B278" i="1"/>
  <c r="G277" i="1"/>
  <c r="E277" i="1" a="1"/>
  <c r="E277" i="1"/>
  <c r="D277" i="1"/>
  <c r="C277" i="1" a="1"/>
  <c r="C277" i="1"/>
  <c r="B277" i="1"/>
  <c r="G276" i="1"/>
  <c r="E276" i="1" a="1"/>
  <c r="E276" i="1" s="1"/>
  <c r="D276" i="1"/>
  <c r="C276" i="1" a="1"/>
  <c r="C276" i="1" s="1"/>
  <c r="B276" i="1"/>
  <c r="G275" i="1"/>
  <c r="E275" i="1" a="1"/>
  <c r="E275" i="1" s="1"/>
  <c r="D275" i="1"/>
  <c r="C275" i="1" a="1"/>
  <c r="C275" i="1"/>
  <c r="B275" i="1"/>
  <c r="G274" i="1"/>
  <c r="E274" i="1" a="1"/>
  <c r="E274" i="1" s="1"/>
  <c r="D274" i="1"/>
  <c r="C274" i="1" a="1"/>
  <c r="C274" i="1"/>
  <c r="B274" i="1"/>
  <c r="I273" i="1"/>
  <c r="G273" i="1"/>
  <c r="E273" i="1" a="1"/>
  <c r="E273" i="1" s="1"/>
  <c r="D273" i="1"/>
  <c r="C273" i="1" a="1"/>
  <c r="C273" i="1" s="1"/>
  <c r="B273" i="1"/>
  <c r="G272" i="1"/>
  <c r="G271" i="1"/>
  <c r="G270" i="1"/>
  <c r="G269" i="1"/>
  <c r="D269" i="1"/>
  <c r="C269" i="1" a="1"/>
  <c r="C269" i="1" s="1"/>
  <c r="B269" i="1"/>
  <c r="G268" i="1"/>
  <c r="E268" i="1" a="1"/>
  <c r="E268" i="1"/>
  <c r="D268" i="1"/>
  <c r="C268" i="1" a="1"/>
  <c r="C268" i="1"/>
  <c r="B268" i="1"/>
  <c r="G267" i="1"/>
  <c r="E267" i="1" a="1"/>
  <c r="E267" i="1"/>
  <c r="D267" i="1"/>
  <c r="C267" i="1" a="1"/>
  <c r="C267" i="1" s="1"/>
  <c r="B267" i="1"/>
  <c r="G266" i="1"/>
  <c r="E266" i="1" a="1"/>
  <c r="E266" i="1"/>
  <c r="D266" i="1"/>
  <c r="C266" i="1" a="1"/>
  <c r="C266" i="1" s="1"/>
  <c r="B266" i="1"/>
  <c r="G265" i="1"/>
  <c r="E265" i="1" a="1"/>
  <c r="E265" i="1"/>
  <c r="D265" i="1"/>
  <c r="C265" i="1" a="1"/>
  <c r="C265" i="1" s="1"/>
  <c r="B265" i="1"/>
  <c r="G264" i="1"/>
  <c r="E264" i="1" a="1"/>
  <c r="E264" i="1" s="1"/>
  <c r="D264" i="1"/>
  <c r="C264" i="1" a="1"/>
  <c r="C264" i="1"/>
  <c r="B264" i="1"/>
  <c r="G263" i="1"/>
  <c r="E263" i="1" a="1"/>
  <c r="E263" i="1"/>
  <c r="D263" i="1"/>
  <c r="C263" i="1" a="1"/>
  <c r="C263" i="1" s="1"/>
  <c r="B263" i="1"/>
  <c r="I262" i="1"/>
  <c r="G262" i="1"/>
  <c r="E262" i="1" a="1"/>
  <c r="E262" i="1" s="1"/>
  <c r="D262" i="1"/>
  <c r="C262" i="1" a="1"/>
  <c r="C262" i="1" s="1"/>
  <c r="B262" i="1"/>
  <c r="G261" i="1"/>
  <c r="G260" i="1"/>
  <c r="D260" i="1"/>
  <c r="C260" i="1" a="1"/>
  <c r="C260" i="1" s="1"/>
  <c r="B260" i="1"/>
  <c r="G259" i="1"/>
  <c r="D259" i="1"/>
  <c r="C259" i="1" a="1"/>
  <c r="C259" i="1" s="1"/>
  <c r="B259" i="1"/>
  <c r="G258" i="1"/>
  <c r="E258" i="1" a="1"/>
  <c r="E258" i="1"/>
  <c r="D258" i="1"/>
  <c r="C258" i="1" a="1"/>
  <c r="C258" i="1"/>
  <c r="B258" i="1"/>
  <c r="G257" i="1"/>
  <c r="D257" i="1"/>
  <c r="C257" i="1" a="1"/>
  <c r="C257" i="1"/>
  <c r="B257" i="1"/>
  <c r="G256" i="1"/>
  <c r="E256" i="1" a="1"/>
  <c r="E256" i="1" s="1"/>
  <c r="D256" i="1"/>
  <c r="C256" i="1" a="1"/>
  <c r="C256" i="1" s="1"/>
  <c r="B256" i="1"/>
  <c r="G255" i="1"/>
  <c r="E255" i="1" a="1"/>
  <c r="E255" i="1" s="1"/>
  <c r="D255" i="1"/>
  <c r="C255" i="1" a="1"/>
  <c r="C255" i="1" s="1"/>
  <c r="B255" i="1"/>
  <c r="G254" i="1"/>
  <c r="E254" i="1" a="1"/>
  <c r="E254" i="1"/>
  <c r="D254" i="1"/>
  <c r="C254" i="1" a="1"/>
  <c r="C254" i="1"/>
  <c r="B254" i="1"/>
  <c r="I253" i="1"/>
  <c r="G253" i="1"/>
  <c r="E253" i="1" a="1"/>
  <c r="E253" i="1"/>
  <c r="D253" i="1"/>
  <c r="I252" i="1"/>
  <c r="G252" i="1"/>
  <c r="E252" i="1" a="1"/>
  <c r="E252" i="1" s="1"/>
  <c r="D252" i="1"/>
  <c r="I251" i="1"/>
  <c r="G251" i="1"/>
  <c r="E251" i="1" a="1"/>
  <c r="E251" i="1" s="1"/>
  <c r="D251" i="1"/>
  <c r="C251" i="1" a="1"/>
  <c r="C251" i="1" s="1"/>
  <c r="B251" i="1"/>
  <c r="G250" i="1"/>
  <c r="G249" i="1"/>
  <c r="G248" i="1"/>
  <c r="G247" i="1"/>
  <c r="D247" i="1"/>
  <c r="C247" i="1" a="1"/>
  <c r="C247" i="1" s="1"/>
  <c r="B247" i="1"/>
  <c r="G246" i="1"/>
  <c r="D246" i="1"/>
  <c r="C246" i="1" a="1"/>
  <c r="C246" i="1" s="1"/>
  <c r="B246" i="1"/>
  <c r="G245" i="1"/>
  <c r="E245" i="1" a="1"/>
  <c r="E245" i="1"/>
  <c r="D245" i="1"/>
  <c r="C245" i="1" a="1"/>
  <c r="C245" i="1"/>
  <c r="B245" i="1"/>
  <c r="G244" i="1"/>
  <c r="D244" i="1"/>
  <c r="C244" i="1" a="1"/>
  <c r="C244" i="1"/>
  <c r="B244" i="1"/>
  <c r="G243" i="1"/>
  <c r="E243" i="1" a="1"/>
  <c r="E243" i="1" s="1"/>
  <c r="D243" i="1"/>
  <c r="C243" i="1" a="1"/>
  <c r="C243" i="1" s="1"/>
  <c r="B243" i="1"/>
  <c r="G242" i="1"/>
  <c r="E242" i="1" a="1"/>
  <c r="E242" i="1" s="1"/>
  <c r="D242" i="1"/>
  <c r="C242" i="1" a="1"/>
  <c r="C242" i="1"/>
  <c r="B242" i="1"/>
  <c r="G241" i="1"/>
  <c r="E241" i="1" a="1"/>
  <c r="E241" i="1"/>
  <c r="D241" i="1"/>
  <c r="C241" i="1" a="1"/>
  <c r="C241" i="1"/>
  <c r="B241" i="1"/>
  <c r="I240" i="1"/>
  <c r="G240" i="1"/>
  <c r="E240" i="1" a="1"/>
  <c r="E240" i="1"/>
  <c r="D240" i="1"/>
  <c r="C240" i="1" a="1"/>
  <c r="C240" i="1"/>
  <c r="B240" i="1"/>
  <c r="G239" i="1"/>
  <c r="C239" i="1" a="1"/>
  <c r="C239" i="1"/>
  <c r="B239" i="1"/>
  <c r="G238" i="1"/>
  <c r="C238" i="1" a="1"/>
  <c r="C238" i="1" s="1"/>
  <c r="B238" i="1"/>
  <c r="G237" i="1"/>
  <c r="C237" i="1" a="1"/>
  <c r="C237" i="1"/>
  <c r="B237" i="1"/>
  <c r="G236" i="1"/>
  <c r="E236" i="1" a="1"/>
  <c r="E236" i="1" s="1"/>
  <c r="D236" i="1"/>
  <c r="C236" i="1" a="1"/>
  <c r="C236" i="1" s="1"/>
  <c r="B236" i="1"/>
  <c r="G235" i="1"/>
  <c r="E235" i="1" a="1"/>
  <c r="E235" i="1" s="1"/>
  <c r="D235" i="1"/>
  <c r="C235" i="1" a="1"/>
  <c r="C235" i="1" s="1"/>
  <c r="B235" i="1"/>
  <c r="G234" i="1"/>
  <c r="E234" i="1" a="1"/>
  <c r="E234" i="1" s="1"/>
  <c r="D234" i="1"/>
  <c r="C234" i="1" a="1"/>
  <c r="C234" i="1"/>
  <c r="B234" i="1"/>
  <c r="I233" i="1"/>
  <c r="G233" i="1"/>
  <c r="E233" i="1" a="1"/>
  <c r="E233" i="1" s="1"/>
  <c r="D233" i="1"/>
  <c r="C233" i="1" a="1"/>
  <c r="C233" i="1" s="1"/>
  <c r="B233" i="1"/>
  <c r="D232" i="1"/>
  <c r="C232" i="1" a="1"/>
  <c r="C232" i="1"/>
  <c r="B232" i="1"/>
  <c r="E231" i="1" a="1"/>
  <c r="E231" i="1" s="1"/>
  <c r="D231" i="1"/>
  <c r="C231" i="1" a="1"/>
  <c r="C231" i="1" s="1"/>
  <c r="B231" i="1"/>
  <c r="E230" i="1" a="1"/>
  <c r="E230" i="1" s="1"/>
  <c r="D230" i="1"/>
  <c r="C230" i="1" a="1"/>
  <c r="C230" i="1" s="1"/>
  <c r="B230" i="1"/>
  <c r="E229" i="1" a="1"/>
  <c r="E229" i="1"/>
  <c r="D229" i="1"/>
  <c r="C229" i="1" a="1"/>
  <c r="C229" i="1" s="1"/>
  <c r="B229" i="1"/>
  <c r="G228" i="1"/>
  <c r="D228" i="1"/>
  <c r="C228" i="1" a="1"/>
  <c r="C228" i="1"/>
  <c r="B228" i="1"/>
  <c r="G227" i="1"/>
  <c r="E227" i="1" a="1"/>
  <c r="E227" i="1" s="1"/>
  <c r="D227" i="1"/>
  <c r="C227" i="1" a="1"/>
  <c r="C227" i="1" s="1"/>
  <c r="B227" i="1"/>
  <c r="G226" i="1"/>
  <c r="E226" i="1" a="1"/>
  <c r="E226" i="1" s="1"/>
  <c r="D226" i="1"/>
  <c r="C226" i="1" a="1"/>
  <c r="C226" i="1"/>
  <c r="B226" i="1"/>
  <c r="G225" i="1"/>
  <c r="E225" i="1" a="1"/>
  <c r="E225" i="1" s="1"/>
  <c r="D225" i="1"/>
  <c r="C225" i="1" a="1"/>
  <c r="C225" i="1" s="1"/>
  <c r="B225" i="1"/>
  <c r="G224" i="1"/>
  <c r="E224" i="1" a="1"/>
  <c r="E224" i="1"/>
  <c r="D224" i="1"/>
  <c r="C224" i="1" a="1"/>
  <c r="C224" i="1" s="1"/>
  <c r="B224" i="1"/>
  <c r="G223" i="1"/>
  <c r="E223" i="1" a="1"/>
  <c r="E223" i="1"/>
  <c r="D223" i="1"/>
  <c r="C223" i="1" a="1"/>
  <c r="C223" i="1" s="1"/>
  <c r="B223" i="1"/>
  <c r="I222" i="1"/>
  <c r="G222" i="1"/>
  <c r="E222" i="1" a="1"/>
  <c r="E222" i="1" s="1"/>
  <c r="D222" i="1"/>
  <c r="C222" i="1" a="1"/>
  <c r="C222" i="1" s="1"/>
  <c r="B222" i="1"/>
  <c r="D221" i="1"/>
  <c r="C221" i="1" a="1"/>
  <c r="C221" i="1"/>
  <c r="B221" i="1"/>
  <c r="G220" i="1"/>
  <c r="E220" i="1" a="1"/>
  <c r="E220" i="1" s="1"/>
  <c r="D220" i="1"/>
  <c r="C220" i="1" a="1"/>
  <c r="C220" i="1"/>
  <c r="B220" i="1"/>
  <c r="G219" i="1"/>
  <c r="D219" i="1"/>
  <c r="C219" i="1" a="1"/>
  <c r="C219" i="1" s="1"/>
  <c r="B219" i="1"/>
  <c r="G218" i="1"/>
  <c r="D218" i="1"/>
  <c r="C218" i="1" a="1"/>
  <c r="C218" i="1" s="1"/>
  <c r="B218" i="1"/>
  <c r="G217" i="1"/>
  <c r="E217" i="1" a="1"/>
  <c r="E217" i="1" s="1"/>
  <c r="D217" i="1"/>
  <c r="C217" i="1" a="1"/>
  <c r="C217" i="1" s="1"/>
  <c r="B217" i="1"/>
  <c r="G216" i="1"/>
  <c r="E216" i="1" a="1"/>
  <c r="E216" i="1" s="1"/>
  <c r="D216" i="1"/>
  <c r="C216" i="1" a="1"/>
  <c r="C216" i="1"/>
  <c r="B216" i="1"/>
  <c r="G215" i="1"/>
  <c r="E215" i="1" a="1"/>
  <c r="E215" i="1" s="1"/>
  <c r="D215" i="1"/>
  <c r="G214" i="1"/>
  <c r="E214" i="1" a="1"/>
  <c r="E214" i="1" s="1"/>
  <c r="D214" i="1"/>
  <c r="G213" i="1"/>
  <c r="D213" i="1"/>
  <c r="C213" i="1" a="1"/>
  <c r="C213" i="1" s="1"/>
  <c r="B213" i="1"/>
  <c r="I212" i="1"/>
  <c r="G212" i="1"/>
  <c r="E212" i="1" a="1"/>
  <c r="E212" i="1" s="1"/>
  <c r="D212" i="1"/>
  <c r="C212" i="1" a="1"/>
  <c r="C212" i="1" s="1"/>
  <c r="B212" i="1"/>
  <c r="G211" i="1"/>
  <c r="G210" i="1"/>
  <c r="D210" i="1"/>
  <c r="C210" i="1" a="1"/>
  <c r="C210" i="1"/>
  <c r="B210" i="1"/>
  <c r="G209" i="1"/>
  <c r="E209" i="1" a="1"/>
  <c r="E209" i="1"/>
  <c r="D209" i="1"/>
  <c r="C209" i="1" a="1"/>
  <c r="C209" i="1" s="1"/>
  <c r="B209" i="1"/>
  <c r="G208" i="1"/>
  <c r="D208" i="1"/>
  <c r="C208" i="1" a="1"/>
  <c r="C208" i="1"/>
  <c r="B208" i="1"/>
  <c r="G207" i="1"/>
  <c r="D207" i="1"/>
  <c r="C207" i="1" a="1"/>
  <c r="C207" i="1" s="1"/>
  <c r="B207" i="1"/>
  <c r="G206" i="1"/>
  <c r="E206" i="1" a="1"/>
  <c r="E206" i="1" s="1"/>
  <c r="D206" i="1"/>
  <c r="C206" i="1" a="1"/>
  <c r="C206" i="1"/>
  <c r="B206" i="1"/>
  <c r="G205" i="1"/>
  <c r="E205" i="1" a="1"/>
  <c r="E205" i="1"/>
  <c r="D205" i="1"/>
  <c r="C205" i="1" a="1"/>
  <c r="C205" i="1" s="1"/>
  <c r="B205" i="1"/>
  <c r="G204" i="1"/>
  <c r="D204" i="1"/>
  <c r="C204" i="1" a="1"/>
  <c r="C204" i="1" s="1"/>
  <c r="B204" i="1"/>
  <c r="G203" i="1"/>
  <c r="E203" i="1" a="1"/>
  <c r="E203" i="1"/>
  <c r="D203" i="1"/>
  <c r="C203" i="1" a="1"/>
  <c r="C203" i="1"/>
  <c r="B203" i="1"/>
  <c r="E202" i="1" a="1"/>
  <c r="E202" i="1"/>
  <c r="D202" i="1"/>
  <c r="C202" i="1" a="1"/>
  <c r="C202" i="1" s="1"/>
  <c r="B202" i="1"/>
  <c r="E201" i="1" a="1"/>
  <c r="E201" i="1" s="1"/>
  <c r="D201" i="1"/>
  <c r="C201" i="1" a="1"/>
  <c r="C201" i="1" s="1"/>
  <c r="B201" i="1"/>
  <c r="D200" i="1"/>
  <c r="C200" i="1" a="1"/>
  <c r="C200" i="1"/>
  <c r="B200" i="1"/>
  <c r="G199" i="1"/>
  <c r="D199" i="1"/>
  <c r="C199" i="1" a="1"/>
  <c r="C199" i="1"/>
  <c r="B199" i="1"/>
  <c r="G198" i="1"/>
  <c r="D198" i="1"/>
  <c r="C198" i="1" a="1"/>
  <c r="C198" i="1"/>
  <c r="B198" i="1"/>
  <c r="G197" i="1"/>
  <c r="D197" i="1"/>
  <c r="C197" i="1" a="1"/>
  <c r="C197" i="1" s="1"/>
  <c r="B197" i="1"/>
  <c r="G196" i="1"/>
  <c r="D196" i="1"/>
  <c r="G195" i="1"/>
  <c r="D195" i="1"/>
  <c r="G194" i="1"/>
  <c r="E194" i="1" a="1"/>
  <c r="E194" i="1" s="1"/>
  <c r="D194" i="1"/>
  <c r="C194" i="1" a="1"/>
  <c r="C194" i="1" s="1"/>
  <c r="B194" i="1"/>
  <c r="I193" i="1"/>
  <c r="G193" i="1"/>
  <c r="E193" i="1" a="1"/>
  <c r="E193" i="1" s="1"/>
  <c r="D193" i="1"/>
  <c r="C193" i="1" a="1"/>
  <c r="C193" i="1" s="1"/>
  <c r="B193" i="1"/>
  <c r="E192" i="1" a="1"/>
  <c r="E192" i="1"/>
  <c r="D192" i="1"/>
  <c r="C192" i="1" a="1"/>
  <c r="C192" i="1"/>
  <c r="B192" i="1"/>
  <c r="G191" i="1"/>
  <c r="E191" i="1" a="1"/>
  <c r="E191" i="1" s="1"/>
  <c r="D191" i="1"/>
  <c r="C191" i="1" a="1"/>
  <c r="C191" i="1" s="1"/>
  <c r="B191" i="1"/>
  <c r="G190" i="1"/>
  <c r="D190" i="1"/>
  <c r="C190" i="1" a="1"/>
  <c r="C190" i="1" s="1"/>
  <c r="B190" i="1"/>
  <c r="G189" i="1"/>
  <c r="D189" i="1"/>
  <c r="C189" i="1" a="1"/>
  <c r="C189" i="1" s="1"/>
  <c r="B189" i="1"/>
  <c r="G188" i="1"/>
  <c r="D188" i="1"/>
  <c r="C188" i="1" a="1"/>
  <c r="C188" i="1" s="1"/>
  <c r="B188" i="1"/>
  <c r="G187" i="1"/>
  <c r="D187" i="1"/>
  <c r="C187" i="1" a="1"/>
  <c r="C187" i="1"/>
  <c r="B187" i="1"/>
  <c r="G186" i="1"/>
  <c r="E186" i="1" a="1"/>
  <c r="E186" i="1" s="1"/>
  <c r="D186" i="1"/>
  <c r="C186" i="1" a="1"/>
  <c r="C186" i="1" s="1"/>
  <c r="B186" i="1"/>
  <c r="I185" i="1"/>
  <c r="G185" i="1"/>
  <c r="E185" i="1" a="1"/>
  <c r="E185" i="1" s="1"/>
  <c r="D185" i="1"/>
  <c r="C185" i="1" a="1"/>
  <c r="C185" i="1" s="1"/>
  <c r="B185" i="1"/>
  <c r="G184" i="1"/>
  <c r="E184" i="1" a="1"/>
  <c r="E184" i="1"/>
  <c r="D184" i="1"/>
  <c r="C184" i="1" a="1"/>
  <c r="C184" i="1" s="1"/>
  <c r="B184" i="1"/>
  <c r="G183" i="1"/>
  <c r="D183" i="1"/>
  <c r="C183" i="1" a="1"/>
  <c r="C183" i="1" s="1"/>
  <c r="B183" i="1"/>
  <c r="G182" i="1"/>
  <c r="D182" i="1"/>
  <c r="C182" i="1" a="1"/>
  <c r="C182" i="1"/>
  <c r="B182" i="1"/>
  <c r="G181" i="1"/>
  <c r="E181" i="1" a="1"/>
  <c r="E181" i="1" s="1"/>
  <c r="D181" i="1"/>
  <c r="C181" i="1" a="1"/>
  <c r="C181" i="1" s="1"/>
  <c r="B181" i="1"/>
  <c r="G180" i="1"/>
  <c r="E180" i="1" a="1"/>
  <c r="E180" i="1" s="1"/>
  <c r="D180" i="1"/>
  <c r="C180" i="1" a="1"/>
  <c r="C180" i="1" s="1"/>
  <c r="B180" i="1"/>
  <c r="G179" i="1"/>
  <c r="E179" i="1" a="1"/>
  <c r="E179" i="1"/>
  <c r="D179" i="1"/>
  <c r="G178" i="1"/>
  <c r="E178" i="1" a="1"/>
  <c r="E178" i="1" s="1"/>
  <c r="D178" i="1"/>
  <c r="C178" i="1" a="1"/>
  <c r="C178" i="1" s="1"/>
  <c r="B178" i="1"/>
  <c r="I177" i="1"/>
  <c r="G177" i="1"/>
  <c r="E177" i="1" a="1"/>
  <c r="E177" i="1" s="1"/>
  <c r="D177" i="1"/>
  <c r="C177" i="1" a="1"/>
  <c r="C177" i="1" s="1"/>
  <c r="B177" i="1"/>
  <c r="G176" i="1"/>
  <c r="G175" i="1"/>
  <c r="E175" i="1" a="1"/>
  <c r="E175" i="1" s="1"/>
  <c r="D175" i="1"/>
  <c r="C175" i="1" a="1"/>
  <c r="C175" i="1" s="1"/>
  <c r="B175" i="1"/>
  <c r="G174" i="1"/>
  <c r="D174" i="1"/>
  <c r="C174" i="1" a="1"/>
  <c r="C174" i="1" s="1"/>
  <c r="B174" i="1"/>
  <c r="G173" i="1"/>
  <c r="D173" i="1"/>
  <c r="C173" i="1" a="1"/>
  <c r="C173" i="1" s="1"/>
  <c r="B173" i="1"/>
  <c r="G172" i="1"/>
  <c r="E172" i="1" a="1"/>
  <c r="E172" i="1" s="1"/>
  <c r="D172" i="1"/>
  <c r="C172" i="1" a="1"/>
  <c r="C172" i="1"/>
  <c r="B172" i="1"/>
  <c r="G171" i="1"/>
  <c r="E171" i="1" a="1"/>
  <c r="E171" i="1" s="1"/>
  <c r="D171" i="1"/>
  <c r="C171" i="1" a="1"/>
  <c r="C171" i="1" s="1"/>
  <c r="B171" i="1"/>
  <c r="G170" i="1"/>
  <c r="E170" i="1" a="1"/>
  <c r="E170" i="1"/>
  <c r="D170" i="1"/>
  <c r="C170" i="1" a="1"/>
  <c r="C170" i="1"/>
  <c r="B170" i="1"/>
  <c r="I169" i="1"/>
  <c r="G169" i="1"/>
  <c r="E169" i="1" a="1"/>
  <c r="E169" i="1"/>
  <c r="D169" i="1"/>
  <c r="C169" i="1" a="1"/>
  <c r="C169" i="1"/>
  <c r="B169" i="1"/>
  <c r="C168" i="1" a="1"/>
  <c r="C168" i="1" s="1"/>
  <c r="B168" i="1"/>
  <c r="D167" i="1"/>
  <c r="C167" i="1" a="1"/>
  <c r="C167" i="1" s="1"/>
  <c r="B167" i="1"/>
  <c r="E166" i="1" a="1"/>
  <c r="E166" i="1"/>
  <c r="D166" i="1"/>
  <c r="C166" i="1" a="1"/>
  <c r="C166" i="1"/>
  <c r="B166" i="1"/>
  <c r="E165" i="1" a="1"/>
  <c r="E165" i="1"/>
  <c r="D165" i="1"/>
  <c r="C165" i="1" a="1"/>
  <c r="C165" i="1"/>
  <c r="B165" i="1"/>
  <c r="E164" i="1" a="1"/>
  <c r="E164" i="1" s="1"/>
  <c r="D164" i="1"/>
  <c r="C164" i="1" a="1"/>
  <c r="C164" i="1" s="1"/>
  <c r="B164" i="1"/>
  <c r="G163" i="1"/>
  <c r="E163" i="1" a="1"/>
  <c r="E163" i="1"/>
  <c r="D163" i="1"/>
  <c r="C163" i="1" a="1"/>
  <c r="C163" i="1"/>
  <c r="B163" i="1"/>
  <c r="G162" i="1"/>
  <c r="E162" i="1" a="1"/>
  <c r="E162" i="1" s="1"/>
  <c r="D162" i="1"/>
  <c r="C162" i="1" a="1"/>
  <c r="C162" i="1" s="1"/>
  <c r="B162" i="1"/>
  <c r="G161" i="1"/>
  <c r="E161" i="1" a="1"/>
  <c r="E161" i="1" s="1"/>
  <c r="D161" i="1"/>
  <c r="C161" i="1" a="1"/>
  <c r="C161" i="1" s="1"/>
  <c r="B161" i="1"/>
  <c r="G160" i="1"/>
  <c r="E160" i="1" a="1"/>
  <c r="E160" i="1"/>
  <c r="D160" i="1"/>
  <c r="G159" i="1"/>
  <c r="E159" i="1" a="1"/>
  <c r="E159" i="1" s="1"/>
  <c r="D159" i="1"/>
  <c r="G158" i="1"/>
  <c r="E158" i="1" a="1"/>
  <c r="E158" i="1"/>
  <c r="D158" i="1"/>
  <c r="I157" i="1"/>
  <c r="G157" i="1"/>
  <c r="E157" i="1" a="1"/>
  <c r="E157" i="1" s="1"/>
  <c r="D157" i="1"/>
  <c r="C157" i="1" a="1"/>
  <c r="C157" i="1"/>
  <c r="B157" i="1"/>
  <c r="D156" i="1"/>
  <c r="C156" i="1" a="1"/>
  <c r="C156" i="1" s="1"/>
  <c r="B156" i="1"/>
  <c r="E155" i="1" a="1"/>
  <c r="E155" i="1" s="1"/>
  <c r="D155" i="1"/>
  <c r="C155" i="1" a="1"/>
  <c r="C155" i="1" s="1"/>
  <c r="B155" i="1"/>
  <c r="E154" i="1" a="1"/>
  <c r="E154" i="1" s="1"/>
  <c r="D154" i="1"/>
  <c r="C154" i="1" a="1"/>
  <c r="C154" i="1"/>
  <c r="B154" i="1"/>
  <c r="G153" i="1"/>
  <c r="E153" i="1" a="1"/>
  <c r="E153" i="1" s="1"/>
  <c r="D153" i="1"/>
  <c r="C153" i="1" a="1"/>
  <c r="C153" i="1" s="1"/>
  <c r="B153" i="1"/>
  <c r="G152" i="1"/>
  <c r="E152" i="1" a="1"/>
  <c r="E152" i="1"/>
  <c r="D152" i="1"/>
  <c r="C152" i="1" a="1"/>
  <c r="C152" i="1"/>
  <c r="B152" i="1"/>
  <c r="G151" i="1"/>
  <c r="E151" i="1" a="1"/>
  <c r="E151" i="1" s="1"/>
  <c r="D151" i="1"/>
  <c r="C151" i="1" a="1"/>
  <c r="C151" i="1" s="1"/>
  <c r="B151" i="1"/>
  <c r="G150" i="1"/>
  <c r="E150" i="1" a="1"/>
  <c r="E150" i="1" s="1"/>
  <c r="D150" i="1"/>
  <c r="C150" i="1" a="1"/>
  <c r="C150" i="1" s="1"/>
  <c r="B150" i="1"/>
  <c r="G149" i="1"/>
  <c r="E149" i="1" a="1"/>
  <c r="E149" i="1"/>
  <c r="D149" i="1"/>
  <c r="G148" i="1"/>
  <c r="E148" i="1" a="1"/>
  <c r="E148" i="1" s="1"/>
  <c r="D148" i="1"/>
  <c r="I147" i="1"/>
  <c r="G147" i="1"/>
  <c r="E147" i="1" a="1"/>
  <c r="E147" i="1"/>
  <c r="D147" i="1"/>
  <c r="C147" i="1" a="1"/>
  <c r="C147" i="1" s="1"/>
  <c r="B147" i="1"/>
  <c r="D146" i="1"/>
  <c r="C146" i="1" a="1"/>
  <c r="C146" i="1"/>
  <c r="B146" i="1"/>
  <c r="G145" i="1"/>
  <c r="E145" i="1" a="1"/>
  <c r="E145" i="1" s="1"/>
  <c r="D145" i="1"/>
  <c r="C145" i="1" a="1"/>
  <c r="C145" i="1" s="1"/>
  <c r="B145" i="1"/>
  <c r="G144" i="1"/>
  <c r="E144" i="1" a="1"/>
  <c r="E144" i="1"/>
  <c r="D144" i="1"/>
  <c r="C144" i="1" a="1"/>
  <c r="C144" i="1"/>
  <c r="B144" i="1"/>
  <c r="G143" i="1"/>
  <c r="E143" i="1" a="1"/>
  <c r="E143" i="1" s="1"/>
  <c r="D143" i="1"/>
  <c r="C143" i="1" a="1"/>
  <c r="C143" i="1" s="1"/>
  <c r="B143" i="1"/>
  <c r="G142" i="1"/>
  <c r="E142" i="1" a="1"/>
  <c r="E142" i="1" s="1"/>
  <c r="D142" i="1"/>
  <c r="C142" i="1" a="1"/>
  <c r="C142" i="1" s="1"/>
  <c r="B142" i="1"/>
  <c r="G141" i="1"/>
  <c r="E141" i="1" a="1"/>
  <c r="E141" i="1"/>
  <c r="D141" i="1"/>
  <c r="C141" i="1" a="1"/>
  <c r="C141" i="1"/>
  <c r="B141" i="1"/>
  <c r="G140" i="1"/>
  <c r="E140" i="1" a="1"/>
  <c r="E140" i="1" s="1"/>
  <c r="D140" i="1"/>
  <c r="C140" i="1" a="1"/>
  <c r="C140" i="1" s="1"/>
  <c r="B140" i="1"/>
  <c r="I139" i="1"/>
  <c r="G139" i="1"/>
  <c r="E139" i="1" a="1"/>
  <c r="E139" i="1"/>
  <c r="D139" i="1"/>
  <c r="C139" i="1" a="1"/>
  <c r="C139" i="1" s="1"/>
  <c r="B139" i="1"/>
  <c r="E138" i="1" a="1"/>
  <c r="E138" i="1" s="1"/>
  <c r="D138" i="1"/>
  <c r="C138" i="1" a="1"/>
  <c r="C138" i="1" s="1"/>
  <c r="B138" i="1"/>
  <c r="D137" i="1"/>
  <c r="C137" i="1" a="1"/>
  <c r="C137" i="1" s="1"/>
  <c r="B137" i="1"/>
  <c r="E136" i="1" a="1"/>
  <c r="E136" i="1" s="1"/>
  <c r="D136" i="1"/>
  <c r="C136" i="1" a="1"/>
  <c r="C136" i="1" s="1"/>
  <c r="B136" i="1"/>
  <c r="D135" i="1"/>
  <c r="G134" i="1"/>
  <c r="E134" i="1" a="1"/>
  <c r="E134" i="1" s="1"/>
  <c r="D134" i="1"/>
  <c r="C134" i="1" a="1"/>
  <c r="C134" i="1" s="1"/>
  <c r="B134" i="1"/>
  <c r="G133" i="1"/>
  <c r="D133" i="1"/>
  <c r="C133" i="1" a="1"/>
  <c r="C133" i="1"/>
  <c r="B133" i="1"/>
  <c r="G132" i="1"/>
  <c r="D132" i="1"/>
  <c r="C132" i="1" a="1"/>
  <c r="C132" i="1" s="1"/>
  <c r="B132" i="1"/>
  <c r="I131" i="1"/>
  <c r="G131" i="1"/>
  <c r="D131" i="1"/>
  <c r="C131" i="1" a="1"/>
  <c r="C131" i="1" s="1"/>
  <c r="B131" i="1"/>
  <c r="E130" i="1" a="1"/>
  <c r="E130" i="1" s="1"/>
  <c r="D130" i="1"/>
  <c r="C130" i="1" a="1"/>
  <c r="C130" i="1" s="1"/>
  <c r="B130" i="1"/>
  <c r="I129" i="1"/>
  <c r="G129" i="1"/>
  <c r="E129" i="1" a="1"/>
  <c r="E129" i="1" s="1"/>
  <c r="D129" i="1"/>
  <c r="C129" i="1" a="1"/>
  <c r="C129" i="1"/>
  <c r="B129" i="1"/>
  <c r="E128" i="1" a="1"/>
  <c r="E128" i="1"/>
  <c r="D128" i="1"/>
  <c r="C128" i="1" a="1"/>
  <c r="C128" i="1"/>
  <c r="B128" i="1"/>
  <c r="I127" i="1"/>
  <c r="G127" i="1"/>
  <c r="E127" i="1" a="1"/>
  <c r="E127" i="1"/>
  <c r="D127" i="1"/>
  <c r="C127" i="1" a="1"/>
  <c r="C127" i="1"/>
  <c r="B127" i="1"/>
  <c r="D126" i="1"/>
  <c r="C126" i="1" a="1"/>
  <c r="C126" i="1"/>
  <c r="B126" i="1"/>
  <c r="E125" i="1" a="1"/>
  <c r="E125" i="1" s="1"/>
  <c r="D125" i="1"/>
  <c r="C125" i="1" a="1"/>
  <c r="C125" i="1"/>
  <c r="B125" i="1"/>
  <c r="E124" i="1" a="1"/>
  <c r="E124" i="1"/>
  <c r="D124" i="1"/>
  <c r="C124" i="1" a="1"/>
  <c r="C124" i="1"/>
  <c r="B124" i="1"/>
  <c r="E123" i="1" a="1"/>
  <c r="E123" i="1"/>
  <c r="D123" i="1"/>
  <c r="C123" i="1" a="1"/>
  <c r="C123" i="1" s="1"/>
  <c r="B123" i="1"/>
  <c r="G122" i="1"/>
  <c r="E122" i="1" a="1"/>
  <c r="E122" i="1" s="1"/>
  <c r="D122" i="1"/>
  <c r="C122" i="1" a="1"/>
  <c r="C122" i="1" s="1"/>
  <c r="B122" i="1"/>
  <c r="G121" i="1"/>
  <c r="E121" i="1" a="1"/>
  <c r="E121" i="1"/>
  <c r="D121" i="1"/>
  <c r="C121" i="1" a="1"/>
  <c r="C121" i="1"/>
  <c r="B121" i="1"/>
  <c r="G120" i="1"/>
  <c r="E120" i="1" a="1"/>
  <c r="E120" i="1" s="1"/>
  <c r="D120" i="1"/>
  <c r="C120" i="1" a="1"/>
  <c r="C120" i="1"/>
  <c r="B120" i="1"/>
  <c r="G119" i="1"/>
  <c r="E119" i="1" a="1"/>
  <c r="E119" i="1"/>
  <c r="D119" i="1"/>
  <c r="C119" i="1" a="1"/>
  <c r="C119" i="1" s="1"/>
  <c r="B119" i="1"/>
  <c r="G118" i="1"/>
  <c r="E118" i="1" a="1"/>
  <c r="E118" i="1" s="1"/>
  <c r="D118" i="1"/>
  <c r="C118" i="1" a="1"/>
  <c r="C118" i="1"/>
  <c r="B118" i="1"/>
  <c r="I117" i="1"/>
  <c r="G117" i="1"/>
  <c r="E117" i="1" a="1"/>
  <c r="E117" i="1" s="1"/>
  <c r="D117" i="1"/>
  <c r="C117" i="1" a="1"/>
  <c r="C117" i="1"/>
  <c r="B117" i="1"/>
  <c r="E116" i="1" a="1"/>
  <c r="E116" i="1"/>
  <c r="D116" i="1"/>
  <c r="C116" i="1" a="1"/>
  <c r="C116" i="1"/>
  <c r="B116" i="1"/>
  <c r="I115" i="1"/>
  <c r="G115" i="1"/>
  <c r="E115" i="1" a="1"/>
  <c r="E115" i="1"/>
  <c r="D115" i="1"/>
  <c r="C115" i="1" a="1"/>
  <c r="C115" i="1"/>
  <c r="B115" i="1"/>
  <c r="E114" i="1" a="1"/>
  <c r="E114" i="1" s="1"/>
  <c r="D114" i="1"/>
  <c r="C114" i="1" a="1"/>
  <c r="C114" i="1" s="1"/>
  <c r="B114" i="1"/>
  <c r="I113" i="1"/>
  <c r="G113" i="1"/>
  <c r="E113" i="1" a="1"/>
  <c r="E113" i="1" s="1"/>
  <c r="D113" i="1"/>
  <c r="C113" i="1" a="1"/>
  <c r="C113" i="1" s="1"/>
  <c r="B113" i="1"/>
  <c r="E112" i="1" a="1"/>
  <c r="E112" i="1" s="1"/>
  <c r="D112" i="1"/>
  <c r="C112" i="1" a="1"/>
  <c r="C112" i="1"/>
  <c r="B112" i="1"/>
  <c r="D111" i="1"/>
  <c r="C111" i="1" a="1"/>
  <c r="C111" i="1"/>
  <c r="B111" i="1"/>
  <c r="D110" i="1"/>
  <c r="C110" i="1" a="1"/>
  <c r="C110" i="1"/>
  <c r="B110" i="1"/>
  <c r="D109" i="1"/>
  <c r="C109" i="1" a="1"/>
  <c r="C109" i="1" s="1"/>
  <c r="B109" i="1"/>
  <c r="D108" i="1"/>
  <c r="C108" i="1" a="1"/>
  <c r="C108" i="1"/>
  <c r="B108" i="1"/>
  <c r="G107" i="1"/>
  <c r="E107" i="1" a="1"/>
  <c r="E107" i="1" s="1"/>
  <c r="D107" i="1"/>
  <c r="C107" i="1" a="1"/>
  <c r="C107" i="1" s="1"/>
  <c r="B107" i="1"/>
  <c r="G106" i="1"/>
  <c r="E106" i="1" a="1"/>
  <c r="E106" i="1" s="1"/>
  <c r="D106" i="1"/>
  <c r="C106" i="1" a="1"/>
  <c r="C106" i="1"/>
  <c r="B106" i="1"/>
  <c r="G105" i="1"/>
  <c r="E105" i="1" a="1"/>
  <c r="E105" i="1" s="1"/>
  <c r="D105" i="1"/>
  <c r="C105" i="1" a="1"/>
  <c r="C105" i="1" s="1"/>
  <c r="B105" i="1"/>
  <c r="G104" i="1"/>
  <c r="E104" i="1" a="1"/>
  <c r="E104" i="1"/>
  <c r="D104" i="1"/>
  <c r="C104" i="1" a="1"/>
  <c r="C104" i="1" s="1"/>
  <c r="B104" i="1"/>
  <c r="G103" i="1"/>
  <c r="E103" i="1" a="1"/>
  <c r="E103" i="1"/>
  <c r="D103" i="1"/>
  <c r="C103" i="1" a="1"/>
  <c r="C103" i="1" s="1"/>
  <c r="B103" i="1"/>
  <c r="E102" i="1" a="1"/>
  <c r="E102" i="1" s="1"/>
  <c r="D102" i="1"/>
  <c r="G101" i="1"/>
  <c r="E101" i="1" a="1"/>
  <c r="E101" i="1" s="1"/>
  <c r="D101" i="1"/>
  <c r="G100" i="1"/>
  <c r="E100" i="1" a="1"/>
  <c r="E100" i="1" s="1"/>
  <c r="D100" i="1"/>
  <c r="I99" i="1"/>
  <c r="G99" i="1"/>
  <c r="E99" i="1" a="1"/>
  <c r="E99" i="1" s="1"/>
  <c r="D99" i="1"/>
  <c r="C99" i="1" a="1"/>
  <c r="C99" i="1" s="1"/>
  <c r="B99" i="1"/>
  <c r="E98" i="1" a="1"/>
  <c r="E98" i="1" s="1"/>
  <c r="D98" i="1"/>
  <c r="C98" i="1" a="1"/>
  <c r="C98" i="1" s="1"/>
  <c r="B98" i="1"/>
  <c r="D97" i="1"/>
  <c r="C97" i="1" a="1"/>
  <c r="C97" i="1"/>
  <c r="B97" i="1"/>
  <c r="D96" i="1"/>
  <c r="C96" i="1" a="1"/>
  <c r="C96" i="1" s="1"/>
  <c r="B96" i="1"/>
  <c r="D95" i="1"/>
  <c r="C95" i="1" a="1"/>
  <c r="C95" i="1"/>
  <c r="B95" i="1"/>
  <c r="D94" i="1"/>
  <c r="C94" i="1" a="1"/>
  <c r="C94" i="1" s="1"/>
  <c r="B94" i="1"/>
  <c r="E93" i="1" a="1"/>
  <c r="E93" i="1"/>
  <c r="D93" i="1"/>
  <c r="C93" i="1" a="1"/>
  <c r="C93" i="1" s="1"/>
  <c r="B93" i="1"/>
  <c r="G92" i="1"/>
  <c r="E92" i="1" a="1"/>
  <c r="E92" i="1" s="1"/>
  <c r="D92" i="1"/>
  <c r="C92" i="1" a="1"/>
  <c r="C92" i="1" s="1"/>
  <c r="B92" i="1"/>
  <c r="G91" i="1"/>
  <c r="E91" i="1" a="1"/>
  <c r="E91" i="1"/>
  <c r="D91" i="1"/>
  <c r="C91" i="1" a="1"/>
  <c r="C91" i="1"/>
  <c r="B91" i="1"/>
  <c r="G90" i="1"/>
  <c r="E90" i="1" a="1"/>
  <c r="E90" i="1" s="1"/>
  <c r="D90" i="1"/>
  <c r="C90" i="1" a="1"/>
  <c r="C90" i="1"/>
  <c r="B90" i="1"/>
  <c r="G89" i="1"/>
  <c r="E89" i="1" a="1"/>
  <c r="E89" i="1" s="1"/>
  <c r="D89" i="1"/>
  <c r="C89" i="1" a="1"/>
  <c r="C89" i="1" s="1"/>
  <c r="B89" i="1"/>
  <c r="G88" i="1"/>
  <c r="E88" i="1" a="1"/>
  <c r="E88" i="1" s="1"/>
  <c r="D88" i="1"/>
  <c r="G87" i="1"/>
  <c r="E87" i="1" a="1"/>
  <c r="E87" i="1" s="1"/>
  <c r="D87" i="1"/>
  <c r="I86" i="1"/>
  <c r="G86" i="1"/>
  <c r="E86" i="1" a="1"/>
  <c r="E86" i="1" s="1"/>
  <c r="D86" i="1"/>
  <c r="C86" i="1" a="1"/>
  <c r="C86" i="1" s="1"/>
  <c r="B86" i="1"/>
  <c r="E85" i="1" a="1"/>
  <c r="E85" i="1" s="1"/>
  <c r="D85" i="1"/>
  <c r="C85" i="1" a="1"/>
  <c r="C85" i="1" s="1"/>
  <c r="B85" i="1"/>
  <c r="D84" i="1"/>
  <c r="C84" i="1" a="1"/>
  <c r="C84" i="1"/>
  <c r="B84" i="1"/>
  <c r="D83" i="1"/>
  <c r="C83" i="1" a="1"/>
  <c r="C83" i="1" s="1"/>
  <c r="B83" i="1"/>
  <c r="D82" i="1"/>
  <c r="C82" i="1" a="1"/>
  <c r="C82" i="1"/>
  <c r="B82" i="1"/>
  <c r="G81" i="1"/>
  <c r="D81" i="1"/>
  <c r="C81" i="1" a="1"/>
  <c r="C81" i="1"/>
  <c r="B81" i="1"/>
  <c r="G80" i="1"/>
  <c r="E80" i="1" a="1"/>
  <c r="E80" i="1" s="1"/>
  <c r="D80" i="1"/>
  <c r="C80" i="1" a="1"/>
  <c r="C80" i="1" s="1"/>
  <c r="B80" i="1"/>
  <c r="G79" i="1"/>
  <c r="E79" i="1" a="1"/>
  <c r="E79" i="1"/>
  <c r="D79" i="1"/>
  <c r="C79" i="1" a="1"/>
  <c r="C79" i="1" s="1"/>
  <c r="B79" i="1"/>
  <c r="G78" i="1"/>
  <c r="E78" i="1" a="1"/>
  <c r="E78" i="1"/>
  <c r="D78" i="1"/>
  <c r="C78" i="1" a="1"/>
  <c r="C78" i="1" s="1"/>
  <c r="B78" i="1"/>
  <c r="E77" i="1" a="1"/>
  <c r="E77" i="1" s="1"/>
  <c r="D77" i="1"/>
  <c r="C77" i="1" a="1"/>
  <c r="C77" i="1" s="1"/>
  <c r="B77" i="1"/>
  <c r="I76" i="1"/>
  <c r="G76" i="1"/>
  <c r="E76" i="1" a="1"/>
  <c r="E76" i="1" s="1"/>
  <c r="D76" i="1"/>
  <c r="C76" i="1" a="1"/>
  <c r="C76" i="1" s="1"/>
  <c r="B76" i="1"/>
  <c r="I75" i="1"/>
  <c r="G75" i="1"/>
  <c r="E75" i="1" a="1"/>
  <c r="E75" i="1" s="1"/>
  <c r="D75" i="1"/>
  <c r="C75" i="1" a="1"/>
  <c r="C75" i="1" s="1"/>
  <c r="B75" i="1"/>
  <c r="D74" i="1"/>
  <c r="C74" i="1" a="1"/>
  <c r="C74" i="1"/>
  <c r="B74" i="1"/>
  <c r="D73" i="1"/>
  <c r="C73" i="1" a="1"/>
  <c r="C73" i="1" s="1"/>
  <c r="B73" i="1"/>
  <c r="D72" i="1"/>
  <c r="C72" i="1" a="1"/>
  <c r="C72" i="1"/>
  <c r="B72" i="1"/>
  <c r="E71" i="1" a="1"/>
  <c r="E71" i="1"/>
  <c r="D71" i="1"/>
  <c r="E70" i="1" a="1"/>
  <c r="E70" i="1" s="1"/>
  <c r="D70" i="1"/>
  <c r="C70" i="1" a="1"/>
  <c r="C70" i="1" s="1"/>
  <c r="B70" i="1"/>
  <c r="D69" i="1"/>
  <c r="C69" i="1" a="1"/>
  <c r="C69" i="1" s="1"/>
  <c r="B69" i="1"/>
  <c r="G68" i="1"/>
  <c r="D68" i="1"/>
  <c r="C68" i="1" a="1"/>
  <c r="C68" i="1"/>
  <c r="B68" i="1"/>
  <c r="G67" i="1"/>
  <c r="E67" i="1" a="1"/>
  <c r="E67" i="1" s="1"/>
  <c r="D67" i="1"/>
  <c r="C67" i="1" a="1"/>
  <c r="C67" i="1" s="1"/>
  <c r="B67" i="1"/>
  <c r="G66" i="1"/>
  <c r="E66" i="1" a="1"/>
  <c r="E66" i="1" s="1"/>
  <c r="D66" i="1"/>
  <c r="C66" i="1" a="1"/>
  <c r="C66" i="1"/>
  <c r="B66" i="1"/>
  <c r="I65" i="1"/>
  <c r="G65" i="1"/>
  <c r="E65" i="1" a="1"/>
  <c r="E65" i="1" s="1"/>
  <c r="D65" i="1"/>
  <c r="I64" i="1"/>
  <c r="G64" i="1"/>
  <c r="E64" i="1" a="1"/>
  <c r="E64" i="1"/>
  <c r="D64" i="1"/>
  <c r="I63" i="1"/>
  <c r="G63" i="1"/>
  <c r="E63" i="1" a="1"/>
  <c r="E63" i="1" s="1"/>
  <c r="D63" i="1"/>
  <c r="C63" i="1" a="1"/>
  <c r="C63" i="1"/>
  <c r="B63" i="1"/>
  <c r="I62" i="1"/>
  <c r="G62" i="1"/>
  <c r="E62" i="1" a="1"/>
  <c r="E62" i="1" s="1"/>
  <c r="D62" i="1"/>
  <c r="C62" i="1" a="1"/>
  <c r="C62" i="1"/>
  <c r="B62" i="1"/>
  <c r="D61" i="1"/>
  <c r="C61" i="1" a="1"/>
  <c r="C61" i="1" s="1"/>
  <c r="B61" i="1"/>
  <c r="D60" i="1"/>
  <c r="C60" i="1" a="1"/>
  <c r="C60" i="1"/>
  <c r="B60" i="1"/>
  <c r="D59" i="1"/>
  <c r="C59" i="1" a="1"/>
  <c r="C59" i="1" s="1"/>
  <c r="B59" i="1"/>
  <c r="E58" i="1" a="1"/>
  <c r="E58" i="1" s="1"/>
  <c r="D58" i="1"/>
  <c r="C58" i="1" a="1"/>
  <c r="C58" i="1" s="1"/>
  <c r="B58" i="1"/>
  <c r="D57" i="1"/>
  <c r="C57" i="1" a="1"/>
  <c r="C57" i="1"/>
  <c r="B57" i="1"/>
  <c r="G56" i="1"/>
  <c r="D56" i="1"/>
  <c r="C56" i="1" a="1"/>
  <c r="C56" i="1" s="1"/>
  <c r="B56" i="1"/>
  <c r="E55" i="1" a="1"/>
  <c r="E55" i="1" s="1"/>
  <c r="D55" i="1"/>
  <c r="C55" i="1" a="1"/>
  <c r="C55" i="1" s="1"/>
  <c r="B55" i="1"/>
  <c r="G54" i="1"/>
  <c r="E54" i="1" a="1"/>
  <c r="E54" i="1"/>
  <c r="D54" i="1"/>
  <c r="C54" i="1" a="1"/>
  <c r="C54" i="1"/>
  <c r="B54" i="1"/>
  <c r="G53" i="1"/>
  <c r="E53" i="1" a="1"/>
  <c r="E53" i="1" s="1"/>
  <c r="D53" i="1"/>
  <c r="I52" i="1"/>
  <c r="G52" i="1"/>
  <c r="E52" i="1" a="1"/>
  <c r="E52" i="1" s="1"/>
  <c r="D52" i="1"/>
  <c r="C52" i="1" a="1"/>
  <c r="C52" i="1" s="1"/>
  <c r="B52" i="1"/>
  <c r="I51" i="1"/>
  <c r="G51" i="1"/>
  <c r="E51" i="1" a="1"/>
  <c r="E51" i="1" s="1"/>
  <c r="D51" i="1"/>
  <c r="C51" i="1" a="1"/>
  <c r="C51" i="1" s="1"/>
  <c r="B51" i="1"/>
  <c r="D50" i="1"/>
  <c r="C50" i="1" a="1"/>
  <c r="C50" i="1"/>
  <c r="B50" i="1"/>
  <c r="D49" i="1"/>
  <c r="C49" i="1" a="1"/>
  <c r="C49" i="1" s="1"/>
  <c r="B49" i="1"/>
  <c r="D48" i="1"/>
  <c r="C48" i="1" a="1"/>
  <c r="C48" i="1"/>
  <c r="B48" i="1"/>
  <c r="E47" i="1" a="1"/>
  <c r="E47" i="1"/>
  <c r="D47" i="1"/>
  <c r="C47" i="1" a="1"/>
  <c r="C47" i="1" s="1"/>
  <c r="B47" i="1"/>
  <c r="G46" i="1"/>
  <c r="D46" i="1"/>
  <c r="C46" i="1" a="1"/>
  <c r="C46" i="1" s="1"/>
  <c r="B46" i="1"/>
  <c r="D45" i="1"/>
  <c r="C45" i="1" a="1"/>
  <c r="C45" i="1"/>
  <c r="B45" i="1"/>
  <c r="G44" i="1"/>
  <c r="E44" i="1" a="1"/>
  <c r="E44" i="1" s="1"/>
  <c r="D44" i="1"/>
  <c r="C44" i="1" a="1"/>
  <c r="C44" i="1"/>
  <c r="B44" i="1"/>
  <c r="G43" i="1"/>
  <c r="E43" i="1" a="1"/>
  <c r="E43" i="1" s="1"/>
  <c r="D43" i="1"/>
  <c r="C43" i="1" a="1"/>
  <c r="C43" i="1" s="1"/>
  <c r="B43" i="1"/>
  <c r="I42" i="1"/>
  <c r="G42" i="1"/>
  <c r="E42" i="1" a="1"/>
  <c r="E42" i="1" s="1"/>
  <c r="D42" i="1"/>
  <c r="C42" i="1" a="1"/>
  <c r="C42" i="1" s="1"/>
  <c r="B42" i="1"/>
  <c r="I41" i="1"/>
  <c r="G41" i="1"/>
  <c r="E41" i="1" a="1"/>
  <c r="E41" i="1" s="1"/>
  <c r="D41" i="1"/>
  <c r="C41" i="1" a="1"/>
  <c r="C41" i="1" s="1"/>
  <c r="B41" i="1"/>
  <c r="E40" i="1" a="1"/>
  <c r="E40" i="1" s="1"/>
  <c r="D40" i="1"/>
  <c r="C40" i="1" a="1"/>
  <c r="C40" i="1" s="1"/>
  <c r="B40" i="1"/>
  <c r="D39" i="1"/>
  <c r="C39" i="1" a="1"/>
  <c r="C39" i="1"/>
  <c r="B39" i="1"/>
  <c r="D38" i="1"/>
  <c r="C38" i="1" a="1"/>
  <c r="C38" i="1" s="1"/>
  <c r="B38" i="1"/>
  <c r="D37" i="1"/>
  <c r="C37" i="1" a="1"/>
  <c r="C37" i="1"/>
  <c r="B37" i="1"/>
  <c r="E36" i="1" a="1"/>
  <c r="E36" i="1" s="1"/>
  <c r="D36" i="1"/>
  <c r="C36" i="1" a="1"/>
  <c r="C36" i="1" s="1"/>
  <c r="B36" i="1"/>
  <c r="E35" i="1" a="1"/>
  <c r="E35" i="1" s="1"/>
  <c r="D35" i="1"/>
  <c r="C35" i="1" a="1"/>
  <c r="C35" i="1" s="1"/>
  <c r="B35" i="1"/>
  <c r="G34" i="1"/>
  <c r="E34" i="1" a="1"/>
  <c r="E34" i="1"/>
  <c r="D34" i="1"/>
  <c r="C34" i="1" a="1"/>
  <c r="C34" i="1" s="1"/>
  <c r="B34" i="1"/>
  <c r="G33" i="1"/>
  <c r="E33" i="1" a="1"/>
  <c r="E33" i="1"/>
  <c r="D33" i="1"/>
  <c r="C33" i="1" a="1"/>
  <c r="C33" i="1"/>
  <c r="B33" i="1"/>
  <c r="G32" i="1"/>
  <c r="D32" i="1"/>
  <c r="C32" i="1" a="1"/>
  <c r="C32" i="1"/>
  <c r="B32" i="1"/>
  <c r="G31" i="1"/>
  <c r="E31" i="1" a="1"/>
  <c r="E31" i="1" s="1"/>
  <c r="D31" i="1"/>
  <c r="C31" i="1" a="1"/>
  <c r="C31" i="1" s="1"/>
  <c r="B31" i="1"/>
  <c r="G30" i="1"/>
  <c r="D30" i="1"/>
  <c r="I29" i="1"/>
  <c r="G29" i="1"/>
  <c r="D29" i="1"/>
  <c r="I28" i="1"/>
  <c r="G28" i="1"/>
  <c r="D28" i="1"/>
  <c r="I27" i="1"/>
  <c r="G27" i="1"/>
  <c r="E27" i="1" a="1"/>
  <c r="E27" i="1" s="1"/>
  <c r="D27" i="1"/>
  <c r="C27" i="1" a="1"/>
  <c r="C27" i="1" s="1"/>
  <c r="B27" i="1"/>
  <c r="E26" i="1" a="1"/>
  <c r="E26" i="1" s="1"/>
  <c r="D26" i="1"/>
  <c r="C26" i="1" a="1"/>
  <c r="C26" i="1" s="1"/>
  <c r="B26" i="1"/>
  <c r="D25" i="1"/>
  <c r="C25" i="1" a="1"/>
  <c r="C25" i="1"/>
  <c r="B25" i="1"/>
  <c r="D24" i="1"/>
  <c r="C24" i="1" a="1"/>
  <c r="C24" i="1" s="1"/>
  <c r="B24" i="1"/>
  <c r="D23" i="1"/>
  <c r="C23" i="1" a="1"/>
  <c r="C23" i="1"/>
  <c r="B23" i="1"/>
  <c r="E22" i="1" a="1"/>
  <c r="E22" i="1" s="1"/>
  <c r="D22" i="1"/>
  <c r="C22" i="1" a="1"/>
  <c r="C22" i="1" s="1"/>
  <c r="B22" i="1"/>
  <c r="G21" i="1"/>
  <c r="E21" i="1" a="1"/>
  <c r="E21" i="1"/>
  <c r="D21" i="1"/>
  <c r="C21" i="1" a="1"/>
  <c r="C21" i="1"/>
  <c r="B21" i="1"/>
  <c r="G20" i="1"/>
  <c r="E20" i="1" a="1"/>
  <c r="E20" i="1" s="1"/>
  <c r="D20" i="1"/>
  <c r="C20" i="1" a="1"/>
  <c r="C20" i="1" s="1"/>
  <c r="B20" i="1"/>
  <c r="G19" i="1"/>
  <c r="E19" i="1" a="1"/>
  <c r="E19" i="1"/>
  <c r="D19" i="1"/>
  <c r="C19" i="1" a="1"/>
  <c r="C19" i="1" s="1"/>
  <c r="B19" i="1"/>
  <c r="G18" i="1"/>
  <c r="D18" i="1"/>
  <c r="C18" i="1" a="1"/>
  <c r="C18" i="1"/>
  <c r="B18" i="1"/>
  <c r="G17" i="1"/>
  <c r="E17" i="1" a="1"/>
  <c r="E17" i="1" s="1"/>
  <c r="D17" i="1"/>
  <c r="C17" i="1" a="1"/>
  <c r="C17" i="1"/>
  <c r="B17" i="1"/>
  <c r="G16" i="1"/>
  <c r="D16" i="1"/>
  <c r="I15" i="1"/>
  <c r="G15" i="1"/>
  <c r="D15" i="1"/>
  <c r="I14" i="1"/>
  <c r="G14" i="1"/>
  <c r="E14" i="1" a="1"/>
  <c r="E14" i="1" s="1"/>
  <c r="D14" i="1"/>
  <c r="C14" i="1" a="1"/>
  <c r="C14" i="1" s="1"/>
  <c r="B14" i="1"/>
  <c r="E13" i="1" a="1"/>
  <c r="E13" i="1"/>
  <c r="D13" i="1"/>
  <c r="C13" i="1" a="1"/>
  <c r="C13" i="1"/>
  <c r="B13" i="1"/>
  <c r="D12" i="1"/>
  <c r="C12" i="1" a="1"/>
  <c r="C12" i="1" s="1"/>
  <c r="B12" i="1"/>
  <c r="D11" i="1"/>
  <c r="C11" i="1" a="1"/>
  <c r="C11" i="1"/>
  <c r="B11" i="1"/>
  <c r="G10" i="1"/>
  <c r="D10" i="1"/>
  <c r="C10" i="1" a="1"/>
  <c r="C10" i="1"/>
  <c r="B10" i="1"/>
  <c r="G9" i="1"/>
  <c r="E9" i="1" a="1"/>
  <c r="E9" i="1" s="1"/>
  <c r="D9" i="1"/>
  <c r="C9" i="1" a="1"/>
  <c r="C9" i="1" s="1"/>
  <c r="B9" i="1"/>
  <c r="G8" i="1"/>
  <c r="E8" i="1" a="1"/>
  <c r="E8" i="1"/>
  <c r="D8" i="1"/>
  <c r="C8" i="1" a="1"/>
  <c r="C8" i="1"/>
  <c r="B8" i="1"/>
  <c r="G7" i="1"/>
  <c r="E7" i="1" a="1"/>
  <c r="E7" i="1" s="1"/>
  <c r="D7" i="1"/>
  <c r="C7" i="1" a="1"/>
  <c r="C7" i="1" s="1"/>
  <c r="B7" i="1"/>
  <c r="G6" i="1"/>
  <c r="E6" i="1" a="1"/>
  <c r="E6" i="1"/>
  <c r="D6" i="1"/>
  <c r="C6" i="1" a="1"/>
  <c r="C6" i="1" s="1"/>
  <c r="B6" i="1"/>
  <c r="G5" i="1"/>
  <c r="D5" i="1"/>
  <c r="C5" i="1" a="1"/>
  <c r="C5" i="1"/>
  <c r="B5" i="1"/>
  <c r="I4" i="1"/>
  <c r="G4" i="1"/>
  <c r="E4" i="1" a="1"/>
  <c r="E4" i="1"/>
  <c r="D4" i="1"/>
  <c r="C4" i="1" a="1"/>
  <c r="C4" i="1"/>
  <c r="B4" i="1"/>
  <c r="I3" i="1"/>
  <c r="G3" i="1"/>
  <c r="E3" i="1" a="1"/>
  <c r="E3" i="1"/>
  <c r="D3" i="1"/>
  <c r="C3" i="1" a="1"/>
  <c r="C3" i="1"/>
  <c r="B3" i="1"/>
  <c r="G1442" i="1" l="1"/>
  <c r="G1481" i="1"/>
  <c r="G1192" i="1"/>
  <c r="G1276" i="1"/>
  <c r="G1366" i="1"/>
  <c r="G716" i="1"/>
  <c r="G540" i="1"/>
  <c r="G349" i="1"/>
  <c r="G357" i="1"/>
  <c r="G548" i="1"/>
  <c r="G1469" i="1"/>
  <c r="G1428" i="1"/>
  <c r="G1415" i="1"/>
  <c r="G1285" i="1"/>
  <c r="G1150" i="1"/>
  <c r="G1485" i="1"/>
  <c r="G875" i="1"/>
  <c r="G856" i="1"/>
  <c r="G1519" i="1"/>
  <c r="G905" i="1"/>
  <c r="G895" i="1"/>
  <c r="G500" i="1"/>
  <c r="G441" i="1"/>
  <c r="G865" i="1"/>
  <c r="G594" i="1"/>
  <c r="G584" i="1"/>
  <c r="G508" i="1"/>
  <c r="G452" i="1"/>
  <c r="G45" i="1"/>
  <c r="G123" i="1"/>
  <c r="G55" i="1"/>
  <c r="G77" i="1"/>
  <c r="G1348" i="1"/>
  <c r="G1488" i="1"/>
  <c r="G1498" i="1"/>
  <c r="G1509" i="1"/>
  <c r="G1373" i="1"/>
  <c r="G1225" i="1"/>
  <c r="G1236" i="1"/>
  <c r="G1139" i="1"/>
  <c r="G1099" i="1"/>
  <c r="G1294" i="1"/>
  <c r="G1170" i="1"/>
  <c r="G1129" i="1"/>
  <c r="G1459" i="1"/>
  <c r="G1302" i="1"/>
  <c r="G1119" i="1"/>
  <c r="G1383" i="1"/>
  <c r="G1255" i="1"/>
  <c r="G1090" i="1"/>
  <c r="G737" i="1"/>
  <c r="G1449" i="1"/>
  <c r="G1395" i="1"/>
  <c r="G845" i="1"/>
  <c r="G920" i="1"/>
  <c r="G672" i="1"/>
  <c r="G837" i="1"/>
  <c r="G912" i="1"/>
  <c r="G810" i="1"/>
  <c r="G802" i="1"/>
  <c r="G1109" i="1"/>
  <c r="G571" i="1"/>
  <c r="G503" i="1"/>
  <c r="G663" i="1"/>
  <c r="G746" i="1"/>
  <c r="G553" i="1"/>
  <c r="G495" i="1"/>
  <c r="G562" i="1"/>
  <c r="G725" i="1"/>
  <c r="G1473" i="1"/>
  <c r="G1330" i="1"/>
  <c r="G1512" i="1"/>
  <c r="G1474" i="1"/>
  <c r="G1331" i="1"/>
  <c r="G1316" i="1"/>
  <c r="G1422" i="1"/>
  <c r="G1462" i="1"/>
  <c r="G1398" i="1"/>
  <c r="G1339" i="1"/>
  <c r="G1226" i="1"/>
  <c r="G1501" i="1"/>
  <c r="G1411" i="1"/>
  <c r="G1001" i="1"/>
  <c r="G1080" i="1"/>
  <c r="G1040" i="1"/>
  <c r="G1250" i="1"/>
  <c r="G1239" i="1"/>
  <c r="G970" i="1"/>
  <c r="G1043" i="1"/>
  <c r="G994" i="1"/>
  <c r="G1203" i="1"/>
  <c r="G983" i="1"/>
  <c r="G1006" i="1"/>
  <c r="I1336" i="1"/>
  <c r="I1188" i="1"/>
  <c r="I1416" i="1"/>
  <c r="I1200" i="1"/>
  <c r="I1438" i="1"/>
  <c r="I1318" i="1"/>
  <c r="I1067" i="1"/>
  <c r="I1310" i="1"/>
  <c r="I1272" i="1"/>
  <c r="I1497" i="1"/>
  <c r="I1419" i="1"/>
  <c r="I1337" i="1"/>
  <c r="I1301" i="1"/>
  <c r="I1507" i="1"/>
  <c r="I1429" i="1"/>
  <c r="I1471" i="1"/>
  <c r="I1457" i="1"/>
  <c r="I1394" i="1"/>
  <c r="I1381" i="1"/>
  <c r="I1233" i="1"/>
  <c r="I1168" i="1"/>
  <c r="I987" i="1"/>
  <c r="I1448" i="1"/>
  <c r="I1439" i="1"/>
  <c r="I1208" i="1"/>
  <c r="I1222" i="1"/>
  <c r="G1429" i="1"/>
  <c r="G1354" i="1"/>
  <c r="G1293" i="1"/>
  <c r="G1262" i="1"/>
  <c r="G1282" i="1"/>
  <c r="G1407" i="1"/>
  <c r="G1418" i="1"/>
  <c r="G1301" i="1"/>
  <c r="G1440" i="1"/>
  <c r="G1319" i="1"/>
  <c r="G1419" i="1"/>
  <c r="G1364" i="1"/>
  <c r="G1337" i="1"/>
  <c r="G1508" i="1"/>
  <c r="G1430" i="1"/>
  <c r="G1355" i="1"/>
  <c r="G1347" i="1"/>
  <c r="G1487" i="1"/>
  <c r="G1431" i="1"/>
  <c r="G1356" i="1"/>
  <c r="G1441" i="1"/>
  <c r="G1514" i="1"/>
  <c r="G1490" i="1"/>
  <c r="G1476" i="1"/>
  <c r="G1365" i="1"/>
  <c r="G1424" i="1"/>
  <c r="G1413" i="1"/>
  <c r="G1515" i="1"/>
  <c r="G1376" i="1"/>
  <c r="G1399" i="1"/>
  <c r="G1412" i="1"/>
  <c r="G1448" i="1"/>
  <c r="G1465" i="1"/>
  <c r="G1502" i="1"/>
  <c r="G1322" i="1"/>
  <c r="G1338" i="1"/>
  <c r="G1314" i="1"/>
  <c r="G1503" i="1"/>
  <c r="G1400" i="1"/>
  <c r="G1516" i="1"/>
  <c r="G1414" i="1"/>
  <c r="G1387" i="1"/>
  <c r="G1484" i="1"/>
  <c r="G1368" i="1"/>
  <c r="G1427" i="1"/>
  <c r="G1168" i="1"/>
  <c r="G1254" i="1"/>
  <c r="G1265" i="1"/>
  <c r="G1325" i="1"/>
  <c r="G1386" i="1"/>
  <c r="G1486" i="1"/>
  <c r="G1496" i="1"/>
  <c r="G1393" i="1"/>
  <c r="G1507" i="1"/>
  <c r="G1406" i="1"/>
  <c r="G1371" i="1"/>
  <c r="G1346" i="1"/>
  <c r="G1335" i="1"/>
  <c r="G1342" i="1"/>
  <c r="G1453" i="1"/>
  <c r="G1200" i="1"/>
  <c r="G1218" i="1"/>
  <c r="I1232" i="1"/>
  <c r="G1264" i="1"/>
  <c r="G1432" i="1"/>
  <c r="I1447" i="1"/>
  <c r="G1451" i="1"/>
  <c r="G1464" i="1"/>
  <c r="I1392" i="1"/>
  <c r="I1495" i="1"/>
  <c r="I1470" i="1"/>
  <c r="I1354" i="1"/>
  <c r="I1346" i="1"/>
  <c r="I1328" i="1"/>
  <c r="I1420" i="1"/>
  <c r="I1338" i="1"/>
  <c r="I1282" i="1"/>
  <c r="I1406" i="1"/>
  <c r="I1430" i="1"/>
  <c r="I1355" i="1"/>
  <c r="G1460" i="1"/>
  <c r="G1450" i="1"/>
  <c r="G1409" i="1"/>
  <c r="G1396" i="1"/>
  <c r="G1489" i="1"/>
  <c r="G1420" i="1"/>
  <c r="G1499" i="1"/>
  <c r="G1434" i="1"/>
  <c r="G1452" i="1"/>
  <c r="G1359" i="1"/>
  <c r="G1482" i="1"/>
  <c r="G1491" i="1"/>
  <c r="G1518" i="1"/>
  <c r="G1298" i="1"/>
  <c r="G1468" i="1"/>
  <c r="G1190" i="1"/>
  <c r="G1247" i="1"/>
  <c r="G1251" i="1"/>
  <c r="G1263" i="1"/>
  <c r="G1423" i="1"/>
  <c r="G1458" i="1"/>
  <c r="I1418" i="1"/>
  <c r="I1496" i="1"/>
  <c r="I1393" i="1"/>
  <c r="I1300" i="1"/>
  <c r="I1506" i="1"/>
  <c r="I1456" i="1"/>
  <c r="I1380" i="1"/>
  <c r="G1438" i="1"/>
  <c r="G1362" i="1"/>
  <c r="G1318" i="1"/>
  <c r="G1385" i="1"/>
  <c r="G1304" i="1"/>
  <c r="G1375" i="1"/>
  <c r="G1461" i="1"/>
  <c r="G1421" i="1"/>
  <c r="G1410" i="1"/>
  <c r="G1397" i="1"/>
  <c r="G1350" i="1"/>
  <c r="G1500" i="1"/>
</calcChain>
</file>

<file path=xl/sharedStrings.xml><?xml version="1.0" encoding="utf-8"?>
<sst xmlns="http://schemas.openxmlformats.org/spreadsheetml/2006/main" count="1247" uniqueCount="542">
  <si>
    <t>Pokemon</t>
  </si>
  <si>
    <t>Level-Up Learnset</t>
  </si>
  <si>
    <t>Level-Up Learnset (G/S)</t>
  </si>
  <si>
    <t>TM Compatibility</t>
  </si>
  <si>
    <t>HM Compatibility</t>
  </si>
  <si>
    <t>Notes</t>
  </si>
  <si>
    <t>Level</t>
  </si>
  <si>
    <t>Move</t>
  </si>
  <si>
    <t>#</t>
  </si>
  <si>
    <t>Bulbasaur</t>
  </si>
  <si>
    <t>The color legend is as follows:</t>
  </si>
  <si>
    <t>-Move was changed since the original move does not exist in this game.</t>
  </si>
  <si>
    <t>Leech Seed</t>
  </si>
  <si>
    <t>-Move was changed but the original move does exist in this game.</t>
  </si>
  <si>
    <t>-This entry from the original is missing in this game.</t>
  </si>
  <si>
    <t>-New entry added in for this game.</t>
  </si>
  <si>
    <t>-The level of this move has changed.</t>
  </si>
  <si>
    <t>Sweet Scent</t>
  </si>
  <si>
    <t>-This game generates movesets for wild Pokemon and trainer Pokemon differently from the original game. It uses the first move of their level-up learnsets (the "Level 0" move) and then generates three random moves from the same learnset, only using moves up to their current level. This might be why SNT has removed the duplicate moves as it's unnecessary.
--Weezing seems to be an interesting exception, except the duplicated moves use the same levels as the original.</t>
  </si>
  <si>
    <t>Growth</t>
  </si>
  <si>
    <t>Synthesis</t>
  </si>
  <si>
    <t>Ivysaur</t>
  </si>
  <si>
    <t>Growl</t>
  </si>
  <si>
    <t>Venusaur</t>
  </si>
  <si>
    <t>Vine Whip</t>
  </si>
  <si>
    <t>Charmander</t>
  </si>
  <si>
    <t>Rage</t>
  </si>
  <si>
    <t>Scary Face</t>
  </si>
  <si>
    <t>Slash</t>
  </si>
  <si>
    <t>Dragon Rage</t>
  </si>
  <si>
    <t>Fire Spin</t>
  </si>
  <si>
    <t>Charmeleon</t>
  </si>
  <si>
    <t>Charizard</t>
  </si>
  <si>
    <t>Squirtle</t>
  </si>
  <si>
    <t>Rapid Spin</t>
  </si>
  <si>
    <t>Protect</t>
  </si>
  <si>
    <t>Rain Dance</t>
  </si>
  <si>
    <t>Skull Bash</t>
  </si>
  <si>
    <t>Wartortle</t>
  </si>
  <si>
    <t>(yes, it lost strength)</t>
  </si>
  <si>
    <t>Blastoise</t>
  </si>
  <si>
    <t>Caterpie</t>
  </si>
  <si>
    <t>Metapod</t>
  </si>
  <si>
    <t>Butterfree</t>
  </si>
  <si>
    <t>Safeguard</t>
  </si>
  <si>
    <t>Weedle</t>
  </si>
  <si>
    <t>Kakuna</t>
  </si>
  <si>
    <t>Beedrill</t>
  </si>
  <si>
    <t>Fury Attack</t>
  </si>
  <si>
    <t>Focus Energy</t>
  </si>
  <si>
    <t>Pin Missile</t>
  </si>
  <si>
    <t>Pidgey</t>
  </si>
  <si>
    <t>Mirror Move</t>
  </si>
  <si>
    <t>Pidgeotto</t>
  </si>
  <si>
    <t>Pidgeot</t>
  </si>
  <si>
    <t>Rattata</t>
  </si>
  <si>
    <t>Pursuit</t>
  </si>
  <si>
    <t>The Giant Rat That 
Makes All of the Rules
(Raticate)</t>
  </si>
  <si>
    <t>Spearow</t>
  </si>
  <si>
    <t>Leer</t>
  </si>
  <si>
    <t>Fearow</t>
  </si>
  <si>
    <t>Ekans</t>
  </si>
  <si>
    <t>Glare</t>
  </si>
  <si>
    <t>Screech</t>
  </si>
  <si>
    <t>Haze</t>
  </si>
  <si>
    <t>Arbok</t>
  </si>
  <si>
    <t>LIGHTNING 
EMPEROR
-
RETURN OF
PIKACHU</t>
  </si>
  <si>
    <t>Slam</t>
  </si>
  <si>
    <t>Light Screen</t>
  </si>
  <si>
    <t>LIGHTNING
EMPEROR 2
-
RAICHU'S
ELECTRIC
BOOGALOO</t>
  </si>
  <si>
    <t>Sandshrew</t>
  </si>
  <si>
    <t>Fury Swipes</t>
  </si>
  <si>
    <t>Sandstorm</t>
  </si>
  <si>
    <t>Sandslash</t>
  </si>
  <si>
    <t>Nidoran♀</t>
  </si>
  <si>
    <t>Nidorina</t>
  </si>
  <si>
    <t>Nidoqueen</t>
  </si>
  <si>
    <t>Body Slam</t>
  </si>
  <si>
    <t>Nidoran♂</t>
  </si>
  <si>
    <t>Horn Drill</t>
  </si>
  <si>
    <t>Nidorino</t>
  </si>
  <si>
    <t>Nidoking</t>
  </si>
  <si>
    <t>Thrash</t>
  </si>
  <si>
    <t>Clefairy</t>
  </si>
  <si>
    <t>Pound</t>
  </si>
  <si>
    <t>DoubleSlap</t>
  </si>
  <si>
    <t>Minimize</t>
  </si>
  <si>
    <t>Metronome</t>
  </si>
  <si>
    <t>Moonlight</t>
  </si>
  <si>
    <t>Clefable</t>
  </si>
  <si>
    <t>Sing</t>
  </si>
  <si>
    <t>Vulpix</t>
  </si>
  <si>
    <t>Ninetales</t>
  </si>
  <si>
    <t>Jigglypuff</t>
  </si>
  <si>
    <t>Disable</t>
  </si>
  <si>
    <t>Rollout</t>
  </si>
  <si>
    <t>Wigglytuff</t>
  </si>
  <si>
    <t>&lt; - Typo?</t>
  </si>
  <si>
    <t>Zubat</t>
  </si>
  <si>
    <t>Mean Look</t>
  </si>
  <si>
    <t>Golbat</t>
  </si>
  <si>
    <t>Oddish</t>
  </si>
  <si>
    <t>Petal Dance</t>
  </si>
  <si>
    <t>Gloom</t>
  </si>
  <si>
    <t>Vileplume</t>
  </si>
  <si>
    <t>Paras</t>
  </si>
  <si>
    <t>Parasect</t>
  </si>
  <si>
    <t>Venonat</t>
  </si>
  <si>
    <t>Foresight</t>
  </si>
  <si>
    <t>Venomoth</t>
  </si>
  <si>
    <t>Diglett</t>
  </si>
  <si>
    <t>Magnitude</t>
  </si>
  <si>
    <t>Dugtrio</t>
  </si>
  <si>
    <t>Meowth</t>
  </si>
  <si>
    <t>Faint Attack</t>
  </si>
  <si>
    <t>Persian</t>
  </si>
  <si>
    <t>Psyduck</t>
  </si>
  <si>
    <t>Strength</t>
  </si>
  <si>
    <t>Psych Up</t>
  </si>
  <si>
    <t>Golduck</t>
  </si>
  <si>
    <t>Mankey</t>
  </si>
  <si>
    <t>Seismic Toss</t>
  </si>
  <si>
    <t>Primeape</t>
  </si>
  <si>
    <t>Growlithe</t>
  </si>
  <si>
    <t>Take Down</t>
  </si>
  <si>
    <t>Arcanine</t>
  </si>
  <si>
    <t>Poliwag</t>
  </si>
  <si>
    <t>Belly Drum</t>
  </si>
  <si>
    <t>Poliwhirl</t>
  </si>
  <si>
    <t>Poliwrath</t>
  </si>
  <si>
    <t>Submission</t>
  </si>
  <si>
    <t>Mind Reader</t>
  </si>
  <si>
    <t>Abra</t>
  </si>
  <si>
    <t>Kadabra</t>
  </si>
  <si>
    <t>Kinesis</t>
  </si>
  <si>
    <t>Reflect</t>
  </si>
  <si>
    <t>Alakazam</t>
  </si>
  <si>
    <t>Machop</t>
  </si>
  <si>
    <t>Vital Throw</t>
  </si>
  <si>
    <t>Machoke</t>
  </si>
  <si>
    <t>Machamp</t>
  </si>
  <si>
    <t>Bellsprout</t>
  </si>
  <si>
    <t>Wrap</t>
  </si>
  <si>
    <t>Weepinbell</t>
  </si>
  <si>
    <t>Victreebel</t>
  </si>
  <si>
    <t>Tentacool</t>
  </si>
  <si>
    <t>Constrict</t>
  </si>
  <si>
    <t>Barrier</t>
  </si>
  <si>
    <t>Hydro Pump</t>
  </si>
  <si>
    <t>Tentacruel</t>
  </si>
  <si>
    <t>Geodude</t>
  </si>
  <si>
    <t>Graveler</t>
  </si>
  <si>
    <t>Golem</t>
  </si>
  <si>
    <t>Ponyta</t>
  </si>
  <si>
    <t>Stomp</t>
  </si>
  <si>
    <t>Rapidash</t>
  </si>
  <si>
    <t>&lt; - Without TM27, you can't have a Rapidash with Fire Punch</t>
  </si>
  <si>
    <t>Slowpoke</t>
  </si>
  <si>
    <t>Curse</t>
  </si>
  <si>
    <t>Headbutt</t>
  </si>
  <si>
    <t>Amnesia</t>
  </si>
  <si>
    <t>Slowbro</t>
  </si>
  <si>
    <t>Magnemite</t>
  </si>
  <si>
    <t>Lock-On</t>
  </si>
  <si>
    <t>Magneton</t>
  </si>
  <si>
    <t>Swift</t>
  </si>
  <si>
    <r>
      <rPr>
        <b/>
        <sz val="10"/>
        <color theme="1"/>
        <rFont val="Arial"/>
      </rPr>
      <t>The Duck</t>
    </r>
    <r>
      <rPr>
        <sz val="10"/>
        <color theme="1"/>
        <rFont val="Arial"/>
      </rPr>
      <t xml:space="preserve">
(Farfetch'd)</t>
    </r>
  </si>
  <si>
    <t>Doduo</t>
  </si>
  <si>
    <t>Dodrio</t>
  </si>
  <si>
    <t>Seel 
- 
Kiss from a Roselia</t>
  </si>
  <si>
    <t>Dewgong</t>
  </si>
  <si>
    <t>Grimer</t>
  </si>
  <si>
    <t>Acid Armor</t>
  </si>
  <si>
    <t>Muk</t>
  </si>
  <si>
    <t>Shellder</t>
  </si>
  <si>
    <t>Cloyster</t>
  </si>
  <si>
    <t>Spike Cannon</t>
  </si>
  <si>
    <t>Gastly</t>
  </si>
  <si>
    <t>Spite</t>
  </si>
  <si>
    <t>Night Shade</t>
  </si>
  <si>
    <t>Destiny Bond</t>
  </si>
  <si>
    <t>Haunter</t>
  </si>
  <si>
    <t>Gengar</t>
  </si>
  <si>
    <t>&lt; - You can't have a Gengar that will know Will-o-Wisp. You will only see this from trainers.</t>
  </si>
  <si>
    <t>Onix</t>
  </si>
  <si>
    <t>Bind</t>
  </si>
  <si>
    <t>Harden</t>
  </si>
  <si>
    <t>Drowzee</t>
  </si>
  <si>
    <t>Poison Gas</t>
  </si>
  <si>
    <t>Meditate</t>
  </si>
  <si>
    <t>Hypno</t>
  </si>
  <si>
    <t>Krabby</t>
  </si>
  <si>
    <t>ViceGrip</t>
  </si>
  <si>
    <t>Kingler</t>
  </si>
  <si>
    <t>Voltorb</t>
  </si>
  <si>
    <t>Tackle</t>
  </si>
  <si>
    <t>Mirror Coat</t>
  </si>
  <si>
    <t>Electrode</t>
  </si>
  <si>
    <r>
      <rPr>
        <b/>
        <sz val="10"/>
        <color theme="1"/>
        <rFont val="Arial"/>
      </rPr>
      <t xml:space="preserve">The Egg
</t>
    </r>
    <r>
      <rPr>
        <sz val="10"/>
        <color theme="1"/>
        <rFont val="Arial"/>
      </rPr>
      <t>(Exeggcute)</t>
    </r>
  </si>
  <si>
    <t>Barrage</t>
  </si>
  <si>
    <t>Exeggutor</t>
  </si>
  <si>
    <t>Egg Bomb</t>
  </si>
  <si>
    <t>Cubone</t>
  </si>
  <si>
    <t>Marowak</t>
  </si>
  <si>
    <t>Hitmonlee</t>
  </si>
  <si>
    <t>Hi Jump Kick</t>
  </si>
  <si>
    <t>Endure</t>
  </si>
  <si>
    <t>Mega Kick</t>
  </si>
  <si>
    <t>Reversal</t>
  </si>
  <si>
    <t>Hitmonchan</t>
  </si>
  <si>
    <t>Comet Punch</t>
  </si>
  <si>
    <t>Mega Punch</t>
  </si>
  <si>
    <t>Detect</t>
  </si>
  <si>
    <t>Counter</t>
  </si>
  <si>
    <t>They call him Licker,
Licker,
faster than lightning,
No one you see,
is smarter than he,
And we know Licker,
lives in a world full of
wonder,
Flying there under,
under the sea!</t>
  </si>
  <si>
    <t>(Lickitung)</t>
  </si>
  <si>
    <t>Koffing</t>
  </si>
  <si>
    <t>Weezing</t>
  </si>
  <si>
    <t>Rhyhorn</t>
  </si>
  <si>
    <t>Rhydon</t>
  </si>
  <si>
    <t>Chansey</t>
  </si>
  <si>
    <t>Softboiled</t>
  </si>
  <si>
    <t>Defense Curl</t>
  </si>
  <si>
    <t>Tangela</t>
  </si>
  <si>
    <t>Mega Drain</t>
  </si>
  <si>
    <t>Kangaskhan</t>
  </si>
  <si>
    <t>Dizzy Punch</t>
  </si>
  <si>
    <t>Horsea</t>
  </si>
  <si>
    <t>SmokeScreen</t>
  </si>
  <si>
    <t>Seadra</t>
  </si>
  <si>
    <t>Goldeen</t>
  </si>
  <si>
    <t>Flail</t>
  </si>
  <si>
    <t>Waterfall</t>
  </si>
  <si>
    <t>Seaking</t>
  </si>
  <si>
    <t>Staryu</t>
  </si>
  <si>
    <t>Starmie</t>
  </si>
  <si>
    <t>Mr. Mime</t>
  </si>
  <si>
    <t>Substitute</t>
  </si>
  <si>
    <t>Double Slap</t>
  </si>
  <si>
    <t>Encore</t>
  </si>
  <si>
    <t>Baton Pass</t>
  </si>
  <si>
    <t>Scyther</t>
  </si>
  <si>
    <t>Wing Attack</t>
  </si>
  <si>
    <t>Jynx</t>
  </si>
  <si>
    <t>Perish Song</t>
  </si>
  <si>
    <t>Electabuzz</t>
  </si>
  <si>
    <t>Magmar</t>
  </si>
  <si>
    <t>Sunny Day</t>
  </si>
  <si>
    <t>Pinsir</t>
  </si>
  <si>
    <t>Tauros</t>
  </si>
  <si>
    <t>Magikarp</t>
  </si>
  <si>
    <t>Gyarados</t>
  </si>
  <si>
    <t>You can't have a Gyarados with Outrage. You will only see this from trainers.</t>
  </si>
  <si>
    <t>Lapras</t>
  </si>
  <si>
    <t>Mist</t>
  </si>
  <si>
    <t>Ditto</t>
  </si>
  <si>
    <t>Eevee</t>
  </si>
  <si>
    <t>Vaporeon</t>
  </si>
  <si>
    <t>Jolteon</t>
  </si>
  <si>
    <t>Flareon</t>
  </si>
  <si>
    <t>Porygon</t>
  </si>
  <si>
    <t>Conversion2</t>
  </si>
  <si>
    <t>Conversion</t>
  </si>
  <si>
    <t>Sharpen</t>
  </si>
  <si>
    <t>Omanyte</t>
  </si>
  <si>
    <t>Omastar</t>
  </si>
  <si>
    <t>Kabuto</t>
  </si>
  <si>
    <t>Kabutops</t>
  </si>
  <si>
    <t>Aerodactyl</t>
  </si>
  <si>
    <t>Snorlax</t>
  </si>
  <si>
    <t>Freezer Burnt Chicken
(Articuno)</t>
  </si>
  <si>
    <t>THUNDER WARLORD
-
RECKONING OF 
ZAPDOS</t>
  </si>
  <si>
    <t>Cinnabar Fried Chicken
(Moltres)</t>
  </si>
  <si>
    <t>Sky Attack</t>
  </si>
  <si>
    <t>Dratini</t>
  </si>
  <si>
    <t>Dragonair</t>
  </si>
  <si>
    <t>Dragonite</t>
  </si>
  <si>
    <t>Mewtwo</t>
  </si>
  <si>
    <t>Mew</t>
  </si>
  <si>
    <t>Raikou</t>
  </si>
  <si>
    <t>Entei</t>
  </si>
  <si>
    <t>Swagger</t>
  </si>
  <si>
    <t>Suicune</t>
  </si>
  <si>
    <t>Lugia</t>
  </si>
  <si>
    <t>Ho-Oh</t>
  </si>
  <si>
    <t>Kyogre
(Moveset is based on
Suicune's moveset)</t>
  </si>
  <si>
    <t>Groudon
(Moveset is based on
Dragonite's moveset)</t>
  </si>
  <si>
    <t>Rayquaza
(Moveset is based on
Lugia's moveset)</t>
  </si>
  <si>
    <t>Value</t>
  </si>
  <si>
    <t>Base Power</t>
  </si>
  <si>
    <t>Accuracy</t>
  </si>
  <si>
    <t>PP</t>
  </si>
  <si>
    <t>Type</t>
  </si>
  <si>
    <t>Effect</t>
  </si>
  <si>
    <t>Chance of Effect</t>
  </si>
  <si>
    <t>Ember</t>
  </si>
  <si>
    <t>Fire</t>
  </si>
  <si>
    <t>Flame Wheel</t>
  </si>
  <si>
    <t>Fire Punch</t>
  </si>
  <si>
    <t>Flamethrower</t>
  </si>
  <si>
    <t>Sacred Fire</t>
  </si>
  <si>
    <t>Can't be used to thaw yourself out of freeze.</t>
  </si>
  <si>
    <t>Fire Blast</t>
  </si>
  <si>
    <t>Eruption</t>
  </si>
  <si>
    <t>No longer scales based on HP. The PP was increased to 10 and the move now has a 10% chance to cause burn.</t>
  </si>
  <si>
    <t>Will-O-Wisp</t>
  </si>
  <si>
    <t>Bubble</t>
  </si>
  <si>
    <t>Water</t>
  </si>
  <si>
    <t>Water Gun</t>
  </si>
  <si>
    <t>Water Pulse</t>
  </si>
  <si>
    <t>Bubblebeam</t>
  </si>
  <si>
    <t>Octazooka</t>
  </si>
  <si>
    <t>Crabhammer</t>
  </si>
  <si>
    <t>Does not have the increased critical hit ratio.</t>
  </si>
  <si>
    <t>Surf</t>
  </si>
  <si>
    <t>Water Spout</t>
  </si>
  <si>
    <t>No longer scales based on HP. The PP was increased to 10 and the move now has a 10% chance to cause confusion.</t>
  </si>
  <si>
    <t>Clamp</t>
  </si>
  <si>
    <t>Does not have the trapping effect and is just a standard attack.</t>
  </si>
  <si>
    <t>Withdraw</t>
  </si>
  <si>
    <t>Thundershock</t>
  </si>
  <si>
    <t>Electric</t>
  </si>
  <si>
    <t>Shock Wave</t>
  </si>
  <si>
    <t>Has 100 accuracy and doesn't bypass accuracy checks.</t>
  </si>
  <si>
    <t>Spark</t>
  </si>
  <si>
    <t>Thunder Punch</t>
  </si>
  <si>
    <t>Thunderbolt</t>
  </si>
  <si>
    <t>Zap Cannon</t>
  </si>
  <si>
    <t>Volt Tackle</t>
  </si>
  <si>
    <t>Thunder</t>
  </si>
  <si>
    <t>Accuracy was buffed from 70 to 80.</t>
  </si>
  <si>
    <t>Thunder Wave</t>
  </si>
  <si>
    <t>Absorb</t>
  </si>
  <si>
    <t>Grass</t>
  </si>
  <si>
    <t>Giga Drain</t>
  </si>
  <si>
    <t>Razor Leaf</t>
  </si>
  <si>
    <t>Magical Leaf</t>
  </si>
  <si>
    <t>Leaf Blade</t>
  </si>
  <si>
    <t>SolarBeam</t>
  </si>
  <si>
    <t>Two Turn (Solar Beam)</t>
  </si>
  <si>
    <t>Frenzy Plant</t>
  </si>
  <si>
    <t>Grasswhistle</t>
  </si>
  <si>
    <t>Sleep Powder</t>
  </si>
  <si>
    <t>Spore</t>
  </si>
  <si>
    <t>Stun Spore</t>
  </si>
  <si>
    <t>PP was decreased from 30 to 15.</t>
  </si>
  <si>
    <t>Power Snow</t>
  </si>
  <si>
    <t>Ice</t>
  </si>
  <si>
    <t>Icy Wind</t>
  </si>
  <si>
    <t>Aurora Beam</t>
  </si>
  <si>
    <t>Ice Punch</t>
  </si>
  <si>
    <t>Ice Beam</t>
  </si>
  <si>
    <t>Blizzard</t>
  </si>
  <si>
    <t>Sheer Cold</t>
  </si>
  <si>
    <t>Mud Slap</t>
  </si>
  <si>
    <t>Ground</t>
  </si>
  <si>
    <t>Mud Shot</t>
  </si>
  <si>
    <t>Dig</t>
  </si>
  <si>
    <t>Two Turn (Dig)</t>
  </si>
  <si>
    <t>Acts as a two-turn without any other mechanics. This uses a unique Two Turn effect value compared to Solar Beam but there doesn't seem to be any differences.</t>
  </si>
  <si>
    <t>Bone Club</t>
  </si>
  <si>
    <t>Earthquake</t>
  </si>
  <si>
    <t>Bonemerang</t>
  </si>
  <si>
    <t>Not a multi-hit move, so the damage has been condensed into one hit.</t>
  </si>
  <si>
    <t>Fissure</t>
  </si>
  <si>
    <t>Sand Attack</t>
  </si>
  <si>
    <t>PP has been increaesd to 30.</t>
  </si>
  <si>
    <t>Rock Throw</t>
  </si>
  <si>
    <t>Rock</t>
  </si>
  <si>
    <t>Rock Tomb</t>
  </si>
  <si>
    <t>AncientPower</t>
  </si>
  <si>
    <t>Only boosts Attack and not the rest of the stats.</t>
  </si>
  <si>
    <t>Rock Slide</t>
  </si>
  <si>
    <t>Leech Life</t>
  </si>
  <si>
    <t>Bug</t>
  </si>
  <si>
    <t>Twineedle</t>
  </si>
  <si>
    <t>Silver Wind</t>
  </si>
  <si>
    <t>Signal Beam</t>
  </si>
  <si>
    <t>Megahorn</t>
  </si>
  <si>
    <t>Tail Glow</t>
  </si>
  <si>
    <t>String Shot</t>
  </si>
  <si>
    <t>Poison Sting</t>
  </si>
  <si>
    <t>Poison</t>
  </si>
  <si>
    <t>Smog</t>
  </si>
  <si>
    <t>Acid</t>
  </si>
  <si>
    <t>Poison Tail</t>
  </si>
  <si>
    <t>Poison Fang</t>
  </si>
  <si>
    <t>Sludge</t>
  </si>
  <si>
    <t>Sludge Bomb</t>
  </si>
  <si>
    <t>PoisonPowder</t>
  </si>
  <si>
    <t>Toxic</t>
  </si>
  <si>
    <t>Rock Smash</t>
  </si>
  <si>
    <t>Fighting</t>
  </si>
  <si>
    <t>Mach Punch</t>
  </si>
  <si>
    <t>Does not have the increased priority.</t>
  </si>
  <si>
    <t>Karate Chop</t>
  </si>
  <si>
    <t>Low Kick</t>
  </si>
  <si>
    <t>Based on the Gen I version of Low Kick.</t>
  </si>
  <si>
    <t>Double Kick</t>
  </si>
  <si>
    <t>Rolling Kick</t>
  </si>
  <si>
    <t>Now a two-turn move with no effect on priority.</t>
  </si>
  <si>
    <t>Jump Kick</t>
  </si>
  <si>
    <t>Does not cause self-damage on miss.</t>
  </si>
  <si>
    <t>Brick Break</t>
  </si>
  <si>
    <t>Has no additional effect, as neither Reflect or Light Screen exist in this game.</t>
  </si>
  <si>
    <t>Sky Uppercut</t>
  </si>
  <si>
    <t>Cross Chop</t>
  </si>
  <si>
    <t>DynamicPunch</t>
  </si>
  <si>
    <t>Superpower</t>
  </si>
  <si>
    <t>Focus Punch</t>
  </si>
  <si>
    <t>Two Turn (Focus Punch)</t>
  </si>
  <si>
    <t xml:space="preserve">Acts as a two-turn without any other mechanics. This uses a unique Two Turn effect value compared to Solar Beam but there doesn't seem to be any differences. </t>
  </si>
  <si>
    <t>Peck</t>
  </si>
  <si>
    <t>Flying</t>
  </si>
  <si>
    <t>Gust</t>
  </si>
  <si>
    <t>Air Cutter</t>
  </si>
  <si>
    <t>Aerial Ace</t>
  </si>
  <si>
    <t>Fly</t>
  </si>
  <si>
    <t>Two Turn (Fly)</t>
  </si>
  <si>
    <t>Drill Peck</t>
  </si>
  <si>
    <t>Bounce</t>
  </si>
  <si>
    <t>Two Turn (Bounce)</t>
  </si>
  <si>
    <t>Lacks the invulnerability on the first turn. Still has a 30% chance to paralyze.</t>
  </si>
  <si>
    <t>Aeroblast</t>
  </si>
  <si>
    <t>Two Turn (Sky Attack)</t>
  </si>
  <si>
    <t>Does not have the increased critical hit ratio. Has a 30% chance to flinch.</t>
  </si>
  <si>
    <t>Confusion</t>
  </si>
  <si>
    <t>Psychic</t>
  </si>
  <si>
    <t>Psybeam</t>
  </si>
  <si>
    <t>Mist Ball</t>
  </si>
  <si>
    <t>Extrasensory</t>
  </si>
  <si>
    <t>Future Sight</t>
  </si>
  <si>
    <t>Hits on 2nd turn. The first turn can "miss" and thus, the 2nd attack won't be prompted.</t>
  </si>
  <si>
    <t>Dream Eater</t>
  </si>
  <si>
    <t>Only on Sleeping Pokemon</t>
  </si>
  <si>
    <t>Causes an HP Drain effect on success like the original games.</t>
  </si>
  <si>
    <t>Psycho Boost</t>
  </si>
  <si>
    <t>Lacks the Special Attack drop that occurs after using it.</t>
  </si>
  <si>
    <t>Hypnosis</t>
  </si>
  <si>
    <t>Rest</t>
  </si>
  <si>
    <t>Sleep only lasts for one turn before waking up.</t>
  </si>
  <si>
    <t>Teleport</t>
  </si>
  <si>
    <t>Calm Mind</t>
  </si>
  <si>
    <t>Agility</t>
  </si>
  <si>
    <t>Lick</t>
  </si>
  <si>
    <t>Ghost</t>
  </si>
  <si>
    <t>Astonish</t>
  </si>
  <si>
    <t>Shadow Punch</t>
  </si>
  <si>
    <t>Shadow Ball</t>
  </si>
  <si>
    <t>Sharply lowers the opponent's Defense with a 30% chance instead of just lowering the opponent's Special Defense at a 20% chance.</t>
  </si>
  <si>
    <t>Nightmare</t>
  </si>
  <si>
    <t>Nightmare is now an 80 base power attack that works when the opponent is asleep.</t>
  </si>
  <si>
    <t>Confuse Ray</t>
  </si>
  <si>
    <t>Twister</t>
  </si>
  <si>
    <t>Dragon</t>
  </si>
  <si>
    <t>Has 40 base power instead of dealing exactly 40 HP in damage. This also means it does not ignore types.</t>
  </si>
  <si>
    <t>DragonBreath</t>
  </si>
  <si>
    <t>Dragon Claw</t>
  </si>
  <si>
    <t>Outrage</t>
  </si>
  <si>
    <t>Makes the user keep repeating the move every turn whether or not it hits or misses.</t>
  </si>
  <si>
    <t>Dragon Dance</t>
  </si>
  <si>
    <t>Knock Off</t>
  </si>
  <si>
    <t>Dark</t>
  </si>
  <si>
    <t>No additional effect due to hold items not existing.</t>
  </si>
  <si>
    <t>Does not deal double damage on switches.</t>
  </si>
  <si>
    <t>Bite</t>
  </si>
  <si>
    <t>Crunch</t>
  </si>
  <si>
    <t>Sharply lowers defense instead of Special Defense.</t>
  </si>
  <si>
    <t>Metal Claw</t>
  </si>
  <si>
    <t>Steel</t>
  </si>
  <si>
    <t>Steel Wing</t>
  </si>
  <si>
    <t>Iron Tail</t>
  </si>
  <si>
    <t>Meteor Mash</t>
  </si>
  <si>
    <t>Iron Defense</t>
  </si>
  <si>
    <t>Splash</t>
  </si>
  <si>
    <t>Normal</t>
  </si>
  <si>
    <t>SonicBoom</t>
  </si>
  <si>
    <t>Has 40 base power instead of dealing exactly 20 HP in damage. This also means it does not ignore types.</t>
  </si>
  <si>
    <t>False Swipe</t>
  </si>
  <si>
    <t>Scratch</t>
  </si>
  <si>
    <t>Quick Attack</t>
  </si>
  <si>
    <t>Pay Day</t>
  </si>
  <si>
    <t>Works compeltely different. Every time this move hits, it adds one to a multiplier of the trainer's winnings. Effect will not apply on the last hit of a trainer's last Pokemon.</t>
  </si>
  <si>
    <t>Snore</t>
  </si>
  <si>
    <t>User can access their attacks when they're asleep, although they're only allowed to use Snore. Snore can be used when awake and it has a 100% chance of flincing the opponent.</t>
  </si>
  <si>
    <t>Cut</t>
  </si>
  <si>
    <t>Horn Attack</t>
  </si>
  <si>
    <t>Crush Claw</t>
  </si>
  <si>
    <t>PP was increased to 100 and the accuracy was increased to 100.</t>
  </si>
  <si>
    <t>Secret Power</t>
  </si>
  <si>
    <t>Lacks any of the unique mechanics of the original move.</t>
  </si>
  <si>
    <t>Hyper Fang</t>
  </si>
  <si>
    <t>Tri Attack</t>
  </si>
  <si>
    <t>Double-Edge</t>
  </si>
  <si>
    <t>Recoil</t>
  </si>
  <si>
    <t>Hyper Beam</t>
  </si>
  <si>
    <t>Selfdestruct</t>
  </si>
  <si>
    <t>Self-Faint</t>
  </si>
  <si>
    <t>Does not use half of the opponent's defense for damage calculations.</t>
  </si>
  <si>
    <t>Explosion</t>
  </si>
  <si>
    <t>Is now a 255 base power attack with an OHKO effect.</t>
  </si>
  <si>
    <t>Guillotine</t>
  </si>
  <si>
    <t>Is now a 255 base power attack with an OHKO effect</t>
  </si>
  <si>
    <t>Lovely Kiss</t>
  </si>
  <si>
    <t>Supersonic</t>
  </si>
  <si>
    <t>Sword Dance</t>
  </si>
  <si>
    <t>Accuracy was decreased to 95.</t>
  </si>
  <si>
    <t>Charm</t>
  </si>
  <si>
    <t>Tail Whip</t>
  </si>
  <si>
    <t>Tickle</t>
  </si>
  <si>
    <t>Flash</t>
  </si>
  <si>
    <t>Double Team</t>
  </si>
  <si>
    <t>Evasion boosts/drops don't exist here so this move lowers the opponent's accuracy instead</t>
  </si>
  <si>
    <t>Recover</t>
  </si>
  <si>
    <t>The game still performs the type check against the opponent when using this move. As a result, ghosts are "immune" to recover and thus cause it to fail for the user</t>
  </si>
  <si>
    <t>Lasts 2-6 turns. (Not counting the move Encore is used on.) Only works on the move that was performed within that same turn.</t>
  </si>
  <si>
    <t>Roar</t>
  </si>
  <si>
    <t>Let's you escape wild Pokemon but has no effect in trainer battles.</t>
  </si>
  <si>
    <t>Whirlwind</t>
  </si>
  <si>
    <t>Transform</t>
  </si>
  <si>
    <t>Appears to do nothing in battle, no message is displayed.</t>
  </si>
  <si>
    <t>Obviously not a ??? type. Only performs the ghost version of the move.</t>
  </si>
  <si>
    <r>
      <rPr>
        <b/>
        <sz val="10"/>
        <color theme="1"/>
        <rFont val="Arial"/>
      </rPr>
      <t xml:space="preserve">Additional notes regarding moves:
</t>
    </r>
    <r>
      <rPr>
        <sz val="10"/>
        <color theme="1"/>
        <rFont val="Arial"/>
      </rPr>
      <t>-All moves perform a type check against the opponent regardless if they even directly affect the opponent. While this has no effect if a move would be "resisted", this can cause moves to fail if the opponent has an immunity to the type. (EX: Using Recover when fighting a Ghost Pokemon will cause it to fail, as Recover is a Normal type move.)</t>
    </r>
    <r>
      <rPr>
        <b/>
        <sz val="10"/>
        <color theme="1"/>
        <rFont val="Arial"/>
      </rPr>
      <t xml:space="preserve">
</t>
    </r>
    <r>
      <rPr>
        <sz val="10"/>
        <color theme="1"/>
        <rFont val="Arial"/>
      </rPr>
      <t>-Freeze and Flinch don't appear to have any notable effects.</t>
    </r>
    <r>
      <rPr>
        <b/>
        <sz val="10"/>
        <color theme="1"/>
        <rFont val="Arial"/>
      </rPr>
      <t xml:space="preserve">
</t>
    </r>
    <r>
      <rPr>
        <sz val="10"/>
        <color theme="1"/>
        <rFont val="Arial"/>
      </rPr>
      <t>--Flinch seems to stick to a opponent as you're unable to "re-flinch" a flinched opponent.
-There's numerous two-turn effect values in the game. SolarBeam is the first of these types of moves while Dig, Focus Punch, Fly, Bounce, Sky Attack all have their unique two-turn values.
--Bounce and Sky Attack actually differ from Solar Beam, causing a chance of paralysis and flinch respectively on a successful hit.
--Dig, Focus Punch and Fly don't appear to have any unique qualities. This may imply these moves were intended to have different properties and were perhaps planned to be closer to the original games.
--Vital Throw uses the effect same value as SolarBeam. This seems like it was intended to be a two-turn move to mimic the negative priority it had in the original games.
-Recharge moves have a glitch similar to how they work in Gen 1: If you finish off an opponent with this move, your recharge turn will be skipped.
-For some reason, Guillotine and Horn Drill have a base power of 255 unlike Sheer Cold and Fissure. These attacks will deal damage first and then apply an OHKO effect. It's unknown as to why these moves are coded like this.
-Badly Poisoned is either bugged or poorly implemented, as it only does 1 damage every turn.
-Dream Eater and Nightmare use the same effect value (Only Works on Sleeping Pokemon), however Dream Eater activates an HP Drain effect on success. Either the effect or a separate routine detects which move is used to apply the HP Drain effect.
-If your opponent faints from the use of self-faint or recoil moves, the player is not rewarded EXP. Recoil moves also don't reward the player EXP if their Pokemon finishes off the other Pokemon with a recoil move.
-Transform uses a unique effect value for itself despite having no effect. It seems like this move was intended to do something (perhaps acting closer to how the move originally did) but is either bugged or unfinished.</t>
    </r>
  </si>
  <si>
    <t>HMs</t>
  </si>
  <si>
    <t>Value?</t>
  </si>
  <si>
    <t>TMs</t>
  </si>
  <si>
    <t>Name</t>
  </si>
  <si>
    <t>HP</t>
  </si>
  <si>
    <t>Attack</t>
  </si>
  <si>
    <t>Defense</t>
  </si>
  <si>
    <t>Special Attack</t>
  </si>
  <si>
    <t>Special Defense</t>
  </si>
  <si>
    <t>Speed</t>
  </si>
  <si>
    <t>Type 1</t>
  </si>
  <si>
    <t>Type 2</t>
  </si>
  <si>
    <t>Base EXP</t>
  </si>
  <si>
    <t>Unknown</t>
  </si>
  <si>
    <t>Value (Hex)</t>
  </si>
  <si>
    <t>Attribute</t>
  </si>
  <si>
    <t>Special</t>
  </si>
  <si>
    <t>Physical</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</si>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</sst>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
  </numFmts>
  <fonts count="6" x14ac:knownFonts="1">
    <font>
      <sz val="10"/>
      <color rgb="FF000000"/>
      <name val="Arial"/>
      <scheme val="minor"/>
    </font>
    <font>
      <b/>
      <sz val="10"/>
      <color theme="1"/>
      <name val="Arial"/>
      <scheme val="minor"/>
    </font>
    <font>
      <sz val="10"/>
      <name val="Arial"/>
    </font>
    <font>
      <sz val="10"/>
      <color theme="1"/>
      <name val="Arial"/>
      <scheme val="minor"/>
    </font>
    <font>
      <sz val="10"/>
      <color theme="1"/>
      <name val="Arial"/>
    </font>
    <font>
      <b/>
      <sz val="10"/>
      <color theme="1"/>
      <name val="Arial"/>
    </font>
  </fonts>
  <fills count="10">
    <fill>
      <patternFill patternType="none"/>
    </fill>
    <fill>
      <patternFill patternType="gray125"/>
    </fill>
    <fill>
      <patternFill patternType="solid">
        <fgColor rgb="FFE4E594"/>
        <bgColor rgb="FFE4E594"/>
      </patternFill>
    </fill>
    <fill>
      <patternFill patternType="solid">
        <fgColor rgb="FFEA9E22"/>
        <bgColor rgb="FFEA9E22"/>
      </patternFill>
    </fill>
    <fill>
      <patternFill patternType="solid">
        <fgColor rgb="FFF7D8A5"/>
        <bgColor rgb="FFF7D8A5"/>
      </patternFill>
    </fill>
    <fill>
      <patternFill patternType="solid">
        <fgColor rgb="FFFF8170"/>
        <bgColor rgb="FFFF8170"/>
      </patternFill>
    </fill>
    <fill>
      <patternFill patternType="solid">
        <fgColor rgb="FF88D800"/>
        <bgColor rgb="FF88D800"/>
      </patternFill>
    </fill>
    <fill>
      <patternFill patternType="solid">
        <fgColor rgb="FFD3D2FF"/>
        <bgColor rgb="FFD3D2FF"/>
      </patternFill>
    </fill>
    <fill>
      <patternFill patternType="solid">
        <fgColor rgb="FFFFFFFF"/>
        <bgColor rgb="FFFFFFFF"/>
      </patternFill>
    </fill>
    <fill>
      <patternFill patternType="solid">
        <fgColor theme="0"/>
        <bgColor theme="0"/>
      </patternFill>
    </fill>
  </fills>
  <borders count="10">
    <border>
      <left/>
      <right/>
      <top/>
      <bottom/>
      <diagonal/>
    </border>
    <border>
      <left/>
      <right style="thick">
        <color rgb="FF000000"/>
      </right>
      <top/>
      <bottom/>
      <diagonal/>
    </border>
    <border>
      <left style="thick">
        <color rgb="FF000000"/>
      </left>
      <right/>
      <top/>
      <bottom/>
      <diagonal/>
    </border>
    <border>
      <left/>
      <right/>
      <top/>
      <bottom style="thick">
        <color rgb="FF000000"/>
      </bottom>
      <diagonal/>
    </border>
    <border>
      <left/>
      <right style="thick">
        <color rgb="FF000000"/>
      </right>
      <top style="thick">
        <color rgb="FF000000"/>
      </top>
      <bottom/>
      <diagonal/>
    </border>
    <border>
      <left/>
      <right/>
      <top style="thick">
        <color rgb="FF000000"/>
      </top>
      <bottom/>
      <diagonal/>
    </border>
    <border>
      <left style="thick">
        <color rgb="FF000000"/>
      </left>
      <right/>
      <top style="thick">
        <color rgb="FF000000"/>
      </top>
      <bottom/>
      <diagonal/>
    </border>
    <border>
      <left style="thick">
        <color rgb="FF000000"/>
      </left>
      <right/>
      <top style="thin">
        <color rgb="FF000000"/>
      </top>
      <bottom/>
      <diagonal/>
    </border>
    <border>
      <left style="thick">
        <color rgb="FF000000"/>
      </left>
      <right/>
      <top/>
      <bottom style="thick">
        <color rgb="FF000000"/>
      </bottom>
      <diagonal/>
    </border>
    <border>
      <left/>
      <right style="thick">
        <color rgb="FF000000"/>
      </right>
      <top/>
      <bottom style="thick">
        <color rgb="FF000000"/>
      </bottom>
      <diagonal/>
    </border>
  </borders>
  <cellStyleXfs count="1">
    <xf numFmtId="0" fontId="0" fillId="0" borderId="0"/>
  </cellStyleXfs>
  <cellXfs count="130">
    <xf numFmtId="0" fontId="0" fillId="0" borderId="0" xfId="0"/>
    <xf numFmtId="0" fontId="1" fillId="2" borderId="0" xfId="0" applyFont="1" applyFill="1" applyAlignment="1">
      <alignment horizontal="center"/>
    </xf>
    <xf numFmtId="0" fontId="1" fillId="2" borderId="2" xfId="0" applyFont="1" applyFill="1" applyBorder="1" applyAlignment="1">
      <alignment horizontal="center"/>
    </xf>
    <xf numFmtId="164" fontId="1" fillId="2" borderId="0" xfId="0" applyNumberFormat="1" applyFont="1" applyFill="1" applyAlignment="1">
      <alignment horizontal="center"/>
    </xf>
    <xf numFmtId="0" fontId="1" fillId="2" borderId="1" xfId="0" applyFont="1" applyFill="1" applyBorder="1" applyAlignment="1">
      <alignment horizontal="center"/>
    </xf>
    <xf numFmtId="164" fontId="1" fillId="2" borderId="3" xfId="0" applyNumberFormat="1" applyFont="1" applyFill="1" applyBorder="1" applyAlignment="1">
      <alignment horizontal="center"/>
    </xf>
    <xf numFmtId="0" fontId="3" fillId="2" borderId="2" xfId="0" applyFont="1" applyFill="1" applyBorder="1" applyAlignment="1">
      <alignment horizontal="center"/>
    </xf>
    <xf numFmtId="0" fontId="3" fillId="0" borderId="5" xfId="0" applyFont="1" applyBorder="1" applyAlignment="1">
      <alignment horizontal="center"/>
    </xf>
    <xf numFmtId="0" fontId="4" fillId="0" borderId="4" xfId="0" applyFont="1" applyBorder="1" applyAlignment="1">
      <alignment horizontal="left"/>
    </xf>
    <xf numFmtId="0" fontId="4" fillId="0" borderId="6" xfId="0" applyFont="1" applyBorder="1" applyAlignment="1">
      <alignment horizontal="center"/>
    </xf>
    <xf numFmtId="0" fontId="4" fillId="0" borderId="5" xfId="0" applyFont="1" applyBorder="1" applyAlignment="1">
      <alignment horizontal="left"/>
    </xf>
    <xf numFmtId="164" fontId="3" fillId="0" borderId="2" xfId="0" applyNumberFormat="1" applyFont="1" applyBorder="1" applyAlignment="1">
      <alignment horizontal="center"/>
    </xf>
    <xf numFmtId="0" fontId="3" fillId="0" borderId="5" xfId="0" applyFont="1" applyBorder="1"/>
    <xf numFmtId="164" fontId="3" fillId="0" borderId="5" xfId="0" applyNumberFormat="1" applyFont="1" applyBorder="1" applyAlignment="1">
      <alignment horizontal="center"/>
    </xf>
    <xf numFmtId="0" fontId="3" fillId="0" borderId="4" xfId="0" applyFont="1" applyBorder="1"/>
    <xf numFmtId="0" fontId="3" fillId="2" borderId="7" xfId="0" applyFont="1" applyFill="1" applyBorder="1"/>
    <xf numFmtId="0" fontId="3" fillId="0" borderId="0" xfId="0" applyFont="1" applyAlignment="1">
      <alignment horizontal="center"/>
    </xf>
    <xf numFmtId="0" fontId="3" fillId="0" borderId="1" xfId="0" applyFont="1" applyBorder="1" applyAlignment="1">
      <alignment horizontal="left"/>
    </xf>
    <xf numFmtId="0" fontId="4" fillId="0" borderId="2" xfId="0" applyFont="1" applyBorder="1" applyAlignment="1">
      <alignment horizontal="center"/>
    </xf>
    <xf numFmtId="0" fontId="4" fillId="0" borderId="0" xfId="0" applyFont="1" applyAlignment="1">
      <alignment horizontal="left"/>
    </xf>
    <xf numFmtId="0" fontId="3" fillId="0" borderId="0" xfId="0" applyFont="1"/>
    <xf numFmtId="164" fontId="3" fillId="0" borderId="0" xfId="0" applyNumberFormat="1" applyFont="1" applyAlignment="1">
      <alignment horizontal="center"/>
    </xf>
    <xf numFmtId="0" fontId="4" fillId="3" borderId="2" xfId="0" applyFont="1" applyFill="1" applyBorder="1"/>
    <xf numFmtId="0" fontId="3" fillId="3" borderId="1" xfId="0" applyFont="1" applyFill="1" applyBorder="1" applyAlignment="1">
      <alignment horizontal="left"/>
    </xf>
    <xf numFmtId="0" fontId="4" fillId="3" borderId="0" xfId="0" applyFont="1" applyFill="1" applyAlignment="1">
      <alignment horizontal="left"/>
    </xf>
    <xf numFmtId="0" fontId="3" fillId="0" borderId="1" xfId="0" applyFont="1" applyBorder="1"/>
    <xf numFmtId="0" fontId="4" fillId="4" borderId="2" xfId="0" applyFont="1" applyFill="1" applyBorder="1"/>
    <xf numFmtId="0" fontId="4" fillId="5" borderId="2" xfId="0" applyFont="1" applyFill="1" applyBorder="1"/>
    <xf numFmtId="0" fontId="4" fillId="6" borderId="2" xfId="0" applyFont="1" applyFill="1" applyBorder="1"/>
    <xf numFmtId="0" fontId="4" fillId="7" borderId="2" xfId="0" applyFont="1" applyFill="1" applyBorder="1"/>
    <xf numFmtId="0" fontId="3" fillId="2" borderId="2" xfId="0" applyFont="1" applyFill="1" applyBorder="1"/>
    <xf numFmtId="164" fontId="3" fillId="0" borderId="8" xfId="0" applyNumberFormat="1" applyFont="1" applyBorder="1" applyAlignment="1">
      <alignment horizontal="center"/>
    </xf>
    <xf numFmtId="0" fontId="3" fillId="0" borderId="3" xfId="0" applyFont="1" applyBorder="1"/>
    <xf numFmtId="0" fontId="3" fillId="0" borderId="4" xfId="0" applyFont="1" applyBorder="1" applyAlignment="1">
      <alignment horizontal="left"/>
    </xf>
    <xf numFmtId="0" fontId="3" fillId="5" borderId="0" xfId="0" applyFont="1" applyFill="1" applyAlignment="1">
      <alignment horizontal="center"/>
    </xf>
    <xf numFmtId="0" fontId="3" fillId="5" borderId="1" xfId="0" applyFont="1" applyFill="1" applyBorder="1" applyAlignment="1">
      <alignment horizontal="left"/>
    </xf>
    <xf numFmtId="0" fontId="4" fillId="5" borderId="2" xfId="0" applyFont="1" applyFill="1" applyBorder="1" applyAlignment="1">
      <alignment horizontal="center"/>
    </xf>
    <xf numFmtId="0" fontId="4" fillId="5" borderId="1" xfId="0" applyFont="1" applyFill="1" applyBorder="1" applyAlignment="1">
      <alignment horizontal="left"/>
    </xf>
    <xf numFmtId="0" fontId="4" fillId="0" borderId="1" xfId="0" applyFont="1" applyBorder="1" applyAlignment="1">
      <alignment horizontal="left"/>
    </xf>
    <xf numFmtId="0" fontId="4" fillId="3" borderId="1" xfId="0" applyFont="1" applyFill="1" applyBorder="1" applyAlignment="1">
      <alignment horizontal="left"/>
    </xf>
    <xf numFmtId="0" fontId="3" fillId="0" borderId="2" xfId="0" applyFont="1" applyBorder="1" applyAlignment="1">
      <alignment horizontal="center"/>
    </xf>
    <xf numFmtId="164" fontId="3" fillId="0" borderId="6" xfId="0" applyNumberFormat="1" applyFont="1" applyBorder="1" applyAlignment="1">
      <alignment horizontal="center"/>
    </xf>
    <xf numFmtId="0" fontId="3" fillId="0" borderId="6" xfId="0" applyFont="1" applyBorder="1" applyAlignment="1">
      <alignment horizontal="center"/>
    </xf>
    <xf numFmtId="0" fontId="3" fillId="7" borderId="0" xfId="0" applyFont="1" applyFill="1" applyAlignment="1">
      <alignment horizontal="center"/>
    </xf>
    <xf numFmtId="0" fontId="3" fillId="8" borderId="1" xfId="0" applyFont="1" applyFill="1" applyBorder="1" applyAlignment="1">
      <alignment horizontal="left"/>
    </xf>
    <xf numFmtId="0" fontId="3" fillId="7" borderId="2" xfId="0" applyFont="1" applyFill="1" applyBorder="1" applyAlignment="1">
      <alignment horizontal="center"/>
    </xf>
    <xf numFmtId="0" fontId="3" fillId="8" borderId="0" xfId="0" applyFont="1" applyFill="1" applyAlignment="1">
      <alignment horizontal="center"/>
    </xf>
    <xf numFmtId="0" fontId="3" fillId="8" borderId="2"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center"/>
    </xf>
    <xf numFmtId="0" fontId="3" fillId="4" borderId="0" xfId="0" applyFont="1" applyFill="1" applyAlignment="1">
      <alignment horizontal="center"/>
    </xf>
    <xf numFmtId="0" fontId="3" fillId="4" borderId="1" xfId="0" applyFont="1" applyFill="1" applyBorder="1" applyAlignment="1">
      <alignment horizontal="left"/>
    </xf>
    <xf numFmtId="0" fontId="3" fillId="4" borderId="2" xfId="0" applyFont="1" applyFill="1" applyBorder="1" applyAlignment="1">
      <alignment horizontal="center"/>
    </xf>
    <xf numFmtId="0" fontId="4" fillId="3" borderId="2" xfId="0" applyFont="1" applyFill="1" applyBorder="1" applyAlignment="1">
      <alignment horizontal="center"/>
    </xf>
    <xf numFmtId="0" fontId="4" fillId="4" borderId="2" xfId="0" applyFont="1" applyFill="1" applyBorder="1" applyAlignment="1">
      <alignment horizontal="center"/>
    </xf>
    <xf numFmtId="0" fontId="4" fillId="4" borderId="1" xfId="0" applyFont="1" applyFill="1" applyBorder="1" applyAlignment="1">
      <alignment horizontal="left"/>
    </xf>
    <xf numFmtId="0" fontId="3" fillId="5" borderId="2" xfId="0" applyFont="1" applyFill="1" applyBorder="1" applyAlignment="1">
      <alignment horizontal="center"/>
    </xf>
    <xf numFmtId="164" fontId="4" fillId="0" borderId="0" xfId="0" applyNumberFormat="1" applyFont="1" applyAlignment="1">
      <alignment horizontal="center"/>
    </xf>
    <xf numFmtId="0" fontId="4" fillId="5" borderId="0" xfId="0" applyFont="1" applyFill="1" applyAlignment="1">
      <alignment horizontal="center"/>
    </xf>
    <xf numFmtId="0" fontId="4" fillId="7" borderId="2" xfId="0" applyFont="1" applyFill="1" applyBorder="1" applyAlignment="1">
      <alignment horizontal="center"/>
    </xf>
    <xf numFmtId="0" fontId="4" fillId="9" borderId="2" xfId="0" applyFont="1" applyFill="1" applyBorder="1" applyAlignment="1">
      <alignment horizontal="center"/>
    </xf>
    <xf numFmtId="0" fontId="3" fillId="3" borderId="5" xfId="0" applyFont="1" applyFill="1" applyBorder="1" applyAlignment="1">
      <alignment horizontal="center"/>
    </xf>
    <xf numFmtId="0" fontId="4" fillId="3" borderId="4" xfId="0" applyFont="1" applyFill="1" applyBorder="1" applyAlignment="1">
      <alignment horizontal="left"/>
    </xf>
    <xf numFmtId="0" fontId="3" fillId="3" borderId="6" xfId="0" applyFont="1" applyFill="1" applyBorder="1" applyAlignment="1">
      <alignment horizontal="center"/>
    </xf>
    <xf numFmtId="0" fontId="3" fillId="4" borderId="5" xfId="0" applyFont="1" applyFill="1" applyBorder="1" applyAlignment="1">
      <alignment horizontal="center"/>
    </xf>
    <xf numFmtId="0" fontId="4" fillId="4" borderId="4" xfId="0" applyFont="1" applyFill="1" applyBorder="1" applyAlignment="1">
      <alignment horizontal="left"/>
    </xf>
    <xf numFmtId="0" fontId="4" fillId="4" borderId="6" xfId="0" applyFont="1" applyFill="1" applyBorder="1" applyAlignment="1">
      <alignment horizontal="center"/>
    </xf>
    <xf numFmtId="0" fontId="3" fillId="6" borderId="0" xfId="0" applyFont="1" applyFill="1" applyAlignment="1">
      <alignment horizontal="center"/>
    </xf>
    <xf numFmtId="0" fontId="3" fillId="6" borderId="1" xfId="0" applyFont="1" applyFill="1" applyBorder="1" applyAlignment="1">
      <alignment horizontal="left"/>
    </xf>
    <xf numFmtId="0" fontId="3" fillId="6" borderId="2" xfId="0" applyFont="1" applyFill="1" applyBorder="1" applyAlignment="1">
      <alignment horizontal="center"/>
    </xf>
    <xf numFmtId="0" fontId="3" fillId="9" borderId="5" xfId="0" applyFont="1" applyFill="1" applyBorder="1" applyAlignment="1">
      <alignment horizontal="center"/>
    </xf>
    <xf numFmtId="0" fontId="4" fillId="9" borderId="4" xfId="0" applyFont="1" applyFill="1" applyBorder="1" applyAlignment="1">
      <alignment horizontal="left"/>
    </xf>
    <xf numFmtId="0" fontId="4" fillId="9" borderId="6" xfId="0" applyFont="1" applyFill="1" applyBorder="1" applyAlignment="1">
      <alignment horizontal="center"/>
    </xf>
    <xf numFmtId="0" fontId="3" fillId="9" borderId="0" xfId="0" applyFont="1" applyFill="1" applyAlignment="1">
      <alignment horizontal="center"/>
    </xf>
    <xf numFmtId="0" fontId="4" fillId="9" borderId="1" xfId="0" applyFont="1" applyFill="1" applyBorder="1" applyAlignment="1">
      <alignment horizontal="left"/>
    </xf>
    <xf numFmtId="0" fontId="3" fillId="0" borderId="1" xfId="0" applyFont="1" applyBorder="1" applyAlignment="1">
      <alignment horizontal="center" vertical="center"/>
    </xf>
    <xf numFmtId="0" fontId="3" fillId="9" borderId="1" xfId="0" applyFont="1" applyFill="1" applyBorder="1" applyAlignment="1">
      <alignment horizontal="left"/>
    </xf>
    <xf numFmtId="0" fontId="4" fillId="9" borderId="0" xfId="0" applyFont="1" applyFill="1" applyAlignment="1">
      <alignment horizontal="center"/>
    </xf>
    <xf numFmtId="0" fontId="4" fillId="3" borderId="6" xfId="0" applyFont="1" applyFill="1" applyBorder="1" applyAlignment="1">
      <alignment horizontal="center"/>
    </xf>
    <xf numFmtId="0" fontId="3" fillId="5" borderId="5" xfId="0" applyFont="1" applyFill="1" applyBorder="1" applyAlignment="1">
      <alignment horizontal="center"/>
    </xf>
    <xf numFmtId="0" fontId="4" fillId="5" borderId="4" xfId="0" applyFont="1" applyFill="1" applyBorder="1" applyAlignment="1">
      <alignment horizontal="left"/>
    </xf>
    <xf numFmtId="0" fontId="4" fillId="3" borderId="0" xfId="0" applyFont="1" applyFill="1" applyAlignment="1">
      <alignment horizontal="center"/>
    </xf>
    <xf numFmtId="0" fontId="3" fillId="7" borderId="5" xfId="0" applyFont="1" applyFill="1" applyBorder="1" applyAlignment="1">
      <alignment horizontal="center"/>
    </xf>
    <xf numFmtId="164" fontId="4" fillId="0" borderId="6" xfId="0" applyNumberFormat="1" applyFont="1" applyBorder="1" applyAlignment="1">
      <alignment horizontal="center"/>
    </xf>
    <xf numFmtId="0" fontId="4" fillId="0" borderId="5" xfId="0" applyFont="1" applyBorder="1"/>
    <xf numFmtId="164" fontId="4" fillId="0" borderId="5" xfId="0" applyNumberFormat="1" applyFont="1" applyBorder="1" applyAlignment="1">
      <alignment horizontal="center"/>
    </xf>
    <xf numFmtId="0" fontId="4" fillId="0" borderId="4" xfId="0" applyFont="1" applyBorder="1"/>
    <xf numFmtId="164" fontId="4" fillId="0" borderId="2" xfId="0" applyNumberFormat="1" applyFont="1" applyBorder="1" applyAlignment="1">
      <alignment horizontal="center"/>
    </xf>
    <xf numFmtId="0" fontId="4" fillId="0" borderId="0" xfId="0" applyFont="1"/>
    <xf numFmtId="0" fontId="4" fillId="0" borderId="1" xfId="0" applyFont="1" applyBorder="1"/>
    <xf numFmtId="164" fontId="4" fillId="0" borderId="0" xfId="0" applyNumberFormat="1" applyFont="1"/>
    <xf numFmtId="0" fontId="4" fillId="8" borderId="0" xfId="0" applyFont="1" applyFill="1" applyAlignment="1">
      <alignment horizontal="center"/>
    </xf>
    <xf numFmtId="0" fontId="4" fillId="8" borderId="1" xfId="0" applyFont="1" applyFill="1" applyBorder="1" applyAlignment="1">
      <alignment horizontal="left"/>
    </xf>
    <xf numFmtId="0" fontId="4" fillId="8" borderId="5" xfId="0" applyFont="1" applyFill="1" applyBorder="1" applyAlignment="1">
      <alignment horizontal="center"/>
    </xf>
    <xf numFmtId="0" fontId="4" fillId="8" borderId="4" xfId="0" applyFont="1" applyFill="1" applyBorder="1" applyAlignment="1">
      <alignment horizontal="left"/>
    </xf>
    <xf numFmtId="0" fontId="3" fillId="0" borderId="0" xfId="0" applyFont="1" applyAlignment="1">
      <alignment horizontal="center" vertical="center"/>
    </xf>
    <xf numFmtId="165" fontId="1" fillId="0" borderId="0" xfId="0" applyNumberFormat="1" applyFont="1" applyAlignment="1">
      <alignment horizontal="center"/>
    </xf>
    <xf numFmtId="0" fontId="1" fillId="0" borderId="0" xfId="0" applyFont="1" applyAlignment="1">
      <alignment horizontal="center"/>
    </xf>
    <xf numFmtId="9" fontId="1" fillId="0" borderId="0" xfId="0" applyNumberFormat="1" applyFont="1" applyAlignment="1">
      <alignment horizontal="center"/>
    </xf>
    <xf numFmtId="4" fontId="3" fillId="0" borderId="0" xfId="0" applyNumberFormat="1" applyFont="1" applyAlignment="1">
      <alignment horizontal="center"/>
    </xf>
    <xf numFmtId="9" fontId="3" fillId="0" borderId="0" xfId="0" applyNumberFormat="1" applyFont="1" applyAlignment="1">
      <alignment horizontal="center"/>
    </xf>
    <xf numFmtId="10" fontId="3" fillId="0" borderId="0" xfId="0" applyNumberFormat="1" applyFont="1"/>
    <xf numFmtId="4" fontId="1" fillId="2" borderId="0" xfId="0" applyNumberFormat="1" applyFont="1" applyFill="1" applyAlignment="1">
      <alignment horizontal="left" vertical="top"/>
    </xf>
    <xf numFmtId="0" fontId="3" fillId="2" borderId="0" xfId="0" applyFont="1" applyFill="1"/>
    <xf numFmtId="0" fontId="3" fillId="2" borderId="0" xfId="0" applyFont="1" applyFill="1" applyAlignment="1">
      <alignment horizontal="center"/>
    </xf>
    <xf numFmtId="9" fontId="3" fillId="2" borderId="0" xfId="0" applyNumberFormat="1" applyFont="1" applyFill="1" applyAlignment="1">
      <alignment horizontal="center"/>
    </xf>
    <xf numFmtId="0" fontId="1" fillId="0" borderId="0" xfId="0" applyFont="1"/>
    <xf numFmtId="4" fontId="3" fillId="9" borderId="0" xfId="0" applyNumberFormat="1" applyFont="1" applyFill="1" applyAlignment="1">
      <alignment horizontal="center"/>
    </xf>
    <xf numFmtId="0" fontId="1" fillId="2" borderId="0" xfId="0" applyFont="1" applyFill="1"/>
    <xf numFmtId="164" fontId="3" fillId="0" borderId="0" xfId="0" applyNumberFormat="1" applyFont="1"/>
    <xf numFmtId="0" fontId="1" fillId="2" borderId="1" xfId="0" applyFont="1" applyFill="1" applyBorder="1" applyAlignment="1">
      <alignment horizontal="center" vertical="center"/>
    </xf>
    <xf numFmtId="0" fontId="2" fillId="0" borderId="1" xfId="0" applyFont="1" applyBorder="1"/>
    <xf numFmtId="0" fontId="1" fillId="2" borderId="0" xfId="0" applyFont="1" applyFill="1" applyAlignment="1">
      <alignment horizontal="center"/>
    </xf>
    <xf numFmtId="0" fontId="0" fillId="0" borderId="0" xfId="0"/>
    <xf numFmtId="0" fontId="1" fillId="2" borderId="2" xfId="0" applyFont="1" applyFill="1" applyBorder="1" applyAlignment="1">
      <alignment horizontal="center"/>
    </xf>
    <xf numFmtId="164" fontId="1" fillId="2" borderId="2" xfId="0" applyNumberFormat="1" applyFont="1" applyFill="1" applyBorder="1" applyAlignment="1">
      <alignment horizontal="center"/>
    </xf>
    <xf numFmtId="164" fontId="1" fillId="2" borderId="0" xfId="0" applyNumberFormat="1" applyFont="1" applyFill="1" applyAlignment="1">
      <alignment horizontal="center"/>
    </xf>
    <xf numFmtId="0" fontId="3" fillId="2" borderId="2" xfId="0" applyFont="1" applyFill="1" applyBorder="1" applyAlignment="1">
      <alignment vertical="top" wrapText="1"/>
    </xf>
    <xf numFmtId="0" fontId="2" fillId="0" borderId="2" xfId="0" applyFont="1" applyBorder="1"/>
    <xf numFmtId="0" fontId="1" fillId="2" borderId="0" xfId="0" applyFont="1" applyFill="1" applyAlignment="1">
      <alignment horizontal="center" vertical="center"/>
    </xf>
    <xf numFmtId="0" fontId="2" fillId="0" borderId="1" xfId="0" applyFont="1" applyBorder="1" applyAlignment="1">
      <alignment horizontal="left"/>
    </xf>
    <xf numFmtId="0" fontId="3" fillId="0" borderId="4" xfId="0" applyFont="1" applyBorder="1" applyAlignment="1">
      <alignment horizontal="left" vertical="center"/>
    </xf>
    <xf numFmtId="0" fontId="2" fillId="0" borderId="9" xfId="0" applyFont="1" applyBorder="1" applyAlignment="1">
      <alignment horizontal="left"/>
    </xf>
    <xf numFmtId="0" fontId="3" fillId="0" borderId="1" xfId="0" applyFont="1" applyBorder="1" applyAlignment="1">
      <alignment horizontal="left" vertical="center"/>
    </xf>
    <xf numFmtId="0" fontId="1" fillId="0" borderId="4" xfId="0" applyFont="1" applyBorder="1" applyAlignment="1">
      <alignment horizontal="left" vertical="center"/>
    </xf>
    <xf numFmtId="0" fontId="3" fillId="0" borderId="4" xfId="0" applyFont="1" applyBorder="1" applyAlignment="1">
      <alignment horizontal="left" vertical="center"/>
    </xf>
    <xf numFmtId="0" fontId="3" fillId="0" borderId="1" xfId="0" applyFont="1" applyBorder="1" applyAlignment="1">
      <alignment horizontal="left" vertical="center"/>
    </xf>
    <xf numFmtId="0" fontId="4" fillId="0" borderId="4" xfId="0" applyFont="1" applyBorder="1" applyAlignment="1">
      <alignment horizontal="left" vertical="center"/>
    </xf>
    <xf numFmtId="0" fontId="0" fillId="0" borderId="0" xfId="0" applyAlignment="1">
      <alignment horizontal="left"/>
    </xf>
    <xf numFmtId="0" fontId="2" fillId="0" borderId="1" xfId="0" applyFont="1" applyBorder="1" applyAlignment="1">
      <alignment horizontal="center"/>
    </xf>
  </cellXfs>
  <cellStyles count="1">
    <cellStyle name="Normal" xfId="0" builtinId="0"/>
  </cellStyles>
  <dxfs count="6">
    <dxf>
      <fill>
        <patternFill patternType="solid">
          <fgColor rgb="FFF3F3F3"/>
          <bgColor rgb="FFF3F3F3"/>
        </patternFill>
      </fill>
    </dxf>
    <dxf>
      <fill>
        <patternFill patternType="solid">
          <fgColor rgb="FFFFFFFF"/>
          <bgColor rgb="FFFFFFFF"/>
        </patternFill>
      </fill>
    </dxf>
    <dxf>
      <fill>
        <patternFill patternType="solid">
          <fgColor rgb="FFE4E594"/>
          <bgColor rgb="FFE4E594"/>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2">
    <tableStyle name="Learnsets-style" pivot="0" count="3" xr9:uid="{00000000-0011-0000-FFFF-FFFF00000000}">
      <tableStyleElement type="headerRow" dxfId="5"/>
      <tableStyleElement type="firstRowStripe" dxfId="4"/>
      <tableStyleElement type="secondRowStripe" dxfId="3"/>
    </tableStyle>
    <tableStyle name="Moves-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J6:J7">
  <tableColumns count="1">
    <tableColumn id="1" xr3:uid="{00000000-0010-0000-0000-000001000000}" name="-This entry from the original is missing in this game."/>
  </tableColumns>
  <tableStyleInfo name="Learnset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I178">
  <tableColumns count="9">
    <tableColumn id="1" xr3:uid="{00000000-0010-0000-0100-000001000000}" name="Value"/>
    <tableColumn id="2" xr3:uid="{00000000-0010-0000-0100-000002000000}" name="Move"/>
    <tableColumn id="3" xr3:uid="{00000000-0010-0000-0100-000003000000}" name="Base Power"/>
    <tableColumn id="4" xr3:uid="{00000000-0010-0000-0100-000004000000}" name="Accuracy"/>
    <tableColumn id="5" xr3:uid="{00000000-0010-0000-0100-000005000000}" name="PP"/>
    <tableColumn id="6" xr3:uid="{00000000-0010-0000-0100-000006000000}" name="Type"/>
    <tableColumn id="7" xr3:uid="{00000000-0010-0000-0100-000007000000}" name="Effect"/>
    <tableColumn id="8" xr3:uid="{00000000-0010-0000-0100-000008000000}" name="Chance of Effect"/>
    <tableColumn id="9" xr3:uid="{00000000-0010-0000-0100-000009000000}" name="Notes"/>
  </tableColumns>
  <tableStyleInfo name="Mov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519"/>
  <sheetViews>
    <sheetView tabSelected="1" workbookViewId="0">
      <selection sqref="A1:A2"/>
    </sheetView>
  </sheetViews>
  <sheetFormatPr defaultColWidth="12.5703125" defaultRowHeight="15.75" customHeight="1" x14ac:dyDescent="0.2"/>
  <cols>
    <col min="1" max="1" width="11.42578125" style="128" customWidth="1"/>
    <col min="2" max="2" width="8.140625" customWidth="1"/>
    <col min="3" max="3" width="18.140625" customWidth="1"/>
    <col min="4" max="4" width="8.140625" customWidth="1"/>
    <col min="5" max="5" width="18.140625" customWidth="1"/>
    <col min="6" max="6" width="4.140625" customWidth="1"/>
    <col min="7" max="7" width="18.140625" customWidth="1"/>
    <col min="8" max="8" width="4.140625" customWidth="1"/>
    <col min="9" max="9" width="18.140625" customWidth="1"/>
    <col min="10" max="10" width="72.85546875" customWidth="1"/>
  </cols>
  <sheetData>
    <row r="1" spans="1:10" x14ac:dyDescent="0.2">
      <c r="A1" s="110" t="s">
        <v>0</v>
      </c>
      <c r="B1" s="112" t="s">
        <v>1</v>
      </c>
      <c r="C1" s="113"/>
      <c r="D1" s="114" t="s">
        <v>2</v>
      </c>
      <c r="E1" s="113"/>
      <c r="F1" s="115" t="s">
        <v>3</v>
      </c>
      <c r="G1" s="113"/>
      <c r="H1" s="116" t="s">
        <v>4</v>
      </c>
      <c r="I1" s="111"/>
      <c r="J1" s="2" t="s">
        <v>5</v>
      </c>
    </row>
    <row r="2" spans="1:10" x14ac:dyDescent="0.2">
      <c r="A2" s="129"/>
      <c r="B2" s="1" t="s">
        <v>6</v>
      </c>
      <c r="C2" s="4" t="s">
        <v>7</v>
      </c>
      <c r="D2" s="2" t="s">
        <v>6</v>
      </c>
      <c r="E2" s="4" t="s">
        <v>7</v>
      </c>
      <c r="F2" s="5" t="s">
        <v>8</v>
      </c>
      <c r="G2" s="1" t="s">
        <v>7</v>
      </c>
      <c r="H2" s="3" t="s">
        <v>8</v>
      </c>
      <c r="I2" s="4" t="s">
        <v>7</v>
      </c>
      <c r="J2" s="6"/>
    </row>
    <row r="3" spans="1:10" x14ac:dyDescent="0.2">
      <c r="A3" s="121" t="s">
        <v>9</v>
      </c>
      <c r="B3" s="7">
        <f>HEX2DEC("00")</f>
        <v>0</v>
      </c>
      <c r="C3" s="8" t="str">
        <f t="array" ref="C3">INDEX(Moves!$B$2:'Moves'!$B$177, SUM(HEX2DEC("89"),1), 1)</f>
        <v>Tackle</v>
      </c>
      <c r="D3" s="9">
        <f>HEX2DEC("01")</f>
        <v>1</v>
      </c>
      <c r="E3" s="10" t="str">
        <f t="array" ref="E3">INDEX(Moves!$B$2:'Moves'!$B$177, SUM(HEX2DEC("89"),1), 1)</f>
        <v>Tackle</v>
      </c>
      <c r="F3" s="11">
        <v>1</v>
      </c>
      <c r="G3" s="12" t="str">
        <f>VLOOKUP(F3, TMHM!$B$10:$C1519, 2, FALSE)</f>
        <v>Focus Punch</v>
      </c>
      <c r="H3" s="13">
        <v>1</v>
      </c>
      <c r="I3" s="14" t="str">
        <f>VLOOKUP(H3, TMHM!$B$2:$C$7, 2, FALSE)</f>
        <v>Cut</v>
      </c>
      <c r="J3" s="15" t="s">
        <v>10</v>
      </c>
    </row>
    <row r="4" spans="1:10" x14ac:dyDescent="0.2">
      <c r="A4" s="120"/>
      <c r="B4" s="16">
        <f>HEX2DEC("04")</f>
        <v>4</v>
      </c>
      <c r="C4" s="17" t="str">
        <f t="array" ref="C4">INDEX(Moves!$B$2:'Moves'!$B$177, SUM(HEX2DEC("A0"),1), 1)</f>
        <v>Growl</v>
      </c>
      <c r="D4" s="18">
        <f>HEX2DEC("04")</f>
        <v>4</v>
      </c>
      <c r="E4" s="19" t="str">
        <f t="array" ref="E4">INDEX(Moves!$B$2:'Moves'!$B$177, SUM(HEX2DEC("A0"),1), 1)</f>
        <v>Growl</v>
      </c>
      <c r="F4" s="11">
        <v>6</v>
      </c>
      <c r="G4" s="20" t="str">
        <f>VLOOKUP(F4, TMHM!$B$10:$C1519, 2, FALSE)</f>
        <v>Toxic</v>
      </c>
      <c r="H4" s="21">
        <v>5</v>
      </c>
      <c r="I4" s="20" t="str">
        <f>VLOOKUP(H4, TMHM!$B$2:$C$7, 2, FALSE)</f>
        <v>Flash</v>
      </c>
      <c r="J4" s="22" t="s">
        <v>11</v>
      </c>
    </row>
    <row r="5" spans="1:10" x14ac:dyDescent="0.2">
      <c r="A5" s="120"/>
      <c r="B5" s="16">
        <f>HEX2DEC("07")</f>
        <v>7</v>
      </c>
      <c r="C5" s="23" t="str">
        <f t="array" ref="C5">INDEX(Moves!$B$2:'Moves'!$B$177, SUM(HEX2DEC("1C"),1), 1)</f>
        <v>Absorb</v>
      </c>
      <c r="D5" s="18">
        <f>HEX2DEC("07")</f>
        <v>7</v>
      </c>
      <c r="E5" s="24" t="s">
        <v>12</v>
      </c>
      <c r="F5" s="11">
        <v>7</v>
      </c>
      <c r="G5" s="20" t="str">
        <f>VLOOKUP(F5, TMHM!$B$10:$C1519, 2, FALSE)</f>
        <v>Secret Power</v>
      </c>
      <c r="H5" s="21"/>
      <c r="I5" s="25"/>
      <c r="J5" s="26" t="s">
        <v>13</v>
      </c>
    </row>
    <row r="6" spans="1:10" x14ac:dyDescent="0.2">
      <c r="A6" s="120"/>
      <c r="B6" s="16">
        <f>HEX2DEC("0A")</f>
        <v>10</v>
      </c>
      <c r="C6" s="17" t="str">
        <f t="array" ref="C6">INDEX(Moves!$B$2:'Moves'!$B$177, SUM(HEX2DEC("1F"),1), 1)</f>
        <v>Vine Whip</v>
      </c>
      <c r="D6" s="18">
        <f>HEX2DEC("0A")</f>
        <v>10</v>
      </c>
      <c r="E6" s="19" t="str">
        <f t="array" ref="E6">INDEX(Moves!$B$2:'Moves'!$B$177, SUM(HEX2DEC("1F"),1), 1)</f>
        <v>Vine Whip</v>
      </c>
      <c r="F6" s="11">
        <v>17</v>
      </c>
      <c r="G6" s="20" t="str">
        <f>VLOOKUP(F6, TMHM!$B$10:$C1519, 2, FALSE)</f>
        <v>SmokeScreen</v>
      </c>
      <c r="H6" s="21"/>
      <c r="I6" s="25"/>
      <c r="J6" s="27" t="s">
        <v>14</v>
      </c>
    </row>
    <row r="7" spans="1:10" x14ac:dyDescent="0.2">
      <c r="A7" s="120"/>
      <c r="B7" s="16">
        <f t="shared" ref="B7:B8" si="0">HEX2DEC("0F")</f>
        <v>15</v>
      </c>
      <c r="C7" s="17" t="str">
        <f t="array" ref="C7">INDEX(Moves!$B$2:'Moves'!$B$177, SUM(HEX2DEC("4B"),1), 1)</f>
        <v>PoisonPowder</v>
      </c>
      <c r="D7" s="18">
        <f t="shared" ref="D7:D8" si="1">HEX2DEC("0F")</f>
        <v>15</v>
      </c>
      <c r="E7" s="19" t="str">
        <f t="array" ref="E7">INDEX(Moves!$B$2:'Moves'!$B$177, SUM(HEX2DEC("4B"),1), 1)</f>
        <v>PoisonPowder</v>
      </c>
      <c r="F7" s="11">
        <v>19</v>
      </c>
      <c r="G7" s="20" t="str">
        <f>VLOOKUP(F7, TMHM!$B$10:$C1519, 2, FALSE)</f>
        <v>Giga Drain</v>
      </c>
      <c r="H7" s="21"/>
      <c r="I7" s="25"/>
      <c r="J7" s="28" t="s">
        <v>15</v>
      </c>
    </row>
    <row r="8" spans="1:10" x14ac:dyDescent="0.2">
      <c r="A8" s="120"/>
      <c r="B8" s="16">
        <f t="shared" si="0"/>
        <v>15</v>
      </c>
      <c r="C8" s="17" t="str">
        <f t="array" ref="C8">INDEX(Moves!$B$2:'Moves'!$B$177, SUM(HEX2DEC("26"),1), 1)</f>
        <v>Sleep Powder</v>
      </c>
      <c r="D8" s="18">
        <f t="shared" si="1"/>
        <v>15</v>
      </c>
      <c r="E8" s="19" t="str">
        <f t="array" ref="E8">INDEX(Moves!$B$2:'Moves'!$B$177, SUM(HEX2DEC("26"),1), 1)</f>
        <v>Sleep Powder</v>
      </c>
      <c r="F8" s="11">
        <v>21</v>
      </c>
      <c r="G8" s="20" t="str">
        <f>VLOOKUP(F8, TMHM!$B$10:$C1519, 2, FALSE)</f>
        <v>Recover</v>
      </c>
      <c r="H8" s="21"/>
      <c r="I8" s="25"/>
      <c r="J8" s="29" t="s">
        <v>16</v>
      </c>
    </row>
    <row r="9" spans="1:10" x14ac:dyDescent="0.2">
      <c r="A9" s="120"/>
      <c r="B9" s="16">
        <f>HEX2DEC("14")</f>
        <v>20</v>
      </c>
      <c r="C9" s="17" t="str">
        <f t="array" ref="C9">INDEX(Moves!$B$2:'Moves'!$B$177, SUM(HEX2DEC("20"),1), 1)</f>
        <v>Razor Leaf</v>
      </c>
      <c r="D9" s="18">
        <f>HEX2DEC("14")</f>
        <v>20</v>
      </c>
      <c r="E9" s="19" t="str">
        <f t="array" ref="E9">INDEX(Moves!$B$2:'Moves'!$B$177, SUM(HEX2DEC("20"),1), 1)</f>
        <v>Razor Leaf</v>
      </c>
      <c r="F9" s="11">
        <v>22</v>
      </c>
      <c r="G9" s="20" t="str">
        <f>VLOOKUP(F9, TMHM!$B$10:$C1519, 2, FALSE)</f>
        <v>SolarBeam</v>
      </c>
      <c r="H9" s="21"/>
      <c r="I9" s="25"/>
      <c r="J9" s="30"/>
    </row>
    <row r="10" spans="1:10" x14ac:dyDescent="0.2">
      <c r="A10" s="120"/>
      <c r="B10" s="16">
        <f>HEX2DEC("19")</f>
        <v>25</v>
      </c>
      <c r="C10" s="23" t="str">
        <f t="array" ref="C10">INDEX(Moves!$B$2:'Moves'!$B$177, SUM(HEX2DEC("A6"),1), 1)</f>
        <v>SmokeScreen</v>
      </c>
      <c r="D10" s="18">
        <f>HEX2DEC("19")</f>
        <v>25</v>
      </c>
      <c r="E10" s="24" t="s">
        <v>17</v>
      </c>
      <c r="F10" s="11">
        <v>33</v>
      </c>
      <c r="G10" s="20" t="str">
        <f>VLOOKUP(F10, TMHM!$B$10:$C1519, 2, FALSE)</f>
        <v>Razor Leaf</v>
      </c>
      <c r="H10" s="21"/>
      <c r="I10" s="25"/>
      <c r="J10" s="117" t="s">
        <v>18</v>
      </c>
    </row>
    <row r="11" spans="1:10" x14ac:dyDescent="0.2">
      <c r="A11" s="120"/>
      <c r="B11" s="16">
        <f>HEX2DEC("20")</f>
        <v>32</v>
      </c>
      <c r="C11" s="23" t="str">
        <f t="array" ref="C11">INDEX(Moves!$B$2:'Moves'!$B$177, SUM(HEX2DEC("28"),1), 1)</f>
        <v>Stun Spore</v>
      </c>
      <c r="D11" s="18">
        <f>HEX2DEC("20")</f>
        <v>32</v>
      </c>
      <c r="E11" s="24" t="s">
        <v>19</v>
      </c>
      <c r="F11" s="11"/>
      <c r="H11" s="21"/>
      <c r="I11" s="25"/>
      <c r="J11" s="118"/>
    </row>
    <row r="12" spans="1:10" x14ac:dyDescent="0.2">
      <c r="A12" s="120"/>
      <c r="B12" s="16">
        <f>HEX2DEC("27")</f>
        <v>39</v>
      </c>
      <c r="C12" s="23" t="str">
        <f t="array" ref="C12">INDEX(Moves!$B$2:'Moves'!$B$177, SUM(HEX2DEC("A9"),1), 1)</f>
        <v>Recover</v>
      </c>
      <c r="D12" s="18">
        <f>HEX2DEC("27")</f>
        <v>39</v>
      </c>
      <c r="E12" s="24" t="s">
        <v>20</v>
      </c>
      <c r="F12" s="11"/>
      <c r="H12" s="21"/>
      <c r="I12" s="25"/>
      <c r="J12" s="118"/>
    </row>
    <row r="13" spans="1:10" x14ac:dyDescent="0.2">
      <c r="A13" s="120"/>
      <c r="B13" s="16">
        <f>HEX2DEC("2E")</f>
        <v>46</v>
      </c>
      <c r="C13" s="17" t="str">
        <f t="array" ref="C13">INDEX(Moves!$B$2:'Moves'!$B$177, SUM(HEX2DEC("23"),1), 1)</f>
        <v>SolarBeam</v>
      </c>
      <c r="D13" s="18">
        <f>HEX2DEC("2E")</f>
        <v>46</v>
      </c>
      <c r="E13" s="19" t="str">
        <f t="array" ref="E13">INDEX(Moves!$B$2:'Moves'!$B$177, SUM(HEX2DEC("23"),1), 1)</f>
        <v>SolarBeam</v>
      </c>
      <c r="F13" s="31"/>
      <c r="G13" s="32"/>
      <c r="H13" s="21"/>
      <c r="I13" s="25"/>
      <c r="J13" s="118"/>
    </row>
    <row r="14" spans="1:10" x14ac:dyDescent="0.2">
      <c r="A14" s="121" t="s">
        <v>21</v>
      </c>
      <c r="B14" s="7">
        <f>HEX2DEC("00")</f>
        <v>0</v>
      </c>
      <c r="C14" s="33" t="str">
        <f t="array" ref="C14">INDEX(Moves!$B$2:'Moves'!$B$177, SUM(HEX2DEC("89"),1), 1)</f>
        <v>Tackle</v>
      </c>
      <c r="D14" s="9">
        <f t="shared" ref="D14:D16" si="2">HEX2DEC("01")</f>
        <v>1</v>
      </c>
      <c r="E14" s="8" t="str">
        <f t="array" ref="E14">INDEX(Moves!$B$2:'Moves'!$B$177, SUM(HEX2DEC("89"),1), 1)</f>
        <v>Tackle</v>
      </c>
      <c r="F14" s="11">
        <v>1</v>
      </c>
      <c r="G14" s="12" t="str">
        <f>VLOOKUP(F14, TMHM!$B$10:$C1519, 2, FALSE)</f>
        <v>Focus Punch</v>
      </c>
      <c r="H14" s="13">
        <v>1</v>
      </c>
      <c r="I14" s="14" t="str">
        <f>VLOOKUP(H14, TMHM!$B$2:$C$7, 2, FALSE)</f>
        <v>Cut</v>
      </c>
      <c r="J14" s="118"/>
    </row>
    <row r="15" spans="1:10" x14ac:dyDescent="0.2">
      <c r="A15" s="120"/>
      <c r="B15" s="34"/>
      <c r="C15" s="35"/>
      <c r="D15" s="36">
        <f t="shared" si="2"/>
        <v>1</v>
      </c>
      <c r="E15" s="37" t="s">
        <v>22</v>
      </c>
      <c r="F15" s="11">
        <v>6</v>
      </c>
      <c r="G15" s="20" t="str">
        <f>VLOOKUP(F15, TMHM!$B$10:$C1519, 2, FALSE)</f>
        <v>Toxic</v>
      </c>
      <c r="H15" s="21">
        <v>5</v>
      </c>
      <c r="I15" s="20" t="str">
        <f>VLOOKUP(H15, TMHM!$B$2:$C$7, 2, FALSE)</f>
        <v>Flash</v>
      </c>
      <c r="J15" s="30"/>
    </row>
    <row r="16" spans="1:10" x14ac:dyDescent="0.2">
      <c r="A16" s="120"/>
      <c r="B16" s="34"/>
      <c r="C16" s="35"/>
      <c r="D16" s="36">
        <f t="shared" si="2"/>
        <v>1</v>
      </c>
      <c r="E16" s="37" t="s">
        <v>12</v>
      </c>
      <c r="F16" s="11">
        <v>7</v>
      </c>
      <c r="G16" s="20" t="str">
        <f>VLOOKUP(F16, TMHM!$B$10:$C1519, 2, FALSE)</f>
        <v>Secret Power</v>
      </c>
      <c r="H16" s="21"/>
      <c r="I16" s="25"/>
      <c r="J16" s="30"/>
    </row>
    <row r="17" spans="1:10" x14ac:dyDescent="0.2">
      <c r="A17" s="120"/>
      <c r="B17" s="16">
        <f>HEX2DEC("4")</f>
        <v>4</v>
      </c>
      <c r="C17" s="17" t="str">
        <f t="array" ref="C17">INDEX(Moves!$B$2:'Moves'!$B$177, SUM(HEX2DEC("A0"),1), 1)</f>
        <v>Growl</v>
      </c>
      <c r="D17" s="18">
        <f>HEX2DEC("4")</f>
        <v>4</v>
      </c>
      <c r="E17" s="38" t="str">
        <f t="array" ref="E17">INDEX(Moves!$B$2:'Moves'!$B$177, SUM(HEX2DEC("A0"),1), 1)</f>
        <v>Growl</v>
      </c>
      <c r="F17" s="11">
        <v>17</v>
      </c>
      <c r="G17" s="20" t="str">
        <f>VLOOKUP(F17, TMHM!$B$10:$C1519, 2, FALSE)</f>
        <v>SmokeScreen</v>
      </c>
      <c r="H17" s="21"/>
      <c r="I17" s="25"/>
      <c r="J17" s="30"/>
    </row>
    <row r="18" spans="1:10" x14ac:dyDescent="0.2">
      <c r="A18" s="120"/>
      <c r="B18" s="16">
        <f>HEX2DEC("7")</f>
        <v>7</v>
      </c>
      <c r="C18" s="23" t="str">
        <f t="array" ref="C18">INDEX(Moves!$B$2:'Moves'!$B$177, SUM(HEX2DEC("1C"),1), 1)</f>
        <v>Absorb</v>
      </c>
      <c r="D18" s="18">
        <f>HEX2DEC("7")</f>
        <v>7</v>
      </c>
      <c r="E18" s="39" t="s">
        <v>12</v>
      </c>
      <c r="F18" s="11">
        <v>19</v>
      </c>
      <c r="G18" s="20" t="str">
        <f>VLOOKUP(F18, TMHM!$B$10:$C1519, 2, FALSE)</f>
        <v>Giga Drain</v>
      </c>
      <c r="H18" s="21"/>
      <c r="I18" s="25"/>
      <c r="J18" s="30"/>
    </row>
    <row r="19" spans="1:10" x14ac:dyDescent="0.2">
      <c r="A19" s="120"/>
      <c r="B19" s="16">
        <f>HEX2DEC("0A")</f>
        <v>10</v>
      </c>
      <c r="C19" s="17" t="str">
        <f t="array" ref="C19">INDEX(Moves!$B$2:'Moves'!$B$177, SUM(HEX2DEC("1F"),1), 1)</f>
        <v>Vine Whip</v>
      </c>
      <c r="D19" s="18">
        <f>HEX2DEC("0A")</f>
        <v>10</v>
      </c>
      <c r="E19" s="38" t="str">
        <f t="array" ref="E19">INDEX(Moves!$B$2:'Moves'!$B$177, SUM(HEX2DEC("1F"),1), 1)</f>
        <v>Vine Whip</v>
      </c>
      <c r="F19" s="11">
        <v>21</v>
      </c>
      <c r="G19" s="20" t="str">
        <f>VLOOKUP(F19, TMHM!$B$10:$C1519, 2, FALSE)</f>
        <v>Recover</v>
      </c>
      <c r="H19" s="21"/>
      <c r="I19" s="25"/>
      <c r="J19" s="30"/>
    </row>
    <row r="20" spans="1:10" x14ac:dyDescent="0.2">
      <c r="A20" s="120"/>
      <c r="B20" s="16">
        <f t="shared" ref="B20:B21" si="3">HEX2DEC("0F")</f>
        <v>15</v>
      </c>
      <c r="C20" s="17" t="str">
        <f t="array" ref="C20">INDEX(Moves!$B$2:'Moves'!$B$177, SUM(HEX2DEC("4B"),1), 1)</f>
        <v>PoisonPowder</v>
      </c>
      <c r="D20" s="18">
        <f t="shared" ref="D20:D21" si="4">HEX2DEC("0F")</f>
        <v>15</v>
      </c>
      <c r="E20" s="38" t="str">
        <f t="array" ref="E20">INDEX(Moves!$B$2:'Moves'!$B$177, SUM(HEX2DEC("4B"),1), 1)</f>
        <v>PoisonPowder</v>
      </c>
      <c r="F20" s="11">
        <v>22</v>
      </c>
      <c r="G20" s="20" t="str">
        <f>VLOOKUP(F20, TMHM!$B$10:$C1519, 2, FALSE)</f>
        <v>SolarBeam</v>
      </c>
      <c r="H20" s="21"/>
      <c r="I20" s="25"/>
      <c r="J20" s="30"/>
    </row>
    <row r="21" spans="1:10" x14ac:dyDescent="0.2">
      <c r="A21" s="120"/>
      <c r="B21" s="16">
        <f t="shared" si="3"/>
        <v>15</v>
      </c>
      <c r="C21" s="17" t="str">
        <f t="array" ref="C21">INDEX(Moves!$B$2:'Moves'!$B$177, SUM(HEX2DEC("26"),1), 1)</f>
        <v>Sleep Powder</v>
      </c>
      <c r="D21" s="18">
        <f t="shared" si="4"/>
        <v>15</v>
      </c>
      <c r="E21" s="38" t="str">
        <f t="array" ref="E21">INDEX(Moves!$B$2:'Moves'!$B$177, SUM(HEX2DEC("26"),1), 1)</f>
        <v>Sleep Powder</v>
      </c>
      <c r="F21" s="11">
        <v>33</v>
      </c>
      <c r="G21" s="20" t="str">
        <f>VLOOKUP(F21, TMHM!$B$10:$C1519, 2, FALSE)</f>
        <v>Razor Leaf</v>
      </c>
      <c r="H21" s="21"/>
      <c r="I21" s="25"/>
      <c r="J21" s="30"/>
    </row>
    <row r="22" spans="1:10" x14ac:dyDescent="0.2">
      <c r="A22" s="120"/>
      <c r="B22" s="16">
        <f>HEX2DEC("16")</f>
        <v>22</v>
      </c>
      <c r="C22" s="17" t="str">
        <f t="array" ref="C22">INDEX(Moves!$B$2:'Moves'!$B$177, SUM(HEX2DEC("20"),1), 1)</f>
        <v>Razor Leaf</v>
      </c>
      <c r="D22" s="18">
        <f>HEX2DEC("14")</f>
        <v>20</v>
      </c>
      <c r="E22" s="38" t="str">
        <f t="array" ref="E22">INDEX(Moves!$B$2:'Moves'!$B$177, SUM(HEX2DEC("20"),1), 1)</f>
        <v>Razor Leaf</v>
      </c>
      <c r="F22" s="11"/>
      <c r="H22" s="21"/>
      <c r="I22" s="25"/>
      <c r="J22" s="30"/>
    </row>
    <row r="23" spans="1:10" x14ac:dyDescent="0.2">
      <c r="A23" s="120"/>
      <c r="B23" s="16">
        <f>HEX2DEC("1D")</f>
        <v>29</v>
      </c>
      <c r="C23" s="23" t="str">
        <f t="array" ref="C23">INDEX(Moves!$B$2:'Moves'!$B$177, SUM(HEX2DEC("A6"),1), 1)</f>
        <v>SmokeScreen</v>
      </c>
      <c r="D23" s="40">
        <f>HEX2DEC("1D")</f>
        <v>29</v>
      </c>
      <c r="E23" s="39" t="s">
        <v>17</v>
      </c>
      <c r="F23" s="11"/>
      <c r="H23" s="21"/>
      <c r="I23" s="25"/>
      <c r="J23" s="30"/>
    </row>
    <row r="24" spans="1:10" x14ac:dyDescent="0.2">
      <c r="A24" s="120"/>
      <c r="B24" s="16">
        <f>HEX2DEC("26")</f>
        <v>38</v>
      </c>
      <c r="C24" s="23" t="str">
        <f t="array" ref="C24">INDEX(Moves!$B$2:'Moves'!$B$177, SUM(HEX2DEC("28"),1), 1)</f>
        <v>Stun Spore</v>
      </c>
      <c r="D24" s="40">
        <f>HEX2DEC("26")</f>
        <v>38</v>
      </c>
      <c r="E24" s="39" t="s">
        <v>19</v>
      </c>
      <c r="F24" s="11"/>
      <c r="H24" s="21"/>
      <c r="I24" s="25"/>
      <c r="J24" s="30"/>
    </row>
    <row r="25" spans="1:10" x14ac:dyDescent="0.2">
      <c r="A25" s="120"/>
      <c r="B25" s="16">
        <f>HEX2DEC("2F")</f>
        <v>47</v>
      </c>
      <c r="C25" s="23" t="str">
        <f t="array" ref="C25">INDEX(Moves!$B$2:'Moves'!$B$177, SUM(HEX2DEC("A9"),1), 1)</f>
        <v>Recover</v>
      </c>
      <c r="D25" s="40">
        <f>HEX2DEC("2F")</f>
        <v>47</v>
      </c>
      <c r="E25" s="39" t="s">
        <v>20</v>
      </c>
      <c r="F25" s="11"/>
      <c r="H25" s="21"/>
      <c r="I25" s="25"/>
      <c r="J25" s="30"/>
    </row>
    <row r="26" spans="1:10" x14ac:dyDescent="0.2">
      <c r="A26" s="120"/>
      <c r="B26" s="16">
        <f>HEX2DEC("38")</f>
        <v>56</v>
      </c>
      <c r="C26" s="17" t="str">
        <f t="array" ref="C26">INDEX(Moves!$B$2:'Moves'!$B$177, SUM(HEX2DEC("23"),1), 1)</f>
        <v>SolarBeam</v>
      </c>
      <c r="D26" s="40">
        <f>HEX2DEC("38")</f>
        <v>56</v>
      </c>
      <c r="E26" s="38" t="str">
        <f t="array" ref="E26">INDEX(Moves!$B$2:'Moves'!$B$177, SUM(HEX2DEC("23"),1), 1)</f>
        <v>SolarBeam</v>
      </c>
      <c r="F26" s="11"/>
      <c r="H26" s="21"/>
      <c r="I26" s="25"/>
      <c r="J26" s="30"/>
    </row>
    <row r="27" spans="1:10" x14ac:dyDescent="0.2">
      <c r="A27" s="121" t="s">
        <v>23</v>
      </c>
      <c r="B27" s="7">
        <f>HEX2DEC("00")</f>
        <v>0</v>
      </c>
      <c r="C27" s="33" t="str">
        <f t="array" ref="C27">INDEX(Moves!$B$2:'Moves'!$B$177, SUM(HEX2DEC("89"),1), 1)</f>
        <v>Tackle</v>
      </c>
      <c r="D27" s="9">
        <f t="shared" ref="D27:D30" si="5">HEX2DEC("01")</f>
        <v>1</v>
      </c>
      <c r="E27" s="8" t="str">
        <f t="array" ref="E27">INDEX(Moves!$B$2:'Moves'!$B$177, SUM(HEX2DEC("89"),1), 1)</f>
        <v>Tackle</v>
      </c>
      <c r="F27" s="41">
        <v>1</v>
      </c>
      <c r="G27" s="12" t="str">
        <f>VLOOKUP(F27, TMHM!$B$10:$C1519, 2, FALSE)</f>
        <v>Focus Punch</v>
      </c>
      <c r="H27" s="13">
        <v>1</v>
      </c>
      <c r="I27" s="14" t="str">
        <f>VLOOKUP(H27, TMHM!$B$2:$C$7, 2, FALSE)</f>
        <v>Cut</v>
      </c>
      <c r="J27" s="30"/>
    </row>
    <row r="28" spans="1:10" x14ac:dyDescent="0.2">
      <c r="A28" s="120"/>
      <c r="B28" s="34"/>
      <c r="C28" s="35"/>
      <c r="D28" s="36">
        <f t="shared" si="5"/>
        <v>1</v>
      </c>
      <c r="E28" s="37" t="s">
        <v>22</v>
      </c>
      <c r="F28" s="11">
        <v>6</v>
      </c>
      <c r="G28" s="20" t="str">
        <f>VLOOKUP(F28, TMHM!$B$10:$C1519, 2, FALSE)</f>
        <v>Toxic</v>
      </c>
      <c r="H28" s="21">
        <v>4</v>
      </c>
      <c r="I28" s="20" t="str">
        <f>VLOOKUP(H28, TMHM!$B$2:$C$7, 2, FALSE)</f>
        <v>Strength</v>
      </c>
      <c r="J28" s="30"/>
    </row>
    <row r="29" spans="1:10" x14ac:dyDescent="0.2">
      <c r="A29" s="120"/>
      <c r="B29" s="34"/>
      <c r="C29" s="35"/>
      <c r="D29" s="36">
        <f t="shared" si="5"/>
        <v>1</v>
      </c>
      <c r="E29" s="37" t="s">
        <v>12</v>
      </c>
      <c r="F29" s="11">
        <v>7</v>
      </c>
      <c r="G29" s="20" t="str">
        <f>VLOOKUP(F29, TMHM!$B$10:$C1519, 2, FALSE)</f>
        <v>Secret Power</v>
      </c>
      <c r="H29" s="21">
        <v>5</v>
      </c>
      <c r="I29" s="20" t="str">
        <f>VLOOKUP(H29, TMHM!$B$2:$C$7, 2, FALSE)</f>
        <v>Flash</v>
      </c>
      <c r="J29" s="30"/>
    </row>
    <row r="30" spans="1:10" x14ac:dyDescent="0.2">
      <c r="A30" s="120"/>
      <c r="B30" s="34"/>
      <c r="C30" s="35"/>
      <c r="D30" s="36">
        <f t="shared" si="5"/>
        <v>1</v>
      </c>
      <c r="E30" s="37" t="s">
        <v>24</v>
      </c>
      <c r="F30" s="11">
        <v>17</v>
      </c>
      <c r="G30" s="20" t="str">
        <f>VLOOKUP(F30, TMHM!$B$10:$C1519, 2, FALSE)</f>
        <v>SmokeScreen</v>
      </c>
      <c r="H30" s="21"/>
      <c r="I30" s="25"/>
      <c r="J30" s="30"/>
    </row>
    <row r="31" spans="1:10" x14ac:dyDescent="0.2">
      <c r="A31" s="120"/>
      <c r="B31" s="16">
        <f>HEX2DEC("4")</f>
        <v>4</v>
      </c>
      <c r="C31" s="17" t="str">
        <f t="array" ref="C31">INDEX(Moves!$B$2:'Moves'!$B$177, SUM(HEX2DEC("A0"),1), 1)</f>
        <v>Growl</v>
      </c>
      <c r="D31" s="18">
        <f>HEX2DEC("4")</f>
        <v>4</v>
      </c>
      <c r="E31" s="38" t="str">
        <f t="array" ref="E31">INDEX(Moves!$B$2:'Moves'!$B$177, SUM(HEX2DEC("A0"),1), 1)</f>
        <v>Growl</v>
      </c>
      <c r="F31" s="11">
        <v>19</v>
      </c>
      <c r="G31" s="20" t="str">
        <f>VLOOKUP(F31, TMHM!$B$10:$C1519, 2, FALSE)</f>
        <v>Giga Drain</v>
      </c>
      <c r="H31" s="21"/>
      <c r="I31" s="25"/>
      <c r="J31" s="30"/>
    </row>
    <row r="32" spans="1:10" x14ac:dyDescent="0.2">
      <c r="A32" s="120"/>
      <c r="B32" s="16">
        <f>HEX2DEC("7")</f>
        <v>7</v>
      </c>
      <c r="C32" s="23" t="str">
        <f t="array" ref="C32">INDEX(Moves!$B$2:'Moves'!$B$177, SUM(HEX2DEC("1C"),1), 1)</f>
        <v>Absorb</v>
      </c>
      <c r="D32" s="18">
        <f>HEX2DEC("7")</f>
        <v>7</v>
      </c>
      <c r="E32" s="39" t="s">
        <v>12</v>
      </c>
      <c r="F32" s="11">
        <v>21</v>
      </c>
      <c r="G32" s="20" t="str">
        <f>VLOOKUP(F32, TMHM!$B$10:$C1519, 2, FALSE)</f>
        <v>Recover</v>
      </c>
      <c r="H32" s="21"/>
      <c r="I32" s="25"/>
      <c r="J32" s="30"/>
    </row>
    <row r="33" spans="1:10" x14ac:dyDescent="0.2">
      <c r="A33" s="120"/>
      <c r="B33" s="16">
        <f>HEX2DEC("0A")</f>
        <v>10</v>
      </c>
      <c r="C33" s="17" t="str">
        <f t="array" ref="C33">INDEX(Moves!$B$2:'Moves'!$B$177, SUM(HEX2DEC("1F"),1), 1)</f>
        <v>Vine Whip</v>
      </c>
      <c r="D33" s="18">
        <f>HEX2DEC("0A")</f>
        <v>10</v>
      </c>
      <c r="E33" s="38" t="str">
        <f t="array" ref="E33">INDEX(Moves!$B$2:'Moves'!$B$177, SUM(HEX2DEC("1F"),1), 1)</f>
        <v>Vine Whip</v>
      </c>
      <c r="F33" s="11">
        <v>22</v>
      </c>
      <c r="G33" s="20" t="str">
        <f>VLOOKUP(F33, TMHM!$B$10:$C1519, 2, FALSE)</f>
        <v>SolarBeam</v>
      </c>
      <c r="H33" s="21"/>
      <c r="I33" s="25"/>
      <c r="J33" s="30"/>
    </row>
    <row r="34" spans="1:10" x14ac:dyDescent="0.2">
      <c r="A34" s="120"/>
      <c r="B34" s="16">
        <f t="shared" ref="B34:B35" si="6">HEX2DEC("0F")</f>
        <v>15</v>
      </c>
      <c r="C34" s="17" t="str">
        <f t="array" ref="C34">INDEX(Moves!$B$2:'Moves'!$B$177, SUM(HEX2DEC("4B"),1), 1)</f>
        <v>PoisonPowder</v>
      </c>
      <c r="D34" s="18">
        <f t="shared" ref="D34:D35" si="7">HEX2DEC("0F")</f>
        <v>15</v>
      </c>
      <c r="E34" s="38" t="str">
        <f t="array" ref="E34">INDEX(Moves!$B$2:'Moves'!$B$177, SUM(HEX2DEC("4B"),1), 1)</f>
        <v>PoisonPowder</v>
      </c>
      <c r="F34" s="11">
        <v>33</v>
      </c>
      <c r="G34" s="20" t="str">
        <f>VLOOKUP(F34, TMHM!$B$10:$C1519, 2, FALSE)</f>
        <v>Razor Leaf</v>
      </c>
      <c r="H34" s="21"/>
      <c r="I34" s="25"/>
      <c r="J34" s="30"/>
    </row>
    <row r="35" spans="1:10" x14ac:dyDescent="0.2">
      <c r="A35" s="120"/>
      <c r="B35" s="16">
        <f t="shared" si="6"/>
        <v>15</v>
      </c>
      <c r="C35" s="17" t="str">
        <f t="array" ref="C35">INDEX(Moves!$B$2:'Moves'!$B$177, SUM(HEX2DEC("26"),1), 1)</f>
        <v>Sleep Powder</v>
      </c>
      <c r="D35" s="18">
        <f t="shared" si="7"/>
        <v>15</v>
      </c>
      <c r="E35" s="38" t="str">
        <f t="array" ref="E35">INDEX(Moves!$B$2:'Moves'!$B$177, SUM(HEX2DEC("26"),1), 1)</f>
        <v>Sleep Powder</v>
      </c>
      <c r="F35" s="11"/>
      <c r="H35" s="21"/>
      <c r="I35" s="25"/>
      <c r="J35" s="30"/>
    </row>
    <row r="36" spans="1:10" x14ac:dyDescent="0.2">
      <c r="A36" s="120"/>
      <c r="B36" s="16">
        <f>HEX2DEC("16")</f>
        <v>22</v>
      </c>
      <c r="C36" s="17" t="str">
        <f t="array" ref="C36">INDEX(Moves!$B$2:'Moves'!$B$177, SUM(HEX2DEC("20"),1), 1)</f>
        <v>Razor Leaf</v>
      </c>
      <c r="D36" s="18">
        <f>HEX2DEC("14")</f>
        <v>20</v>
      </c>
      <c r="E36" s="38" t="str">
        <f t="array" ref="E36">INDEX(Moves!$B$2:'Moves'!$B$177, SUM(HEX2DEC("20"),1), 1)</f>
        <v>Razor Leaf</v>
      </c>
      <c r="F36" s="11"/>
      <c r="H36" s="21"/>
      <c r="I36" s="25"/>
      <c r="J36" s="30"/>
    </row>
    <row r="37" spans="1:10" x14ac:dyDescent="0.2">
      <c r="A37" s="120"/>
      <c r="B37" s="16">
        <f>HEX2DEC("1D")</f>
        <v>29</v>
      </c>
      <c r="C37" s="23" t="str">
        <f t="array" ref="C37">INDEX(Moves!$B$2:'Moves'!$B$177, SUM(HEX2DEC("A6"),1), 1)</f>
        <v>SmokeScreen</v>
      </c>
      <c r="D37" s="40">
        <f>HEX2DEC("1D")</f>
        <v>29</v>
      </c>
      <c r="E37" s="39" t="s">
        <v>17</v>
      </c>
      <c r="F37" s="11"/>
      <c r="H37" s="21"/>
      <c r="I37" s="25"/>
      <c r="J37" s="30"/>
    </row>
    <row r="38" spans="1:10" x14ac:dyDescent="0.2">
      <c r="A38" s="120"/>
      <c r="B38" s="16">
        <f>HEX2DEC("29")</f>
        <v>41</v>
      </c>
      <c r="C38" s="23" t="str">
        <f t="array" ref="C38">INDEX(Moves!$B$2:'Moves'!$B$177, SUM(HEX2DEC("28"),1), 1)</f>
        <v>Stun Spore</v>
      </c>
      <c r="D38" s="40">
        <f>HEX2DEC("29")</f>
        <v>41</v>
      </c>
      <c r="E38" s="39" t="s">
        <v>19</v>
      </c>
      <c r="F38" s="11"/>
      <c r="H38" s="21"/>
      <c r="I38" s="25"/>
      <c r="J38" s="30"/>
    </row>
    <row r="39" spans="1:10" x14ac:dyDescent="0.2">
      <c r="A39" s="120"/>
      <c r="B39" s="16">
        <f>HEX2DEC("35")</f>
        <v>53</v>
      </c>
      <c r="C39" s="23" t="str">
        <f t="array" ref="C39">INDEX(Moves!$B$2:'Moves'!$B$177, SUM(HEX2DEC("A9"),1), 1)</f>
        <v>Recover</v>
      </c>
      <c r="D39" s="40">
        <f>HEX2DEC("35")</f>
        <v>53</v>
      </c>
      <c r="E39" s="39" t="s">
        <v>20</v>
      </c>
      <c r="F39" s="11"/>
      <c r="H39" s="21"/>
      <c r="I39" s="25"/>
      <c r="J39" s="30"/>
    </row>
    <row r="40" spans="1:10" x14ac:dyDescent="0.2">
      <c r="A40" s="120"/>
      <c r="B40" s="16">
        <f>HEX2DEC("41")</f>
        <v>65</v>
      </c>
      <c r="C40" s="17" t="str">
        <f t="array" ref="C40">INDEX(Moves!$B$2:'Moves'!$B$177, SUM(HEX2DEC("23"),1), 1)</f>
        <v>SolarBeam</v>
      </c>
      <c r="D40" s="40">
        <f>HEX2DEC("41")</f>
        <v>65</v>
      </c>
      <c r="E40" s="38" t="str">
        <f t="array" ref="E40">INDEX(Moves!$B$2:'Moves'!$B$177, SUM(HEX2DEC("23"),1), 1)</f>
        <v>SolarBeam</v>
      </c>
      <c r="F40" s="11"/>
      <c r="H40" s="21"/>
      <c r="I40" s="25"/>
      <c r="J40" s="30"/>
    </row>
    <row r="41" spans="1:10" x14ac:dyDescent="0.2">
      <c r="A41" s="121" t="s">
        <v>25</v>
      </c>
      <c r="B41" s="7">
        <f>HEX2DEC("00")</f>
        <v>0</v>
      </c>
      <c r="C41" s="33" t="str">
        <f t="array" ref="C41">INDEX(Moves!$B$2:'Moves'!$B$177, SUM(HEX2DEC("8B"),1), 1)</f>
        <v>Scratch</v>
      </c>
      <c r="D41" s="42">
        <f t="shared" ref="D41:D42" si="8">HEX2DEC("01")</f>
        <v>1</v>
      </c>
      <c r="E41" s="33" t="str">
        <f t="array" ref="E41">INDEX(Moves!$B$2:'Moves'!$B$177, SUM(HEX2DEC("8B"),1), 1)</f>
        <v>Scratch</v>
      </c>
      <c r="F41" s="41">
        <v>1</v>
      </c>
      <c r="G41" s="12" t="str">
        <f>VLOOKUP(F41, TMHM!$B$10:$C1519, 2, FALSE)</f>
        <v>Focus Punch</v>
      </c>
      <c r="H41" s="13">
        <v>1</v>
      </c>
      <c r="I41" s="14" t="str">
        <f>VLOOKUP(H41, TMHM!$B$2:$C$7, 2, FALSE)</f>
        <v>Cut</v>
      </c>
      <c r="J41" s="30"/>
    </row>
    <row r="42" spans="1:10" x14ac:dyDescent="0.2">
      <c r="A42" s="120"/>
      <c r="B42" s="43">
        <f>HEX2DEC("04")</f>
        <v>4</v>
      </c>
      <c r="C42" s="44" t="str">
        <f t="array" ref="C42">INDEX(Moves!$B$2:'Moves'!$B$177, SUM(HEX2DEC("A0"),1), 1)</f>
        <v>Growl</v>
      </c>
      <c r="D42" s="45">
        <f t="shared" si="8"/>
        <v>1</v>
      </c>
      <c r="E42" s="44" t="str">
        <f t="array" ref="E42">INDEX(Moves!$B$2:'Moves'!$B$177, SUM(HEX2DEC("A0"),1), 1)</f>
        <v>Growl</v>
      </c>
      <c r="F42" s="11">
        <v>2</v>
      </c>
      <c r="G42" s="20" t="str">
        <f>VLOOKUP(F42, TMHM!$B$10:$C1519, 2, FALSE)</f>
        <v>Dragon Claw</v>
      </c>
      <c r="H42" s="21">
        <v>5</v>
      </c>
      <c r="I42" s="20" t="str">
        <f>VLOOKUP(H42, TMHM!$B$2:$C$7, 2, FALSE)</f>
        <v>Flash</v>
      </c>
      <c r="J42" s="30"/>
    </row>
    <row r="43" spans="1:10" x14ac:dyDescent="0.2">
      <c r="A43" s="120"/>
      <c r="B43" s="46">
        <f>HEX2DEC("07")</f>
        <v>7</v>
      </c>
      <c r="C43" s="44" t="str">
        <f t="array" ref="C43">INDEX(Moves!$B$2:'Moves'!$B$177, SUM(HEX2DEC("00"),1), 1)</f>
        <v>Ember</v>
      </c>
      <c r="D43" s="47">
        <f>HEX2DEC("07")</f>
        <v>7</v>
      </c>
      <c r="E43" s="44" t="str">
        <f t="array" ref="E43">INDEX(Moves!$B$2:'Moves'!$B$177, SUM(HEX2DEC("00"),1), 1)</f>
        <v>Ember</v>
      </c>
      <c r="F43" s="11">
        <v>5</v>
      </c>
      <c r="G43" s="20" t="str">
        <f>VLOOKUP(F43, TMHM!$B$10:$C1519, 2, FALSE)</f>
        <v>Roar</v>
      </c>
      <c r="H43" s="21"/>
      <c r="J43" s="30"/>
    </row>
    <row r="44" spans="1:10" x14ac:dyDescent="0.2">
      <c r="A44" s="120"/>
      <c r="B44" s="46">
        <f>HEX2DEC("0D")</f>
        <v>13</v>
      </c>
      <c r="C44" s="44" t="str">
        <f t="array" ref="C44">INDEX(Moves!$B$2:'Moves'!$B$177, SUM(HEX2DEC("A6"),1), 1)</f>
        <v>SmokeScreen</v>
      </c>
      <c r="D44" s="47">
        <f>HEX2DEC("0D")</f>
        <v>13</v>
      </c>
      <c r="E44" s="44" t="str">
        <f t="array" ref="E44">INDEX(Moves!$B$2:'Moves'!$B$177, SUM(HEX2DEC("A6"),1), 1)</f>
        <v>SmokeScreen</v>
      </c>
      <c r="F44" s="11">
        <v>21</v>
      </c>
      <c r="G44" s="20" t="str">
        <f>VLOOKUP(F44, TMHM!$B$10:$C1519, 2, FALSE)</f>
        <v>Recover</v>
      </c>
      <c r="H44" s="21"/>
      <c r="I44" s="25"/>
      <c r="J44" s="30"/>
    </row>
    <row r="45" spans="1:10" x14ac:dyDescent="0.2">
      <c r="A45" s="120"/>
      <c r="B45" s="48">
        <f>HEX2DEC("13")</f>
        <v>19</v>
      </c>
      <c r="C45" s="23" t="str">
        <f t="array" ref="C45">INDEX(Moves!$B$2:'Moves'!$B$177, SUM(HEX2DEC("79"),1), 1)</f>
        <v>Dragon Rage</v>
      </c>
      <c r="D45" s="49">
        <f>HEX2DEC("13")</f>
        <v>19</v>
      </c>
      <c r="E45" s="23" t="s">
        <v>26</v>
      </c>
      <c r="F45" s="11">
        <v>27</v>
      </c>
      <c r="G45" s="20" t="str">
        <f>VLOOKUP(F45, TMHM!$B$10:$C1519, 2, FALSE)</f>
        <v>Fire Punch</v>
      </c>
      <c r="H45" s="21"/>
      <c r="I45" s="25"/>
      <c r="J45" s="30"/>
    </row>
    <row r="46" spans="1:10" x14ac:dyDescent="0.2">
      <c r="A46" s="120"/>
      <c r="B46" s="48">
        <f>HEX2DEC("19")</f>
        <v>25</v>
      </c>
      <c r="C46" s="23" t="str">
        <f t="array" ref="C46">INDEX(Moves!$B$2:'Moves'!$B$177, SUM(HEX2DEC("A5"),1), 1)</f>
        <v>Tickle</v>
      </c>
      <c r="D46" s="49">
        <f>HEX2DEC("19")</f>
        <v>25</v>
      </c>
      <c r="E46" s="23" t="s">
        <v>27</v>
      </c>
      <c r="F46" s="11">
        <v>38</v>
      </c>
      <c r="G46" s="20" t="str">
        <f>VLOOKUP(F46, TMHM!$B$10:$C1519, 2, FALSE)</f>
        <v>Fire Blast</v>
      </c>
      <c r="H46" s="21"/>
      <c r="I46" s="25"/>
      <c r="J46" s="30"/>
    </row>
    <row r="47" spans="1:10" x14ac:dyDescent="0.2">
      <c r="A47" s="120"/>
      <c r="B47" s="50">
        <f>HEX2DEC("1F")</f>
        <v>31</v>
      </c>
      <c r="C47" s="51" t="str">
        <f t="array" ref="C47">INDEX(Moves!$B$2:'Moves'!$B$177, SUM(HEX2DEC("01"),1), 1)</f>
        <v>Flame Wheel</v>
      </c>
      <c r="D47" s="52">
        <f>HEX2DEC("1F")</f>
        <v>31</v>
      </c>
      <c r="E47" s="51" t="str">
        <f t="array" ref="E47">INDEX(Moves!$B$2:'Moves'!$B$177, SUM(HEX2DEC("03"),1), 1)</f>
        <v>Flamethrower</v>
      </c>
      <c r="F47" s="16"/>
      <c r="H47" s="21"/>
      <c r="I47" s="25"/>
      <c r="J47" s="30"/>
    </row>
    <row r="48" spans="1:10" x14ac:dyDescent="0.2">
      <c r="A48" s="120"/>
      <c r="B48" s="53">
        <f>HEX2DEC("25")</f>
        <v>37</v>
      </c>
      <c r="C48" s="39" t="str">
        <f t="array" ref="C48">INDEX(Moves!$B$2:'Moves'!$B$177, SUM(HEX2DEC("4F"),1), 1)</f>
        <v>Karate Chop</v>
      </c>
      <c r="D48" s="53">
        <f>HEX2DEC("25")</f>
        <v>37</v>
      </c>
      <c r="E48" s="39" t="s">
        <v>28</v>
      </c>
      <c r="F48" s="11"/>
      <c r="H48" s="21"/>
      <c r="I48" s="25"/>
      <c r="J48" s="30"/>
    </row>
    <row r="49" spans="1:10" x14ac:dyDescent="0.2">
      <c r="A49" s="120"/>
      <c r="B49" s="54">
        <f>HEX2DEC("2B")</f>
        <v>43</v>
      </c>
      <c r="C49" s="55" t="str">
        <f t="array" ref="C49">INDEX(Moves!$B$2:'Moves'!$B$177, SUM(HEX2DEC("7C"),1), 1)</f>
        <v>Outrage</v>
      </c>
      <c r="D49" s="54">
        <f>HEX2DEC("2B")</f>
        <v>43</v>
      </c>
      <c r="E49" s="55" t="s">
        <v>29</v>
      </c>
      <c r="F49" s="11"/>
      <c r="H49" s="21"/>
      <c r="I49" s="25"/>
      <c r="J49" s="30"/>
    </row>
    <row r="50" spans="1:10" x14ac:dyDescent="0.2">
      <c r="A50" s="120"/>
      <c r="B50" s="53">
        <f>HEX2DEC("31")</f>
        <v>49</v>
      </c>
      <c r="C50" s="39" t="str">
        <f t="array" ref="C50">INDEX(Moves!$B$2:'Moves'!$B$177, SUM(HEX2DEC("03"),1), 1)</f>
        <v>Flamethrower</v>
      </c>
      <c r="D50" s="53">
        <f>HEX2DEC("31")</f>
        <v>49</v>
      </c>
      <c r="E50" s="39" t="s">
        <v>30</v>
      </c>
      <c r="F50" s="11"/>
      <c r="H50" s="21"/>
      <c r="I50" s="25"/>
      <c r="J50" s="30"/>
    </row>
    <row r="51" spans="1:10" x14ac:dyDescent="0.2">
      <c r="A51" s="121" t="s">
        <v>31</v>
      </c>
      <c r="B51" s="7">
        <f>HEX2DEC("00")</f>
        <v>0</v>
      </c>
      <c r="C51" s="33" t="str">
        <f t="array" ref="C51">INDEX(Moves!$B$2:'Moves'!$B$177, SUM(HEX2DEC("8B"),1), 1)</f>
        <v>Scratch</v>
      </c>
      <c r="D51" s="42">
        <f t="shared" ref="D51:D53" si="9">HEX2DEC("01")</f>
        <v>1</v>
      </c>
      <c r="E51" s="33" t="str">
        <f t="array" ref="E51">INDEX(Moves!$B$2:'Moves'!$B$177, SUM(HEX2DEC("8B"),1), 1)</f>
        <v>Scratch</v>
      </c>
      <c r="F51" s="41">
        <v>1</v>
      </c>
      <c r="G51" s="12" t="str">
        <f>VLOOKUP(F51, TMHM!$B$10:$C1519, 2, FALSE)</f>
        <v>Focus Punch</v>
      </c>
      <c r="H51" s="13">
        <v>1</v>
      </c>
      <c r="I51" s="14" t="str">
        <f>VLOOKUP(H51, TMHM!$B$2:$C$7, 2, FALSE)</f>
        <v>Cut</v>
      </c>
      <c r="J51" s="30"/>
    </row>
    <row r="52" spans="1:10" x14ac:dyDescent="0.2">
      <c r="A52" s="120"/>
      <c r="B52" s="43">
        <f>HEX2DEC("04")</f>
        <v>4</v>
      </c>
      <c r="C52" s="44" t="str">
        <f t="array" ref="C52">INDEX(Moves!$B$2:'Moves'!$B$177, SUM(HEX2DEC("A0"),1), 1)</f>
        <v>Growl</v>
      </c>
      <c r="D52" s="45">
        <f t="shared" si="9"/>
        <v>1</v>
      </c>
      <c r="E52" s="44" t="str">
        <f t="array" ref="E52">INDEX(Moves!$B$2:'Moves'!$B$177, SUM(HEX2DEC("A0"),1), 1)</f>
        <v>Growl</v>
      </c>
      <c r="F52" s="11">
        <v>2</v>
      </c>
      <c r="G52" s="20" t="str">
        <f>VLOOKUP(F52, TMHM!$B$10:$C1519, 2, FALSE)</f>
        <v>Dragon Claw</v>
      </c>
      <c r="H52" s="21">
        <v>5</v>
      </c>
      <c r="I52" s="20" t="str">
        <f>VLOOKUP(H52, TMHM!$B$2:$C$7, 2, FALSE)</f>
        <v>Flash</v>
      </c>
      <c r="J52" s="30"/>
    </row>
    <row r="53" spans="1:10" x14ac:dyDescent="0.2">
      <c r="A53" s="120"/>
      <c r="B53" s="34"/>
      <c r="C53" s="35"/>
      <c r="D53" s="56">
        <f t="shared" si="9"/>
        <v>1</v>
      </c>
      <c r="E53" s="35" t="str">
        <f t="array" ref="E53">INDEX(Moves!$B$2:'Moves'!$B$177, SUM(HEX2DEC("00"),1), 1)</f>
        <v>Ember</v>
      </c>
      <c r="F53" s="11">
        <v>5</v>
      </c>
      <c r="G53" s="20" t="str">
        <f>VLOOKUP(F53, TMHM!$B$10:$C1519, 2, FALSE)</f>
        <v>Roar</v>
      </c>
      <c r="H53" s="21"/>
      <c r="J53" s="30"/>
    </row>
    <row r="54" spans="1:10" x14ac:dyDescent="0.2">
      <c r="A54" s="120"/>
      <c r="B54" s="46">
        <f>HEX2DEC("07")</f>
        <v>7</v>
      </c>
      <c r="C54" s="44" t="str">
        <f t="array" ref="C54">INDEX(Moves!$B$2:'Moves'!$B$177, SUM(HEX2DEC("00"),1), 1)</f>
        <v>Ember</v>
      </c>
      <c r="D54" s="47">
        <f>HEX2DEC("07")</f>
        <v>7</v>
      </c>
      <c r="E54" s="44" t="str">
        <f t="array" ref="E54">INDEX(Moves!$B$2:'Moves'!$B$177, SUM(HEX2DEC("00"),1), 1)</f>
        <v>Ember</v>
      </c>
      <c r="F54" s="11">
        <v>21</v>
      </c>
      <c r="G54" s="20" t="str">
        <f>VLOOKUP(F54, TMHM!$B$10:$C1519, 2, FALSE)</f>
        <v>Recover</v>
      </c>
      <c r="H54" s="21"/>
      <c r="I54" s="25"/>
      <c r="J54" s="30"/>
    </row>
    <row r="55" spans="1:10" x14ac:dyDescent="0.2">
      <c r="A55" s="120"/>
      <c r="B55" s="46">
        <f>HEX2DEC("0D")</f>
        <v>13</v>
      </c>
      <c r="C55" s="44" t="str">
        <f t="array" ref="C55">INDEX(Moves!$B$2:'Moves'!$B$177, SUM(HEX2DEC("A6"),1), 1)</f>
        <v>SmokeScreen</v>
      </c>
      <c r="D55" s="47">
        <f>HEX2DEC("0D")</f>
        <v>13</v>
      </c>
      <c r="E55" s="44" t="str">
        <f t="array" ref="E55">INDEX(Moves!$B$2:'Moves'!$B$177, SUM(HEX2DEC("A6"),1), 1)</f>
        <v>SmokeScreen</v>
      </c>
      <c r="F55" s="11">
        <v>27</v>
      </c>
      <c r="G55" s="20" t="str">
        <f>VLOOKUP(F55, TMHM!$B$10:$C1519, 2, FALSE)</f>
        <v>Fire Punch</v>
      </c>
      <c r="H55" s="21"/>
      <c r="I55" s="25"/>
      <c r="J55" s="30"/>
    </row>
    <row r="56" spans="1:10" x14ac:dyDescent="0.2">
      <c r="A56" s="120"/>
      <c r="B56" s="48">
        <f>HEX2DEC("14")</f>
        <v>20</v>
      </c>
      <c r="C56" s="23" t="str">
        <f t="array" ref="C56">INDEX(Moves!$B$2:'Moves'!$B$177, SUM(HEX2DEC("79"),1), 1)</f>
        <v>Dragon Rage</v>
      </c>
      <c r="D56" s="49">
        <f>HEX2DEC("14")</f>
        <v>20</v>
      </c>
      <c r="E56" s="23" t="s">
        <v>26</v>
      </c>
      <c r="F56" s="11">
        <v>38</v>
      </c>
      <c r="G56" s="20" t="str">
        <f>VLOOKUP(F56, TMHM!$B$10:$C1519, 2, FALSE)</f>
        <v>Fire Blast</v>
      </c>
      <c r="H56" s="21"/>
      <c r="I56" s="25"/>
      <c r="J56" s="30"/>
    </row>
    <row r="57" spans="1:10" x14ac:dyDescent="0.2">
      <c r="A57" s="120"/>
      <c r="B57" s="48">
        <f>HEX2DEC("1B")</f>
        <v>27</v>
      </c>
      <c r="C57" s="23" t="str">
        <f t="array" ref="C57">INDEX(Moves!$B$2:'Moves'!$B$177, SUM(HEX2DEC("A5"),1), 1)</f>
        <v>Tickle</v>
      </c>
      <c r="D57" s="49">
        <f>HEX2DEC("1B")</f>
        <v>27</v>
      </c>
      <c r="E57" s="23" t="s">
        <v>27</v>
      </c>
      <c r="F57" s="11"/>
      <c r="H57" s="21"/>
      <c r="I57" s="25"/>
      <c r="J57" s="30"/>
    </row>
    <row r="58" spans="1:10" x14ac:dyDescent="0.2">
      <c r="A58" s="120"/>
      <c r="B58" s="50">
        <f>HEX2DEC("22")</f>
        <v>34</v>
      </c>
      <c r="C58" s="51" t="str">
        <f t="array" ref="C58">INDEX(Moves!$B$2:'Moves'!$B$177, SUM(HEX2DEC("01"),1), 1)</f>
        <v>Flame Wheel</v>
      </c>
      <c r="D58" s="52">
        <f>HEX2DEC("22")</f>
        <v>34</v>
      </c>
      <c r="E58" s="51" t="str">
        <f t="array" ref="E58">INDEX(Moves!$B$2:'Moves'!$B$177, SUM(HEX2DEC("03"),1), 1)</f>
        <v>Flamethrower</v>
      </c>
      <c r="F58" s="57"/>
      <c r="H58" s="21"/>
      <c r="I58" s="25"/>
      <c r="J58" s="30"/>
    </row>
    <row r="59" spans="1:10" x14ac:dyDescent="0.2">
      <c r="A59" s="120"/>
      <c r="B59" s="53">
        <f>HEX2DEC("29")</f>
        <v>41</v>
      </c>
      <c r="C59" s="39" t="str">
        <f t="array" ref="C59">INDEX(Moves!$B$2:'Moves'!$B$177, SUM(HEX2DEC("4F"),1), 1)</f>
        <v>Karate Chop</v>
      </c>
      <c r="D59" s="53">
        <f>HEX2DEC("29")</f>
        <v>41</v>
      </c>
      <c r="E59" s="39" t="s">
        <v>28</v>
      </c>
      <c r="F59" s="57"/>
      <c r="H59" s="21"/>
      <c r="I59" s="25"/>
      <c r="J59" s="30"/>
    </row>
    <row r="60" spans="1:10" x14ac:dyDescent="0.2">
      <c r="A60" s="120"/>
      <c r="B60" s="54">
        <f>HEX2DEC("30")</f>
        <v>48</v>
      </c>
      <c r="C60" s="55" t="str">
        <f t="array" ref="C60">INDEX(Moves!$B$2:'Moves'!$B$177, SUM(HEX2DEC("7C"),1), 1)</f>
        <v>Outrage</v>
      </c>
      <c r="D60" s="54">
        <f>HEX2DEC("30")</f>
        <v>48</v>
      </c>
      <c r="E60" s="55" t="s">
        <v>29</v>
      </c>
      <c r="F60" s="57"/>
      <c r="H60" s="21"/>
      <c r="I60" s="25"/>
      <c r="J60" s="30"/>
    </row>
    <row r="61" spans="1:10" x14ac:dyDescent="0.2">
      <c r="A61" s="120"/>
      <c r="B61" s="53">
        <f>HEX2DEC("37")</f>
        <v>55</v>
      </c>
      <c r="C61" s="39" t="str">
        <f t="array" ref="C61">INDEX(Moves!$B$2:'Moves'!$B$177, SUM(HEX2DEC("03"),1), 1)</f>
        <v>Flamethrower</v>
      </c>
      <c r="D61" s="53">
        <f>HEX2DEC("37")</f>
        <v>55</v>
      </c>
      <c r="E61" s="39" t="s">
        <v>30</v>
      </c>
      <c r="F61" s="57"/>
      <c r="H61" s="21"/>
      <c r="I61" s="25"/>
      <c r="J61" s="30"/>
    </row>
    <row r="62" spans="1:10" x14ac:dyDescent="0.2">
      <c r="A62" s="121" t="s">
        <v>32</v>
      </c>
      <c r="B62" s="7">
        <f>HEX2DEC("00")</f>
        <v>0</v>
      </c>
      <c r="C62" s="33" t="str">
        <f t="array" ref="C62">INDEX(Moves!$B$2:'Moves'!$B$177, SUM(HEX2DEC("8B"),1), 1)</f>
        <v>Scratch</v>
      </c>
      <c r="D62" s="42">
        <f t="shared" ref="D62:D65" si="10">HEX2DEC("01")</f>
        <v>1</v>
      </c>
      <c r="E62" s="33" t="str">
        <f t="array" ref="E62">INDEX(Moves!$B$2:'Moves'!$B$177, SUM(HEX2DEC("8B"),1), 1)</f>
        <v>Scratch</v>
      </c>
      <c r="F62" s="41">
        <v>1</v>
      </c>
      <c r="G62" s="12" t="str">
        <f>VLOOKUP(F62, TMHM!$B$10:$C1519, 2, FALSE)</f>
        <v>Focus Punch</v>
      </c>
      <c r="H62" s="13">
        <v>1</v>
      </c>
      <c r="I62" s="14" t="str">
        <f>VLOOKUP(H62, TMHM!$B$2:$C$7, 2, FALSE)</f>
        <v>Cut</v>
      </c>
      <c r="J62" s="30"/>
    </row>
    <row r="63" spans="1:10" x14ac:dyDescent="0.2">
      <c r="A63" s="120"/>
      <c r="B63" s="43">
        <f>HEX2DEC("04")</f>
        <v>4</v>
      </c>
      <c r="C63" s="44" t="str">
        <f t="array" ref="C63">INDEX(Moves!$B$2:'Moves'!$B$177, SUM(HEX2DEC("A0"),1), 1)</f>
        <v>Growl</v>
      </c>
      <c r="D63" s="45">
        <f t="shared" si="10"/>
        <v>1</v>
      </c>
      <c r="E63" s="44" t="str">
        <f t="array" ref="E63">INDEX(Moves!$B$2:'Moves'!$B$177, SUM(HEX2DEC("A0"),1), 1)</f>
        <v>Growl</v>
      </c>
      <c r="F63" s="11">
        <v>2</v>
      </c>
      <c r="G63" s="20" t="str">
        <f>VLOOKUP(F63, TMHM!$B$10:$C1519, 2, FALSE)</f>
        <v>Dragon Claw</v>
      </c>
      <c r="H63" s="21">
        <v>2</v>
      </c>
      <c r="I63" s="20" t="str">
        <f>VLOOKUP(H63, TMHM!$B$2:$C$7, 2, FALSE)</f>
        <v>Fly</v>
      </c>
      <c r="J63" s="30"/>
    </row>
    <row r="64" spans="1:10" x14ac:dyDescent="0.2">
      <c r="A64" s="120"/>
      <c r="B64" s="34"/>
      <c r="C64" s="35"/>
      <c r="D64" s="56">
        <f t="shared" si="10"/>
        <v>1</v>
      </c>
      <c r="E64" s="35" t="str">
        <f t="array" ref="E64">INDEX(Moves!$B$2:'Moves'!$B$177, SUM(HEX2DEC("00"),1), 1)</f>
        <v>Ember</v>
      </c>
      <c r="F64" s="11">
        <v>5</v>
      </c>
      <c r="G64" s="20" t="str">
        <f>VLOOKUP(F64, TMHM!$B$10:$C1519, 2, FALSE)</f>
        <v>Roar</v>
      </c>
      <c r="H64" s="21">
        <v>4</v>
      </c>
      <c r="I64" s="20" t="str">
        <f>VLOOKUP(H64, TMHM!$B$2:$C$7, 2, FALSE)</f>
        <v>Strength</v>
      </c>
      <c r="J64" s="30"/>
    </row>
    <row r="65" spans="1:10" x14ac:dyDescent="0.2">
      <c r="A65" s="120"/>
      <c r="B65" s="34"/>
      <c r="C65" s="35"/>
      <c r="D65" s="56">
        <f t="shared" si="10"/>
        <v>1</v>
      </c>
      <c r="E65" s="35" t="str">
        <f t="array" ref="E65">INDEX(Moves!$B$2:'Moves'!$B$177, SUM(HEX2DEC("A6"),1), 1)</f>
        <v>SmokeScreen</v>
      </c>
      <c r="F65" s="11">
        <v>21</v>
      </c>
      <c r="G65" s="20" t="str">
        <f>VLOOKUP(F65, TMHM!$B$10:$C1519, 2, FALSE)</f>
        <v>Recover</v>
      </c>
      <c r="H65" s="21">
        <v>5</v>
      </c>
      <c r="I65" s="20" t="str">
        <f>VLOOKUP(H65, TMHM!$B$2:$C$7, 2, FALSE)</f>
        <v>Flash</v>
      </c>
      <c r="J65" s="30"/>
    </row>
    <row r="66" spans="1:10" x14ac:dyDescent="0.2">
      <c r="A66" s="120"/>
      <c r="B66" s="46">
        <f>HEX2DEC("07")</f>
        <v>7</v>
      </c>
      <c r="C66" s="44" t="str">
        <f t="array" ref="C66">INDEX(Moves!$B$2:'Moves'!$B$177, SUM(HEX2DEC("00"),1), 1)</f>
        <v>Ember</v>
      </c>
      <c r="D66" s="47">
        <f>HEX2DEC("07")</f>
        <v>7</v>
      </c>
      <c r="E66" s="44" t="str">
        <f t="array" ref="E66">INDEX(Moves!$B$2:'Moves'!$B$177, SUM(HEX2DEC("00"),1), 1)</f>
        <v>Ember</v>
      </c>
      <c r="F66" s="11">
        <v>27</v>
      </c>
      <c r="G66" s="20" t="str">
        <f>VLOOKUP(F66, TMHM!$B$10:$C1519, 2, FALSE)</f>
        <v>Fire Punch</v>
      </c>
      <c r="H66" s="21"/>
      <c r="I66" s="25"/>
      <c r="J66" s="30"/>
    </row>
    <row r="67" spans="1:10" x14ac:dyDescent="0.2">
      <c r="A67" s="120"/>
      <c r="B67" s="46">
        <f>HEX2DEC("0D")</f>
        <v>13</v>
      </c>
      <c r="C67" s="44" t="str">
        <f t="array" ref="C67">INDEX(Moves!$B$2:'Moves'!$B$177, SUM(HEX2DEC("A6"),1), 1)</f>
        <v>SmokeScreen</v>
      </c>
      <c r="D67" s="47">
        <f>HEX2DEC("0D")</f>
        <v>13</v>
      </c>
      <c r="E67" s="44" t="str">
        <f t="array" ref="E67">INDEX(Moves!$B$2:'Moves'!$B$177, SUM(HEX2DEC("A6"),1), 1)</f>
        <v>SmokeScreen</v>
      </c>
      <c r="F67" s="11">
        <v>37</v>
      </c>
      <c r="G67" s="20" t="str">
        <f>VLOOKUP(F67, TMHM!$B$10:$C1519, 2, FALSE)</f>
        <v>Aerial Ace</v>
      </c>
      <c r="H67" s="21"/>
      <c r="I67" s="25"/>
      <c r="J67" s="30"/>
    </row>
    <row r="68" spans="1:10" x14ac:dyDescent="0.2">
      <c r="A68" s="120"/>
      <c r="B68" s="48">
        <f>HEX2DEC("14")</f>
        <v>20</v>
      </c>
      <c r="C68" s="23" t="str">
        <f t="array" ref="C68">INDEX(Moves!$B$2:'Moves'!$B$177, SUM(HEX2DEC("79"),1), 1)</f>
        <v>Dragon Rage</v>
      </c>
      <c r="D68" s="49">
        <f>HEX2DEC("14")</f>
        <v>20</v>
      </c>
      <c r="E68" s="23" t="s">
        <v>26</v>
      </c>
      <c r="F68" s="11">
        <v>38</v>
      </c>
      <c r="G68" s="20" t="str">
        <f>VLOOKUP(F68, TMHM!$B$10:$C1519, 2, FALSE)</f>
        <v>Fire Blast</v>
      </c>
      <c r="H68" s="21"/>
      <c r="I68" s="25"/>
      <c r="J68" s="30"/>
    </row>
    <row r="69" spans="1:10" x14ac:dyDescent="0.2">
      <c r="A69" s="120"/>
      <c r="B69" s="48">
        <f>HEX2DEC("1B")</f>
        <v>27</v>
      </c>
      <c r="C69" s="23" t="str">
        <f t="array" ref="C69">INDEX(Moves!$B$2:'Moves'!$B$177, SUM(HEX2DEC("A5"),1), 1)</f>
        <v>Tickle</v>
      </c>
      <c r="D69" s="49">
        <f>HEX2DEC("1B")</f>
        <v>27</v>
      </c>
      <c r="E69" s="23" t="s">
        <v>27</v>
      </c>
      <c r="F69" s="57"/>
      <c r="H69" s="21"/>
      <c r="I69" s="25"/>
      <c r="J69" s="30"/>
    </row>
    <row r="70" spans="1:10" x14ac:dyDescent="0.2">
      <c r="A70" s="120"/>
      <c r="B70" s="43">
        <f>HEX2DEC("24")</f>
        <v>36</v>
      </c>
      <c r="C70" s="51" t="str">
        <f t="array" ref="C70">INDEX(Moves!$B$2:'Moves'!$B$177, SUM(HEX2DEC("01"),1), 1)</f>
        <v>Flame Wheel</v>
      </c>
      <c r="D70" s="45">
        <f>HEX2DEC("22")</f>
        <v>34</v>
      </c>
      <c r="E70" s="51" t="str">
        <f t="array" ref="E70">INDEX(Moves!$B$2:'Moves'!$B$177, SUM(HEX2DEC("03"),1), 1)</f>
        <v>Flamethrower</v>
      </c>
      <c r="F70" s="57"/>
      <c r="H70" s="21"/>
      <c r="I70" s="25"/>
      <c r="J70" s="30"/>
    </row>
    <row r="71" spans="1:10" x14ac:dyDescent="0.2">
      <c r="A71" s="120"/>
      <c r="B71" s="58"/>
      <c r="C71" s="37"/>
      <c r="D71" s="56">
        <f>HEX2DEC("24")</f>
        <v>36</v>
      </c>
      <c r="E71" s="35" t="str">
        <f t="array" ref="E71">INDEX(Moves!$B$2:'Moves'!$B$177, SUM(HEX2DEC("5E"),1), 1)</f>
        <v>Wing Attack</v>
      </c>
      <c r="F71" s="57"/>
      <c r="H71" s="21"/>
      <c r="I71" s="25"/>
      <c r="J71" s="30"/>
    </row>
    <row r="72" spans="1:10" x14ac:dyDescent="0.2">
      <c r="A72" s="120"/>
      <c r="B72" s="53">
        <f>HEX2DEC("2C")</f>
        <v>44</v>
      </c>
      <c r="C72" s="39" t="str">
        <f t="array" ref="C72">INDEX(Moves!$B$2:'Moves'!$B$177, SUM(HEX2DEC("4F"),1), 1)</f>
        <v>Karate Chop</v>
      </c>
      <c r="D72" s="53">
        <f>HEX2DEC("29")</f>
        <v>41</v>
      </c>
      <c r="E72" s="39" t="s">
        <v>28</v>
      </c>
      <c r="F72" s="57"/>
      <c r="H72" s="21"/>
      <c r="I72" s="25"/>
      <c r="J72" s="30"/>
    </row>
    <row r="73" spans="1:10" x14ac:dyDescent="0.2">
      <c r="A73" s="120"/>
      <c r="B73" s="54">
        <f>HEX2DEC("36")</f>
        <v>54</v>
      </c>
      <c r="C73" s="55" t="str">
        <f t="array" ref="C73">INDEX(Moves!$B$2:'Moves'!$B$177, SUM(HEX2DEC("7C"),1), 1)</f>
        <v>Outrage</v>
      </c>
      <c r="D73" s="54">
        <f>HEX2DEC("30")</f>
        <v>48</v>
      </c>
      <c r="E73" s="55" t="s">
        <v>29</v>
      </c>
      <c r="F73" s="57"/>
      <c r="H73" s="21"/>
      <c r="I73" s="25"/>
      <c r="J73" s="30"/>
    </row>
    <row r="74" spans="1:10" x14ac:dyDescent="0.2">
      <c r="A74" s="120"/>
      <c r="B74" s="53">
        <f>HEX2DEC("40")</f>
        <v>64</v>
      </c>
      <c r="C74" s="39" t="str">
        <f t="array" ref="C74">INDEX(Moves!$B$2:'Moves'!$B$177, SUM(HEX2DEC("03"),1), 1)</f>
        <v>Flamethrower</v>
      </c>
      <c r="D74" s="53">
        <f>HEX2DEC("37")</f>
        <v>55</v>
      </c>
      <c r="E74" s="39" t="s">
        <v>30</v>
      </c>
      <c r="F74" s="57"/>
      <c r="H74" s="21"/>
      <c r="I74" s="25"/>
      <c r="J74" s="30"/>
    </row>
    <row r="75" spans="1:10" x14ac:dyDescent="0.2">
      <c r="A75" s="121" t="s">
        <v>33</v>
      </c>
      <c r="B75" s="7">
        <f>HEX2DEC("00")</f>
        <v>0</v>
      </c>
      <c r="C75" s="33" t="str">
        <f t="array" ref="C75">INDEX(Moves!$B$2:'Moves'!$B$177, SUM(HEX2DEC("89"),1), 1)</f>
        <v>Tackle</v>
      </c>
      <c r="D75" s="42">
        <f>HEX2DEC("01")</f>
        <v>1</v>
      </c>
      <c r="E75" s="33" t="str">
        <f t="array" ref="E75">INDEX(Moves!$B$2:'Moves'!$B$177, SUM(HEX2DEC("89"),1), 1)</f>
        <v>Tackle</v>
      </c>
      <c r="F75" s="41">
        <v>3</v>
      </c>
      <c r="G75" s="12" t="str">
        <f>VLOOKUP(F75, TMHM!$B$10:$C1519, 2, FALSE)</f>
        <v>Water Pulse</v>
      </c>
      <c r="H75" s="13">
        <v>3</v>
      </c>
      <c r="I75" s="14" t="str">
        <f>VLOOKUP(H75, TMHM!$B$2:$C$7, 2, FALSE)</f>
        <v>Surf</v>
      </c>
      <c r="J75" s="30"/>
    </row>
    <row r="76" spans="1:10" x14ac:dyDescent="0.2">
      <c r="A76" s="120"/>
      <c r="B76" s="16">
        <f>HEX2DEC("04")</f>
        <v>4</v>
      </c>
      <c r="C76" s="17" t="str">
        <f t="array" ref="C76">INDEX(Moves!$B$2:'Moves'!$B$177, SUM(HEX2DEC("A4"),1), 1)</f>
        <v>Tail Whip</v>
      </c>
      <c r="D76" s="40">
        <f>HEX2DEC("04")</f>
        <v>4</v>
      </c>
      <c r="E76" s="17" t="str">
        <f t="array" ref="E76">INDEX(Moves!$B$2:'Moves'!$B$177, SUM(HEX2DEC("A4"),1), 1)</f>
        <v>Tail Whip</v>
      </c>
      <c r="F76" s="11">
        <v>8</v>
      </c>
      <c r="G76" s="20" t="str">
        <f>VLOOKUP(F76, TMHM!$B$10:$C1519, 2, FALSE)</f>
        <v>Charm</v>
      </c>
      <c r="H76" s="21">
        <v>4</v>
      </c>
      <c r="I76" s="20" t="str">
        <f>VLOOKUP(H76, TMHM!$B$2:$C$7, 2, FALSE)</f>
        <v>Strength</v>
      </c>
      <c r="J76" s="30"/>
    </row>
    <row r="77" spans="1:10" x14ac:dyDescent="0.2">
      <c r="A77" s="120"/>
      <c r="B77" s="16">
        <f>HEX2DEC("07")</f>
        <v>7</v>
      </c>
      <c r="C77" s="17" t="str">
        <f t="array" ref="C77">INDEX(Moves!$B$2:'Moves'!$B$177, SUM(HEX2DEC("08"),1), 1)</f>
        <v>Bubble</v>
      </c>
      <c r="D77" s="40">
        <f>HEX2DEC("07")</f>
        <v>7</v>
      </c>
      <c r="E77" s="17" t="str">
        <f t="array" ref="E77">INDEX(Moves!$B$2:'Moves'!$B$177, SUM(HEX2DEC("08"),1), 1)</f>
        <v>Bubble</v>
      </c>
      <c r="F77" s="11">
        <v>11</v>
      </c>
      <c r="G77" s="20" t="str">
        <f>VLOOKUP(F77, TMHM!$B$10:$C1519, 2, FALSE)</f>
        <v>Bubblebeam</v>
      </c>
      <c r="H77" s="21"/>
      <c r="J77" s="30"/>
    </row>
    <row r="78" spans="1:10" x14ac:dyDescent="0.2">
      <c r="A78" s="120"/>
      <c r="B78" s="54">
        <f>HEX2DEC("0A")</f>
        <v>10</v>
      </c>
      <c r="C78" s="55" t="str">
        <f t="array" ref="C78">INDEX(Moves!$B$2:'Moves'!$B$177, SUM(HEX2DEC("A3"),1), 1)</f>
        <v>Harden</v>
      </c>
      <c r="D78" s="54">
        <f>HEX2DEC("0A")</f>
        <v>10</v>
      </c>
      <c r="E78" s="55" t="str">
        <f t="array" ref="E78">INDEX(Moves!$B$2:'Moves'!$B$177, SUM(HEX2DEC("12"),1), 1)</f>
        <v>Withdraw</v>
      </c>
      <c r="F78" s="11">
        <v>13</v>
      </c>
      <c r="G78" s="20" t="str">
        <f>VLOOKUP(F78, TMHM!$B$10:$C1519, 2, FALSE)</f>
        <v>Ice Beam</v>
      </c>
      <c r="H78" s="21"/>
      <c r="J78" s="30"/>
    </row>
    <row r="79" spans="1:10" x14ac:dyDescent="0.2">
      <c r="A79" s="120"/>
      <c r="B79" s="18">
        <f>HEX2DEC("0D")</f>
        <v>13</v>
      </c>
      <c r="C79" s="38" t="str">
        <f t="array" ref="C79">INDEX(Moves!$B$2:'Moves'!$B$177, SUM(HEX2DEC("09"),1), 1)</f>
        <v>Water Gun</v>
      </c>
      <c r="D79" s="18">
        <f>HEX2DEC("0D")</f>
        <v>13</v>
      </c>
      <c r="E79" s="38" t="str">
        <f t="array" ref="E79">INDEX(Moves!$B$2:'Moves'!$B$177, SUM(HEX2DEC("09"),1), 1)</f>
        <v>Water Gun</v>
      </c>
      <c r="F79" s="11">
        <v>21</v>
      </c>
      <c r="G79" s="20" t="str">
        <f>VLOOKUP(F79, TMHM!$B$10:$C1519, 2, FALSE)</f>
        <v>Recover</v>
      </c>
      <c r="H79" s="21"/>
      <c r="I79" s="25"/>
      <c r="J79" s="30"/>
    </row>
    <row r="80" spans="1:10" x14ac:dyDescent="0.2">
      <c r="A80" s="120"/>
      <c r="B80" s="18">
        <f>HEX2DEC("12")</f>
        <v>18</v>
      </c>
      <c r="C80" s="38" t="str">
        <f t="array" ref="C80">INDEX(Moves!$B$2:'Moves'!$B$177, SUM(HEX2DEC("80"),1), 1)</f>
        <v>Bite</v>
      </c>
      <c r="D80" s="18">
        <f>HEX2DEC("12")</f>
        <v>18</v>
      </c>
      <c r="E80" s="38" t="str">
        <f t="array" ref="E80">INDEX(Moves!$B$2:'Moves'!$B$177, SUM(HEX2DEC("80"),1), 1)</f>
        <v>Bite</v>
      </c>
      <c r="F80" s="11">
        <v>32</v>
      </c>
      <c r="G80" s="20" t="str">
        <f>VLOOKUP(F80, TMHM!$B$10:$C1519, 2, FALSE)</f>
        <v>Double Team</v>
      </c>
      <c r="H80" s="21"/>
      <c r="I80" s="25"/>
      <c r="J80" s="30"/>
    </row>
    <row r="81" spans="1:10" x14ac:dyDescent="0.2">
      <c r="A81" s="120"/>
      <c r="B81" s="53">
        <f>HEX2DEC("17")</f>
        <v>23</v>
      </c>
      <c r="C81" s="39" t="str">
        <f t="array" ref="C81">INDEX(Moves!$B$2:'Moves'!$B$177, SUM(HEX2DEC("A8"),1), 1)</f>
        <v>Double Team</v>
      </c>
      <c r="D81" s="53">
        <f>HEX2DEC("17")</f>
        <v>23</v>
      </c>
      <c r="E81" s="39" t="s">
        <v>34</v>
      </c>
      <c r="F81" s="11">
        <v>35</v>
      </c>
      <c r="G81" s="20" t="str">
        <f>VLOOKUP(F81, TMHM!$B$10:$C1519, 2, FALSE)</f>
        <v>Harden</v>
      </c>
      <c r="H81" s="21"/>
      <c r="I81" s="25"/>
      <c r="J81" s="30"/>
    </row>
    <row r="82" spans="1:10" x14ac:dyDescent="0.2">
      <c r="A82" s="120"/>
      <c r="B82" s="53">
        <f>HEX2DEC("1C")</f>
        <v>28</v>
      </c>
      <c r="C82" s="39" t="str">
        <f t="array" ref="C82">INDEX(Moves!$B$2:'Moves'!$B$177, SUM(HEX2DEC("12"),1), 1)</f>
        <v>Withdraw</v>
      </c>
      <c r="D82" s="53">
        <f>HEX2DEC("1C")</f>
        <v>28</v>
      </c>
      <c r="E82" s="39" t="s">
        <v>35</v>
      </c>
      <c r="F82" s="11"/>
      <c r="H82" s="21"/>
      <c r="I82" s="25"/>
      <c r="J82" s="30"/>
    </row>
    <row r="83" spans="1:10" x14ac:dyDescent="0.2">
      <c r="A83" s="120"/>
      <c r="B83" s="53">
        <f>HEX2DEC("21")</f>
        <v>33</v>
      </c>
      <c r="C83" s="39" t="str">
        <f t="array" ref="C83">INDEX(Moves!$B$2:'Moves'!$B$177, SUM(HEX2DEC("0B"),1), 1)</f>
        <v>Bubblebeam</v>
      </c>
      <c r="D83" s="53">
        <f>HEX2DEC("21")</f>
        <v>33</v>
      </c>
      <c r="E83" s="39" t="s">
        <v>36</v>
      </c>
      <c r="F83" s="11"/>
      <c r="H83" s="21"/>
      <c r="I83" s="25"/>
      <c r="J83" s="30"/>
    </row>
    <row r="84" spans="1:10" x14ac:dyDescent="0.2">
      <c r="A84" s="120"/>
      <c r="B84" s="53">
        <f>HEX2DEC("28")</f>
        <v>40</v>
      </c>
      <c r="C84" s="39" t="str">
        <f t="array" ref="C84">INDEX(Moves!$B$2:'Moves'!$B$177, SUM(HEX2DEC("91"),1), 1)</f>
        <v>Horn Attack</v>
      </c>
      <c r="D84" s="53">
        <f>HEX2DEC("28")</f>
        <v>40</v>
      </c>
      <c r="E84" s="39" t="s">
        <v>37</v>
      </c>
      <c r="F84" s="11"/>
      <c r="H84" s="21"/>
      <c r="I84" s="25"/>
      <c r="J84" s="30"/>
    </row>
    <row r="85" spans="1:10" x14ac:dyDescent="0.2">
      <c r="A85" s="120"/>
      <c r="B85" s="18">
        <f>HEX2DEC("2F")</f>
        <v>47</v>
      </c>
      <c r="C85" s="38" t="str">
        <f t="array" ref="C85">INDEX(Moves!$B$2:'Moves'!$B$177, SUM(HEX2DEC("0F"),1), 1)</f>
        <v>Hydro Pump</v>
      </c>
      <c r="D85" s="18">
        <f>HEX2DEC("2F")</f>
        <v>47</v>
      </c>
      <c r="E85" s="38" t="str">
        <f t="array" ref="E85">INDEX(Moves!$B$2:'Moves'!$B$177, SUM(HEX2DEC("0F"),1), 1)</f>
        <v>Hydro Pump</v>
      </c>
      <c r="F85" s="11"/>
      <c r="H85" s="21"/>
      <c r="I85" s="25"/>
      <c r="J85" s="30"/>
    </row>
    <row r="86" spans="1:10" x14ac:dyDescent="0.2">
      <c r="A86" s="121" t="s">
        <v>38</v>
      </c>
      <c r="B86" s="7">
        <f>HEX2DEC("00")</f>
        <v>0</v>
      </c>
      <c r="C86" s="33" t="str">
        <f t="array" ref="C86">INDEX(Moves!$B$2:'Moves'!$B$177, SUM(HEX2DEC("89"),1), 1)</f>
        <v>Tackle</v>
      </c>
      <c r="D86" s="42">
        <f t="shared" ref="D86:D88" si="11">HEX2DEC("01")</f>
        <v>1</v>
      </c>
      <c r="E86" s="33" t="str">
        <f t="array" ref="E86">INDEX(Moves!$B$2:'Moves'!$B$177, SUM(HEX2DEC("89"),1), 1)</f>
        <v>Tackle</v>
      </c>
      <c r="F86" s="41">
        <v>3</v>
      </c>
      <c r="G86" s="12" t="str">
        <f>VLOOKUP(F86, TMHM!$B$10:$C1519, 2, FALSE)</f>
        <v>Water Pulse</v>
      </c>
      <c r="H86" s="13">
        <v>3</v>
      </c>
      <c r="I86" s="14" t="str">
        <f>VLOOKUP(H86, TMHM!$B$2:$C$7, 2, FALSE)</f>
        <v>Surf</v>
      </c>
      <c r="J86" s="30"/>
    </row>
    <row r="87" spans="1:10" x14ac:dyDescent="0.2">
      <c r="A87" s="120"/>
      <c r="B87" s="34"/>
      <c r="C87" s="35"/>
      <c r="D87" s="56">
        <f t="shared" si="11"/>
        <v>1</v>
      </c>
      <c r="E87" s="35" t="str">
        <f t="array" ref="E87">INDEX(Moves!$B$2:'Moves'!$B$177, SUM(HEX2DEC("A4"),1), 1)</f>
        <v>Tail Whip</v>
      </c>
      <c r="F87" s="11">
        <v>8</v>
      </c>
      <c r="G87" s="20" t="str">
        <f>VLOOKUP(F87, TMHM!$B$10:$C1519, 2, FALSE)</f>
        <v>Charm</v>
      </c>
      <c r="H87" s="21"/>
      <c r="J87" s="30" t="s">
        <v>39</v>
      </c>
    </row>
    <row r="88" spans="1:10" x14ac:dyDescent="0.2">
      <c r="A88" s="120"/>
      <c r="B88" s="34"/>
      <c r="C88" s="35"/>
      <c r="D88" s="56">
        <f t="shared" si="11"/>
        <v>1</v>
      </c>
      <c r="E88" s="35" t="str">
        <f t="array" ref="E88">INDEX(Moves!$B$2:'Moves'!$B$177, SUM(HEX2DEC("08"),1), 1)</f>
        <v>Bubble</v>
      </c>
      <c r="F88" s="11">
        <v>11</v>
      </c>
      <c r="G88" s="20" t="str">
        <f>VLOOKUP(F88, TMHM!$B$10:$C1519, 2, FALSE)</f>
        <v>Bubblebeam</v>
      </c>
      <c r="H88" s="21"/>
      <c r="J88" s="30"/>
    </row>
    <row r="89" spans="1:10" x14ac:dyDescent="0.2">
      <c r="A89" s="120"/>
      <c r="B89" s="16">
        <f>HEX2DEC("04")</f>
        <v>4</v>
      </c>
      <c r="C89" s="17" t="str">
        <f t="array" ref="C89">INDEX(Moves!$B$2:'Moves'!$B$177, SUM(HEX2DEC("A4"),1), 1)</f>
        <v>Tail Whip</v>
      </c>
      <c r="D89" s="40">
        <f>HEX2DEC("04")</f>
        <v>4</v>
      </c>
      <c r="E89" s="17" t="str">
        <f t="array" ref="E89">INDEX(Moves!$B$2:'Moves'!$B$177, SUM(HEX2DEC("A4"),1), 1)</f>
        <v>Tail Whip</v>
      </c>
      <c r="F89" s="11">
        <v>13</v>
      </c>
      <c r="G89" s="20" t="str">
        <f>VLOOKUP(F89, TMHM!$B$10:$C1519, 2, FALSE)</f>
        <v>Ice Beam</v>
      </c>
      <c r="H89" s="21"/>
      <c r="J89" s="30"/>
    </row>
    <row r="90" spans="1:10" x14ac:dyDescent="0.2">
      <c r="A90" s="120"/>
      <c r="B90" s="16">
        <f>HEX2DEC("07")</f>
        <v>7</v>
      </c>
      <c r="C90" s="17" t="str">
        <f t="array" ref="C90">INDEX(Moves!$B$2:'Moves'!$B$177, SUM(HEX2DEC("08"),1), 1)</f>
        <v>Bubble</v>
      </c>
      <c r="D90" s="40">
        <f>HEX2DEC("07")</f>
        <v>7</v>
      </c>
      <c r="E90" s="17" t="str">
        <f t="array" ref="E90">INDEX(Moves!$B$2:'Moves'!$B$177, SUM(HEX2DEC("08"),1), 1)</f>
        <v>Bubble</v>
      </c>
      <c r="F90" s="11">
        <v>21</v>
      </c>
      <c r="G90" s="20" t="str">
        <f>VLOOKUP(F90, TMHM!$B$10:$C1519, 2, FALSE)</f>
        <v>Recover</v>
      </c>
      <c r="H90" s="21"/>
      <c r="I90" s="25"/>
      <c r="J90" s="30"/>
    </row>
    <row r="91" spans="1:10" x14ac:dyDescent="0.2">
      <c r="A91" s="120"/>
      <c r="B91" s="54">
        <f>HEX2DEC("0A")</f>
        <v>10</v>
      </c>
      <c r="C91" s="55" t="str">
        <f t="array" ref="C91">INDEX(Moves!$B$2:'Moves'!$B$177, SUM(HEX2DEC("A3"),1), 1)</f>
        <v>Harden</v>
      </c>
      <c r="D91" s="54">
        <f>HEX2DEC("0A")</f>
        <v>10</v>
      </c>
      <c r="E91" s="55" t="str">
        <f t="array" ref="E91">INDEX(Moves!$B$2:'Moves'!$B$177, SUM(HEX2DEC("12"),1), 1)</f>
        <v>Withdraw</v>
      </c>
      <c r="F91" s="11">
        <v>32</v>
      </c>
      <c r="G91" s="20" t="str">
        <f>VLOOKUP(F91, TMHM!$B$10:$C1519, 2, FALSE)</f>
        <v>Double Team</v>
      </c>
      <c r="H91" s="21"/>
      <c r="I91" s="25"/>
      <c r="J91" s="30"/>
    </row>
    <row r="92" spans="1:10" x14ac:dyDescent="0.2">
      <c r="A92" s="120"/>
      <c r="B92" s="18">
        <f>HEX2DEC("0D")</f>
        <v>13</v>
      </c>
      <c r="C92" s="38" t="str">
        <f t="array" ref="C92">INDEX(Moves!$B$2:'Moves'!$B$177, SUM(HEX2DEC("09"),1), 1)</f>
        <v>Water Gun</v>
      </c>
      <c r="D92" s="18">
        <f>HEX2DEC("0D")</f>
        <v>13</v>
      </c>
      <c r="E92" s="38" t="str">
        <f t="array" ref="E92">INDEX(Moves!$B$2:'Moves'!$B$177, SUM(HEX2DEC("09"),1), 1)</f>
        <v>Water Gun</v>
      </c>
      <c r="F92" s="11">
        <v>35</v>
      </c>
      <c r="G92" s="20" t="str">
        <f>VLOOKUP(F92, TMHM!$B$10:$C1519, 2, FALSE)</f>
        <v>Harden</v>
      </c>
      <c r="H92" s="21"/>
      <c r="I92" s="25"/>
      <c r="J92" s="30"/>
    </row>
    <row r="93" spans="1:10" x14ac:dyDescent="0.2">
      <c r="A93" s="120"/>
      <c r="B93" s="59">
        <f>HEX2DEC("12")</f>
        <v>18</v>
      </c>
      <c r="C93" s="38" t="str">
        <f t="array" ref="C93">INDEX(Moves!$B$2:'Moves'!$B$177, SUM(HEX2DEC("80"),1), 1)</f>
        <v>Bite</v>
      </c>
      <c r="D93" s="59">
        <f>HEX2DEC("13")</f>
        <v>19</v>
      </c>
      <c r="E93" s="38" t="str">
        <f t="array" ref="E93">INDEX(Moves!$B$2:'Moves'!$B$177, SUM(HEX2DEC("80"),1), 1)</f>
        <v>Bite</v>
      </c>
      <c r="F93" s="11"/>
      <c r="H93" s="21"/>
      <c r="I93" s="25"/>
      <c r="J93" s="30"/>
    </row>
    <row r="94" spans="1:10" x14ac:dyDescent="0.2">
      <c r="A94" s="120"/>
      <c r="B94" s="53">
        <f>HEX2DEC("19")</f>
        <v>25</v>
      </c>
      <c r="C94" s="39" t="str">
        <f t="array" ref="C94">INDEX(Moves!$B$2:'Moves'!$B$177, SUM(HEX2DEC("A8"),1), 1)</f>
        <v>Double Team</v>
      </c>
      <c r="D94" s="53">
        <f>HEX2DEC("19")</f>
        <v>25</v>
      </c>
      <c r="E94" s="39" t="s">
        <v>34</v>
      </c>
      <c r="F94" s="11"/>
      <c r="H94" s="21"/>
      <c r="I94" s="25"/>
      <c r="J94" s="30"/>
    </row>
    <row r="95" spans="1:10" x14ac:dyDescent="0.2">
      <c r="A95" s="120"/>
      <c r="B95" s="53">
        <f>HEX2DEC("1F")</f>
        <v>31</v>
      </c>
      <c r="C95" s="39" t="str">
        <f t="array" ref="C95">INDEX(Moves!$B$2:'Moves'!$B$177, SUM(HEX2DEC("12"),1), 1)</f>
        <v>Withdraw</v>
      </c>
      <c r="D95" s="53">
        <f>HEX2DEC("1F")</f>
        <v>31</v>
      </c>
      <c r="E95" s="39" t="s">
        <v>35</v>
      </c>
      <c r="F95" s="11"/>
      <c r="H95" s="21"/>
      <c r="I95" s="25"/>
      <c r="J95" s="30"/>
    </row>
    <row r="96" spans="1:10" x14ac:dyDescent="0.2">
      <c r="A96" s="120"/>
      <c r="B96" s="53">
        <f>HEX2DEC("25")</f>
        <v>37</v>
      </c>
      <c r="C96" s="39" t="str">
        <f t="array" ref="C96">INDEX(Moves!$B$2:'Moves'!$B$177, SUM(HEX2DEC("0B"),1), 1)</f>
        <v>Bubblebeam</v>
      </c>
      <c r="D96" s="53">
        <f>HEX2DEC("25")</f>
        <v>37</v>
      </c>
      <c r="E96" s="39" t="s">
        <v>36</v>
      </c>
      <c r="F96" s="11"/>
      <c r="H96" s="21"/>
      <c r="I96" s="25"/>
      <c r="J96" s="30"/>
    </row>
    <row r="97" spans="1:10" x14ac:dyDescent="0.2">
      <c r="A97" s="120"/>
      <c r="B97" s="53">
        <f>HEX2DEC("2D")</f>
        <v>45</v>
      </c>
      <c r="C97" s="39" t="str">
        <f t="array" ref="C97">INDEX(Moves!$B$2:'Moves'!$B$177, SUM(HEX2DEC("91"),1), 1)</f>
        <v>Horn Attack</v>
      </c>
      <c r="D97" s="53">
        <f>HEX2DEC("2D")</f>
        <v>45</v>
      </c>
      <c r="E97" s="39" t="s">
        <v>37</v>
      </c>
      <c r="F97" s="11"/>
      <c r="H97" s="21"/>
      <c r="I97" s="25"/>
      <c r="J97" s="30"/>
    </row>
    <row r="98" spans="1:10" x14ac:dyDescent="0.2">
      <c r="A98" s="120"/>
      <c r="B98" s="18">
        <f>HEX2DEC("35")</f>
        <v>53</v>
      </c>
      <c r="C98" s="38" t="str">
        <f t="array" ref="C98">INDEX(Moves!$B$2:'Moves'!$B$177, SUM(HEX2DEC("0F"),1), 1)</f>
        <v>Hydro Pump</v>
      </c>
      <c r="D98" s="18">
        <f>HEX2DEC("35")</f>
        <v>53</v>
      </c>
      <c r="E98" s="38" t="str">
        <f t="array" ref="E98">INDEX(Moves!$B$2:'Moves'!$B$177, SUM(HEX2DEC("0F"),1), 1)</f>
        <v>Hydro Pump</v>
      </c>
      <c r="F98" s="11"/>
      <c r="H98" s="21"/>
      <c r="I98" s="25"/>
      <c r="J98" s="30"/>
    </row>
    <row r="99" spans="1:10" x14ac:dyDescent="0.2">
      <c r="A99" s="121" t="s">
        <v>40</v>
      </c>
      <c r="B99" s="7">
        <f>HEX2DEC("00")</f>
        <v>0</v>
      </c>
      <c r="C99" s="33" t="str">
        <f t="array" ref="C99">INDEX(Moves!$B$2:'Moves'!$B$177, SUM(HEX2DEC("89"),1), 1)</f>
        <v>Tackle</v>
      </c>
      <c r="D99" s="42">
        <f t="shared" ref="D99:D102" si="12">HEX2DEC("01")</f>
        <v>1</v>
      </c>
      <c r="E99" s="33" t="str">
        <f t="array" ref="E99">INDEX(Moves!$B$2:'Moves'!$B$177, SUM(HEX2DEC("89"),1), 1)</f>
        <v>Tackle</v>
      </c>
      <c r="F99" s="41">
        <v>3</v>
      </c>
      <c r="G99" s="12" t="str">
        <f>VLOOKUP(F99, TMHM!$B$10:$C1519, 2, FALSE)</f>
        <v>Water Pulse</v>
      </c>
      <c r="H99" s="13">
        <v>5</v>
      </c>
      <c r="I99" s="14" t="str">
        <f>VLOOKUP(H99, TMHM!$B$2:$C$7, 2, FALSE)</f>
        <v>Flash</v>
      </c>
      <c r="J99" s="30"/>
    </row>
    <row r="100" spans="1:10" x14ac:dyDescent="0.2">
      <c r="A100" s="120"/>
      <c r="B100" s="34"/>
      <c r="C100" s="35"/>
      <c r="D100" s="56">
        <f t="shared" si="12"/>
        <v>1</v>
      </c>
      <c r="E100" s="35" t="str">
        <f t="array" ref="E100">INDEX(Moves!$B$2:'Moves'!$B$177, SUM(HEX2DEC("A4"),1), 1)</f>
        <v>Tail Whip</v>
      </c>
      <c r="F100" s="11">
        <v>7</v>
      </c>
      <c r="G100" s="20" t="str">
        <f>VLOOKUP(F100, TMHM!$B$10:$C1519, 2, FALSE)</f>
        <v>Secret Power</v>
      </c>
      <c r="H100" s="21"/>
      <c r="J100" s="30"/>
    </row>
    <row r="101" spans="1:10" x14ac:dyDescent="0.2">
      <c r="A101" s="120"/>
      <c r="B101" s="34"/>
      <c r="C101" s="35"/>
      <c r="D101" s="56">
        <f t="shared" si="12"/>
        <v>1</v>
      </c>
      <c r="E101" s="35" t="str">
        <f t="array" ref="E101">INDEX(Moves!$B$2:'Moves'!$B$177, SUM(HEX2DEC("08"),1), 1)</f>
        <v>Bubble</v>
      </c>
      <c r="F101" s="11">
        <v>8</v>
      </c>
      <c r="G101" s="20" t="str">
        <f>VLOOKUP(F101, TMHM!$B$10:$C1519, 2, FALSE)</f>
        <v>Charm</v>
      </c>
      <c r="H101" s="21"/>
      <c r="J101" s="30"/>
    </row>
    <row r="102" spans="1:10" x14ac:dyDescent="0.2">
      <c r="A102" s="120"/>
      <c r="B102" s="34"/>
      <c r="C102" s="35"/>
      <c r="D102" s="56">
        <f t="shared" si="12"/>
        <v>1</v>
      </c>
      <c r="E102" s="35" t="str">
        <f t="array" ref="E102">INDEX(Moves!$B$2:'Moves'!$B$177, SUM(HEX2DEC("A4"),1), 1)</f>
        <v>Tail Whip</v>
      </c>
      <c r="F102" s="11">
        <v>11</v>
      </c>
      <c r="G102" s="20" t="str">
        <f>VLOOKUP(F102, TMHM!$B$10:$C1519, 2, FALSE)</f>
        <v>Bubblebeam</v>
      </c>
      <c r="H102" s="21"/>
      <c r="J102" s="30"/>
    </row>
    <row r="103" spans="1:10" x14ac:dyDescent="0.2">
      <c r="A103" s="120"/>
      <c r="B103" s="16">
        <f>HEX2DEC("04")</f>
        <v>4</v>
      </c>
      <c r="C103" s="17" t="str">
        <f t="array" ref="C103">INDEX(Moves!$B$2:'Moves'!$B$177, SUM(HEX2DEC("A4"),1), 1)</f>
        <v>Tail Whip</v>
      </c>
      <c r="D103" s="40">
        <f>HEX2DEC("04")</f>
        <v>4</v>
      </c>
      <c r="E103" s="17" t="str">
        <f t="array" ref="E103">INDEX(Moves!$B$2:'Moves'!$B$177, SUM(HEX2DEC("A4"),1), 1)</f>
        <v>Tail Whip</v>
      </c>
      <c r="F103" s="11">
        <v>13</v>
      </c>
      <c r="G103" s="20" t="str">
        <f>VLOOKUP(F103, TMHM!$B$10:$C1519, 2, FALSE)</f>
        <v>Ice Beam</v>
      </c>
      <c r="H103" s="21"/>
      <c r="I103" s="25"/>
      <c r="J103" s="30"/>
    </row>
    <row r="104" spans="1:10" x14ac:dyDescent="0.2">
      <c r="A104" s="120"/>
      <c r="B104" s="16">
        <f>HEX2DEC("07")</f>
        <v>7</v>
      </c>
      <c r="C104" s="17" t="str">
        <f t="array" ref="C104">INDEX(Moves!$B$2:'Moves'!$B$177, SUM(HEX2DEC("08"),1), 1)</f>
        <v>Bubble</v>
      </c>
      <c r="D104" s="40">
        <f>HEX2DEC("07")</f>
        <v>7</v>
      </c>
      <c r="E104" s="17" t="str">
        <f t="array" ref="E104">INDEX(Moves!$B$2:'Moves'!$B$177, SUM(HEX2DEC("08"),1), 1)</f>
        <v>Bubble</v>
      </c>
      <c r="F104" s="11">
        <v>16</v>
      </c>
      <c r="G104" s="20" t="str">
        <f>VLOOKUP(F104, TMHM!$B$10:$C1519, 2, FALSE)</f>
        <v>Rest</v>
      </c>
      <c r="H104" s="21"/>
      <c r="I104" s="25"/>
      <c r="J104" s="30"/>
    </row>
    <row r="105" spans="1:10" x14ac:dyDescent="0.2">
      <c r="A105" s="120"/>
      <c r="B105" s="54">
        <f>HEX2DEC("0A")</f>
        <v>10</v>
      </c>
      <c r="C105" s="55" t="str">
        <f t="array" ref="C105">INDEX(Moves!$B$2:'Moves'!$B$177, SUM(HEX2DEC("A3"),1), 1)</f>
        <v>Harden</v>
      </c>
      <c r="D105" s="54">
        <f>HEX2DEC("0A")</f>
        <v>10</v>
      </c>
      <c r="E105" s="55" t="str">
        <f t="array" ref="E105">INDEX(Moves!$B$2:'Moves'!$B$177, SUM(HEX2DEC("12"),1), 1)</f>
        <v>Withdraw</v>
      </c>
      <c r="F105" s="11">
        <v>21</v>
      </c>
      <c r="G105" s="20" t="str">
        <f>VLOOKUP(F105, TMHM!$B$10:$C1519, 2, FALSE)</f>
        <v>Recover</v>
      </c>
      <c r="H105" s="21"/>
      <c r="I105" s="25"/>
      <c r="J105" s="30"/>
    </row>
    <row r="106" spans="1:10" x14ac:dyDescent="0.2">
      <c r="A106" s="120"/>
      <c r="B106" s="18">
        <f>HEX2DEC("0D")</f>
        <v>13</v>
      </c>
      <c r="C106" s="38" t="str">
        <f t="array" ref="C106">INDEX(Moves!$B$2:'Moves'!$B$177, SUM(HEX2DEC("09"),1), 1)</f>
        <v>Water Gun</v>
      </c>
      <c r="D106" s="18">
        <f>HEX2DEC("0D")</f>
        <v>13</v>
      </c>
      <c r="E106" s="38" t="str">
        <f t="array" ref="E106">INDEX(Moves!$B$2:'Moves'!$B$177, SUM(HEX2DEC("09"),1), 1)</f>
        <v>Water Gun</v>
      </c>
      <c r="F106" s="11">
        <v>32</v>
      </c>
      <c r="G106" s="20" t="str">
        <f>VLOOKUP(F106, TMHM!$B$10:$C1519, 2, FALSE)</f>
        <v>Double Team</v>
      </c>
      <c r="H106" s="21"/>
      <c r="I106" s="25"/>
      <c r="J106" s="30"/>
    </row>
    <row r="107" spans="1:10" x14ac:dyDescent="0.2">
      <c r="A107" s="120"/>
      <c r="B107" s="60">
        <f>HEX2DEC("13")</f>
        <v>19</v>
      </c>
      <c r="C107" s="38" t="str">
        <f t="array" ref="C107">INDEX(Moves!$B$2:'Moves'!$B$177, SUM(HEX2DEC("80"),1), 1)</f>
        <v>Bite</v>
      </c>
      <c r="D107" s="60">
        <f>HEX2DEC("13")</f>
        <v>19</v>
      </c>
      <c r="E107" s="38" t="str">
        <f t="array" ref="E107">INDEX(Moves!$B$2:'Moves'!$B$177, SUM(HEX2DEC("80"),1), 1)</f>
        <v>Bite</v>
      </c>
      <c r="F107" s="11">
        <v>35</v>
      </c>
      <c r="G107" s="20" t="str">
        <f>VLOOKUP(F107, TMHM!$B$10:$C1519, 2, FALSE)</f>
        <v>Harden</v>
      </c>
      <c r="H107" s="21"/>
      <c r="I107" s="25"/>
      <c r="J107" s="30"/>
    </row>
    <row r="108" spans="1:10" x14ac:dyDescent="0.2">
      <c r="A108" s="120"/>
      <c r="B108" s="53">
        <f>HEX2DEC("19")</f>
        <v>25</v>
      </c>
      <c r="C108" s="39" t="str">
        <f t="array" ref="C108">INDEX(Moves!$B$2:'Moves'!$B$177, SUM(HEX2DEC("A8"),1), 1)</f>
        <v>Double Team</v>
      </c>
      <c r="D108" s="53">
        <f>HEX2DEC("19")</f>
        <v>25</v>
      </c>
      <c r="E108" s="39" t="s">
        <v>34</v>
      </c>
      <c r="F108" s="11"/>
      <c r="H108" s="21"/>
      <c r="I108" s="25"/>
      <c r="J108" s="30"/>
    </row>
    <row r="109" spans="1:10" x14ac:dyDescent="0.2">
      <c r="A109" s="120"/>
      <c r="B109" s="53">
        <f>HEX2DEC("1F")</f>
        <v>31</v>
      </c>
      <c r="C109" s="39" t="str">
        <f t="array" ref="C109">INDEX(Moves!$B$2:'Moves'!$B$177, SUM(HEX2DEC("12"),1), 1)</f>
        <v>Withdraw</v>
      </c>
      <c r="D109" s="53">
        <f>HEX2DEC("1F")</f>
        <v>31</v>
      </c>
      <c r="E109" s="39" t="s">
        <v>35</v>
      </c>
      <c r="F109" s="11"/>
      <c r="H109" s="21"/>
      <c r="I109" s="25"/>
      <c r="J109" s="30"/>
    </row>
    <row r="110" spans="1:10" x14ac:dyDescent="0.2">
      <c r="A110" s="120"/>
      <c r="B110" s="53">
        <f>HEX2DEC("2A")</f>
        <v>42</v>
      </c>
      <c r="C110" s="39" t="str">
        <f t="array" ref="C110">INDEX(Moves!$B$2:'Moves'!$B$177, SUM(HEX2DEC("0B"),1), 1)</f>
        <v>Bubblebeam</v>
      </c>
      <c r="D110" s="53">
        <f>HEX2DEC("2A")</f>
        <v>42</v>
      </c>
      <c r="E110" s="39" t="s">
        <v>36</v>
      </c>
      <c r="F110" s="11"/>
      <c r="H110" s="21"/>
      <c r="I110" s="25"/>
      <c r="J110" s="30"/>
    </row>
    <row r="111" spans="1:10" x14ac:dyDescent="0.2">
      <c r="A111" s="120"/>
      <c r="B111" s="53">
        <f>HEX2DEC("37")</f>
        <v>55</v>
      </c>
      <c r="C111" s="39" t="str">
        <f t="array" ref="C111">INDEX(Moves!$B$2:'Moves'!$B$177, SUM(HEX2DEC("91"),1), 1)</f>
        <v>Horn Attack</v>
      </c>
      <c r="D111" s="53">
        <f>HEX2DEC("37")</f>
        <v>55</v>
      </c>
      <c r="E111" s="39" t="s">
        <v>37</v>
      </c>
      <c r="F111" s="11"/>
      <c r="H111" s="21"/>
      <c r="I111" s="25"/>
      <c r="J111" s="30"/>
    </row>
    <row r="112" spans="1:10" x14ac:dyDescent="0.2">
      <c r="A112" s="120"/>
      <c r="B112" s="18">
        <f>HEX2DEC("44")</f>
        <v>68</v>
      </c>
      <c r="C112" s="38" t="str">
        <f t="array" ref="C112">INDEX(Moves!$B$2:'Moves'!$B$177, SUM(HEX2DEC("0F"),1), 1)</f>
        <v>Hydro Pump</v>
      </c>
      <c r="D112" s="18">
        <f>HEX2DEC("44")</f>
        <v>68</v>
      </c>
      <c r="E112" s="38" t="str">
        <f t="array" ref="E112">INDEX(Moves!$B$2:'Moves'!$B$177, SUM(HEX2DEC("0F"),1), 1)</f>
        <v>Hydro Pump</v>
      </c>
      <c r="F112" s="11"/>
      <c r="H112" s="21"/>
      <c r="I112" s="25"/>
      <c r="J112" s="30"/>
    </row>
    <row r="113" spans="1:10" x14ac:dyDescent="0.2">
      <c r="A113" s="121" t="s">
        <v>41</v>
      </c>
      <c r="B113" s="7">
        <f>HEX2DEC("00")</f>
        <v>0</v>
      </c>
      <c r="C113" s="8" t="str">
        <f t="array" ref="C113">INDEX(Moves!$B$2:'Moves'!$B$177, SUM(HEX2DEC("89"),1), 1)</f>
        <v>Tackle</v>
      </c>
      <c r="D113" s="9">
        <f>HEX2DEC("01")</f>
        <v>1</v>
      </c>
      <c r="E113" s="8" t="str">
        <f t="array" ref="E113">INDEX(Moves!$B$2:'Moves'!$B$177, SUM(HEX2DEC("89"),1), 1)</f>
        <v>Tackle</v>
      </c>
      <c r="F113" s="41">
        <v>35</v>
      </c>
      <c r="G113" s="12" t="str">
        <f>VLOOKUP(F113, TMHM!$B$10:$C1519, 2, FALSE)</f>
        <v>Harden</v>
      </c>
      <c r="H113" s="13">
        <v>5</v>
      </c>
      <c r="I113" s="14" t="str">
        <f>VLOOKUP(H113, TMHM!$B$2:$C$7, 2, FALSE)</f>
        <v>Flash</v>
      </c>
      <c r="J113" s="30"/>
    </row>
    <row r="114" spans="1:10" x14ac:dyDescent="0.2">
      <c r="A114" s="120"/>
      <c r="B114" s="16">
        <f>HEX2DEC("01")</f>
        <v>1</v>
      </c>
      <c r="C114" s="17" t="str">
        <f t="array" ref="C114">INDEX(Moves!$B$2:'Moves'!$B$177, SUM(HEX2DEC("42"),1), 1)</f>
        <v>String Shot</v>
      </c>
      <c r="D114" s="18">
        <f>HEX2DEC("04")</f>
        <v>4</v>
      </c>
      <c r="E114" s="17" t="str">
        <f t="array" ref="E114">INDEX(Moves!$B$2:'Moves'!$B$177, SUM(HEX2DEC("42"),1), 1)</f>
        <v>String Shot</v>
      </c>
      <c r="F114" s="11"/>
      <c r="H114" s="21"/>
      <c r="I114" s="25"/>
      <c r="J114" s="30"/>
    </row>
    <row r="115" spans="1:10" x14ac:dyDescent="0.2">
      <c r="A115" s="121" t="s">
        <v>42</v>
      </c>
      <c r="B115" s="7">
        <f>HEX2DEC("00")</f>
        <v>0</v>
      </c>
      <c r="C115" s="8" t="str">
        <f t="array" ref="C115">INDEX(Moves!$B$2:'Moves'!$B$177, SUM(HEX2DEC("A3"),1), 1)</f>
        <v>Harden</v>
      </c>
      <c r="D115" s="9">
        <f>HEX2DEC("01")</f>
        <v>1</v>
      </c>
      <c r="E115" s="8" t="str">
        <f t="array" ref="E115">INDEX(Moves!$B$2:'Moves'!$B$177, SUM(HEX2DEC("A3"),1), 1)</f>
        <v>Harden</v>
      </c>
      <c r="F115" s="41">
        <v>35</v>
      </c>
      <c r="G115" s="12" t="str">
        <f>VLOOKUP(F115, TMHM!$B$10:$C1519, 2, FALSE)</f>
        <v>Harden</v>
      </c>
      <c r="H115" s="13">
        <v>5</v>
      </c>
      <c r="I115" s="14" t="str">
        <f>VLOOKUP(H115, TMHM!$B$2:$C$7, 2, FALSE)</f>
        <v>Flash</v>
      </c>
      <c r="J115" s="30"/>
    </row>
    <row r="116" spans="1:10" x14ac:dyDescent="0.2">
      <c r="A116" s="120"/>
      <c r="B116" s="16">
        <f>HEX2DEC("07")</f>
        <v>7</v>
      </c>
      <c r="C116" s="17" t="str">
        <f t="array" ref="C116">INDEX(Moves!$B$2:'Moves'!$B$177, SUM(HEX2DEC("A3"),1), 1)</f>
        <v>Harden</v>
      </c>
      <c r="D116" s="18">
        <f>HEX2DEC("04")</f>
        <v>4</v>
      </c>
      <c r="E116" s="17" t="str">
        <f t="array" ref="E116">INDEX(Moves!$B$2:'Moves'!$B$177, SUM(HEX2DEC("A3"),1), 1)</f>
        <v>Harden</v>
      </c>
      <c r="F116" s="11"/>
      <c r="H116" s="21"/>
      <c r="I116" s="25"/>
      <c r="J116" s="30"/>
    </row>
    <row r="117" spans="1:10" x14ac:dyDescent="0.2">
      <c r="A117" s="121" t="s">
        <v>43</v>
      </c>
      <c r="B117" s="7">
        <f>HEX2DEC("00")</f>
        <v>0</v>
      </c>
      <c r="C117" s="8" t="str">
        <f t="array" ref="C117">INDEX(Moves!$B$2:'Moves'!$B$177, SUM(HEX2DEC("65"),1), 1)</f>
        <v>Confusion</v>
      </c>
      <c r="D117" s="42">
        <f>HEX2DEC("00")</f>
        <v>0</v>
      </c>
      <c r="E117" s="8" t="str">
        <f t="array" ref="E117">INDEX(Moves!$B$2:'Moves'!$B$177, SUM(HEX2DEC("65"),1), 1)</f>
        <v>Confusion</v>
      </c>
      <c r="F117" s="41">
        <v>4</v>
      </c>
      <c r="G117" s="12" t="str">
        <f>VLOOKUP(F117, TMHM!$B$10:$C1519, 2, FALSE)</f>
        <v>Calm Mind</v>
      </c>
      <c r="H117" s="13">
        <v>5</v>
      </c>
      <c r="I117" s="14" t="str">
        <f>VLOOKUP(H117, TMHM!$B$2:$C$7, 2, FALSE)</f>
        <v>Flash</v>
      </c>
      <c r="J117" s="30"/>
    </row>
    <row r="118" spans="1:10" x14ac:dyDescent="0.2">
      <c r="A118" s="120"/>
      <c r="B118" s="16">
        <f>HEX2DEC("0A")</f>
        <v>10</v>
      </c>
      <c r="C118" s="17" t="str">
        <f t="array" ref="C118">INDEX(Moves!$B$2:'Moves'!$B$177, SUM(HEX2DEC("65"),1), 1)</f>
        <v>Confusion</v>
      </c>
      <c r="D118" s="40">
        <f>HEX2DEC("0A")</f>
        <v>10</v>
      </c>
      <c r="E118" s="17" t="str">
        <f t="array" ref="E118">INDEX(Moves!$B$2:'Moves'!$B$177, SUM(HEX2DEC("65"),1), 1)</f>
        <v>Confusion</v>
      </c>
      <c r="F118" s="11">
        <v>8</v>
      </c>
      <c r="G118" s="20" t="str">
        <f>VLOOKUP(F118, TMHM!$B$10:$C1519, 2, FALSE)</f>
        <v>Charm</v>
      </c>
      <c r="H118" s="21"/>
      <c r="I118" s="25"/>
      <c r="J118" s="30"/>
    </row>
    <row r="119" spans="1:10" x14ac:dyDescent="0.2">
      <c r="A119" s="120"/>
      <c r="B119" s="16">
        <f>HEX2DEC("0D")</f>
        <v>13</v>
      </c>
      <c r="C119" s="17" t="str">
        <f t="array" ref="C119">INDEX(Moves!$B$2:'Moves'!$B$177, SUM(HEX2DEC("4B"),1), 1)</f>
        <v>PoisonPowder</v>
      </c>
      <c r="D119" s="40">
        <f>HEX2DEC("0D")</f>
        <v>13</v>
      </c>
      <c r="E119" s="17" t="str">
        <f t="array" ref="E119">INDEX(Moves!$B$2:'Moves'!$B$177, SUM(HEX2DEC("4B"),1), 1)</f>
        <v>PoisonPowder</v>
      </c>
      <c r="F119" s="11">
        <v>9</v>
      </c>
      <c r="G119" s="20" t="str">
        <f>VLOOKUP(F119, TMHM!$B$10:$C1519, 2, FALSE)</f>
        <v>Snore</v>
      </c>
      <c r="H119" s="21"/>
      <c r="I119" s="25"/>
      <c r="J119" s="30"/>
    </row>
    <row r="120" spans="1:10" x14ac:dyDescent="0.2">
      <c r="A120" s="120"/>
      <c r="B120" s="16">
        <f>HEX2DEC("0E")</f>
        <v>14</v>
      </c>
      <c r="C120" s="17" t="str">
        <f t="array" ref="C120">INDEX(Moves!$B$2:'Moves'!$B$177, SUM(HEX2DEC("28"),1), 1)</f>
        <v>Stun Spore</v>
      </c>
      <c r="D120" s="40">
        <f>HEX2DEC("0E")</f>
        <v>14</v>
      </c>
      <c r="E120" s="17" t="str">
        <f t="array" ref="E120">INDEX(Moves!$B$2:'Moves'!$B$177, SUM(HEX2DEC("28"),1), 1)</f>
        <v>Stun Spore</v>
      </c>
      <c r="F120" s="11">
        <v>17</v>
      </c>
      <c r="G120" s="20" t="str">
        <f>VLOOKUP(F120, TMHM!$B$10:$C1519, 2, FALSE)</f>
        <v>SmokeScreen</v>
      </c>
      <c r="H120" s="21"/>
      <c r="I120" s="25"/>
      <c r="J120" s="30"/>
    </row>
    <row r="121" spans="1:10" x14ac:dyDescent="0.2">
      <c r="A121" s="120"/>
      <c r="B121" s="16">
        <f>HEX2DEC("0F")</f>
        <v>15</v>
      </c>
      <c r="C121" s="17" t="str">
        <f t="array" ref="C121">INDEX(Moves!$B$2:'Moves'!$B$177, SUM(HEX2DEC("26"),1), 1)</f>
        <v>Sleep Powder</v>
      </c>
      <c r="D121" s="40">
        <f>HEX2DEC("0F")</f>
        <v>15</v>
      </c>
      <c r="E121" s="17" t="str">
        <f t="array" ref="E121">INDEX(Moves!$B$2:'Moves'!$B$177, SUM(HEX2DEC("26"),1), 1)</f>
        <v>Sleep Powder</v>
      </c>
      <c r="F121" s="11">
        <v>19</v>
      </c>
      <c r="G121" s="20" t="str">
        <f>VLOOKUP(F121, TMHM!$B$10:$C1519, 2, FALSE)</f>
        <v>Giga Drain</v>
      </c>
      <c r="H121" s="21"/>
      <c r="I121" s="25"/>
      <c r="J121" s="30"/>
    </row>
    <row r="122" spans="1:10" x14ac:dyDescent="0.2">
      <c r="A122" s="120"/>
      <c r="B122" s="18">
        <f>HEX2DEC("12")</f>
        <v>18</v>
      </c>
      <c r="C122" s="38" t="str">
        <f t="array" ref="C122">INDEX(Moves!$B$2:'Moves'!$B$177, SUM(HEX2DEC("9E"),1), 1)</f>
        <v>Supersonic</v>
      </c>
      <c r="D122" s="18">
        <f>HEX2DEC("12")</f>
        <v>18</v>
      </c>
      <c r="E122" s="38" t="str">
        <f t="array" ref="E122">INDEX(Moves!$B$2:'Moves'!$B$177, SUM(HEX2DEC("9E"),1), 1)</f>
        <v>Supersonic</v>
      </c>
      <c r="F122" s="11">
        <v>29</v>
      </c>
      <c r="G122" s="20" t="str">
        <f>VLOOKUP(F122, TMHM!$B$10:$C1519, 2, FALSE)</f>
        <v>Psychic</v>
      </c>
      <c r="H122" s="21"/>
      <c r="I122" s="25"/>
      <c r="J122" s="30"/>
    </row>
    <row r="123" spans="1:10" x14ac:dyDescent="0.2">
      <c r="A123" s="120"/>
      <c r="B123" s="54">
        <f>HEX2DEC("17")</f>
        <v>23</v>
      </c>
      <c r="C123" s="55" t="str">
        <f t="array" ref="C123">INDEX(Moves!$B$2:'Moves'!$B$177, SUM(HEX2DEC("5C"),1), 1)</f>
        <v>Gust</v>
      </c>
      <c r="D123" s="54">
        <f>HEX2DEC("17")</f>
        <v>23</v>
      </c>
      <c r="E123" s="55" t="str">
        <f t="array" ref="E123">INDEX(Moves!$B$2:'Moves'!$B$177, SUM(HEX2DEC("AC"),1), 1)</f>
        <v>Whirlwind</v>
      </c>
      <c r="F123" s="11">
        <v>40</v>
      </c>
      <c r="G123" s="20" t="str">
        <f>VLOOKUP(F123, TMHM!$B$10:$C1519, 2, FALSE)</f>
        <v>Psychic</v>
      </c>
      <c r="H123" s="21"/>
      <c r="I123" s="25"/>
      <c r="J123" s="30"/>
    </row>
    <row r="124" spans="1:10" x14ac:dyDescent="0.2">
      <c r="A124" s="120"/>
      <c r="B124" s="54">
        <f>HEX2DEC("1C")</f>
        <v>28</v>
      </c>
      <c r="C124" s="55" t="str">
        <f t="array" ref="C124">INDEX(Moves!$B$2:'Moves'!$B$177, SUM(HEX2DEC("3F"),1), 1)</f>
        <v>Signal Beam</v>
      </c>
      <c r="D124" s="54">
        <f>HEX2DEC("1C")</f>
        <v>28</v>
      </c>
      <c r="E124" s="55" t="str">
        <f t="array" ref="E124">INDEX(Moves!$B$2:'Moves'!$B$177, SUM(HEX2DEC("5C"),1), 1)</f>
        <v>Gust</v>
      </c>
      <c r="F124" s="11"/>
      <c r="H124" s="21"/>
      <c r="I124" s="25"/>
      <c r="J124" s="30"/>
    </row>
    <row r="125" spans="1:10" x14ac:dyDescent="0.2">
      <c r="A125" s="120"/>
      <c r="B125" s="18">
        <f>HEX2DEC("22")</f>
        <v>34</v>
      </c>
      <c r="C125" s="38" t="str">
        <f t="array" ref="C125">INDEX(Moves!$B$2:'Moves'!$B$177, SUM(HEX2DEC("66"),1), 1)</f>
        <v>Psybeam</v>
      </c>
      <c r="D125" s="18">
        <f>HEX2DEC("22")</f>
        <v>34</v>
      </c>
      <c r="E125" s="38" t="str">
        <f t="array" ref="E125">INDEX(Moves!$B$2:'Moves'!$B$177, SUM(HEX2DEC("66"),1), 1)</f>
        <v>Psybeam</v>
      </c>
      <c r="F125" s="11"/>
      <c r="H125" s="21"/>
      <c r="I125" s="25"/>
      <c r="J125" s="30"/>
    </row>
    <row r="126" spans="1:10" x14ac:dyDescent="0.2">
      <c r="A126" s="120"/>
      <c r="B126" s="53">
        <f>HEX2DEC("28")</f>
        <v>40</v>
      </c>
      <c r="C126" s="39" t="str">
        <f t="array" ref="C126">INDEX(Moves!$B$2:'Moves'!$B$177, SUM(HEX2DEC("3E"),1), 1)</f>
        <v>Silver Wind</v>
      </c>
      <c r="D126" s="53">
        <f>HEX2DEC("28")</f>
        <v>40</v>
      </c>
      <c r="E126" s="39" t="s">
        <v>44</v>
      </c>
      <c r="F126" s="11"/>
      <c r="H126" s="21"/>
      <c r="I126" s="25"/>
      <c r="J126" s="30"/>
    </row>
    <row r="127" spans="1:10" x14ac:dyDescent="0.2">
      <c r="A127" s="121" t="s">
        <v>45</v>
      </c>
      <c r="B127" s="7">
        <f>HEX2DEC("00")</f>
        <v>0</v>
      </c>
      <c r="C127" s="8" t="str">
        <f t="array" ref="C127">INDEX(Moves!$B$2:'Moves'!$B$177, SUM(HEX2DEC("43"),1), 1)</f>
        <v>Poison Sting</v>
      </c>
      <c r="D127" s="9">
        <f>HEX2DEC("01")</f>
        <v>1</v>
      </c>
      <c r="E127" s="8" t="str">
        <f t="array" ref="E127">INDEX(Moves!$B$2:'Moves'!$B$177, SUM(HEX2DEC("43"),1), 1)</f>
        <v>Poison Sting</v>
      </c>
      <c r="F127" s="41">
        <v>35</v>
      </c>
      <c r="G127" s="12" t="str">
        <f>VLOOKUP(F127, TMHM!$B$10:$C1519, 2, FALSE)</f>
        <v>Harden</v>
      </c>
      <c r="H127" s="13">
        <v>5</v>
      </c>
      <c r="I127" s="14" t="str">
        <f>VLOOKUP(H127, TMHM!$B$2:$C$7, 2, FALSE)</f>
        <v>Flash</v>
      </c>
      <c r="J127" s="30"/>
    </row>
    <row r="128" spans="1:10" x14ac:dyDescent="0.2">
      <c r="A128" s="120"/>
      <c r="B128" s="16">
        <f>HEX2DEC("01")</f>
        <v>1</v>
      </c>
      <c r="C128" s="17" t="str">
        <f t="array" ref="C128">INDEX(Moves!$B$2:'Moves'!$B$177, SUM(HEX2DEC("42"),1), 1)</f>
        <v>String Shot</v>
      </c>
      <c r="D128" s="18">
        <f>HEX2DEC("04")</f>
        <v>4</v>
      </c>
      <c r="E128" s="17" t="str">
        <f t="array" ref="E128">INDEX(Moves!$B$2:'Moves'!$B$177, SUM(HEX2DEC("42"),1), 1)</f>
        <v>String Shot</v>
      </c>
      <c r="F128" s="11"/>
      <c r="H128" s="21"/>
      <c r="I128" s="25"/>
      <c r="J128" s="30"/>
    </row>
    <row r="129" spans="1:10" x14ac:dyDescent="0.2">
      <c r="A129" s="121" t="s">
        <v>46</v>
      </c>
      <c r="B129" s="7">
        <f>HEX2DEC("00")</f>
        <v>0</v>
      </c>
      <c r="C129" s="8" t="str">
        <f t="array" ref="C129">INDEX(Moves!$B$2:'Moves'!$B$177, SUM(HEX2DEC("A3"),1), 1)</f>
        <v>Harden</v>
      </c>
      <c r="D129" s="9">
        <f>HEX2DEC("01")</f>
        <v>1</v>
      </c>
      <c r="E129" s="8" t="str">
        <f t="array" ref="E129">INDEX(Moves!$B$2:'Moves'!$B$177, SUM(HEX2DEC("A3"),1), 1)</f>
        <v>Harden</v>
      </c>
      <c r="F129" s="41">
        <v>35</v>
      </c>
      <c r="G129" s="12" t="str">
        <f>VLOOKUP(F129, TMHM!$B$10:$C1519, 2, FALSE)</f>
        <v>Harden</v>
      </c>
      <c r="H129" s="13">
        <v>5</v>
      </c>
      <c r="I129" s="14" t="str">
        <f>VLOOKUP(H129, TMHM!$B$2:$C$7, 2, FALSE)</f>
        <v>Flash</v>
      </c>
      <c r="J129" s="30"/>
    </row>
    <row r="130" spans="1:10" x14ac:dyDescent="0.2">
      <c r="A130" s="120"/>
      <c r="B130" s="16">
        <f>HEX2DEC("07")</f>
        <v>7</v>
      </c>
      <c r="C130" s="17" t="str">
        <f t="array" ref="C130">INDEX(Moves!$B$2:'Moves'!$B$177, SUM(HEX2DEC("A3"),1), 1)</f>
        <v>Harden</v>
      </c>
      <c r="D130" s="18">
        <f>HEX2DEC("04")</f>
        <v>4</v>
      </c>
      <c r="E130" s="17" t="str">
        <f t="array" ref="E130">INDEX(Moves!$B$2:'Moves'!$B$177, SUM(HEX2DEC("A3"),1), 1)</f>
        <v>Harden</v>
      </c>
      <c r="F130" s="11"/>
      <c r="H130" s="21"/>
      <c r="I130" s="25"/>
      <c r="J130" s="30"/>
    </row>
    <row r="131" spans="1:10" x14ac:dyDescent="0.2">
      <c r="A131" s="121" t="s">
        <v>47</v>
      </c>
      <c r="B131" s="61">
        <f>HEX2DEC("00")</f>
        <v>0</v>
      </c>
      <c r="C131" s="62" t="str">
        <f t="array" ref="C131">INDEX(Moves!$B$2:'Moves'!$B$177, SUM(HEX2DEC("47"),1), 1)</f>
        <v>Poison Fang</v>
      </c>
      <c r="D131" s="63">
        <f>HEX2DEC("00")</f>
        <v>0</v>
      </c>
      <c r="E131" s="62" t="s">
        <v>48</v>
      </c>
      <c r="F131" s="41">
        <v>8</v>
      </c>
      <c r="G131" s="12" t="str">
        <f>VLOOKUP(F131, TMHM!$B$10:$C1519, 2, FALSE)</f>
        <v>Charm</v>
      </c>
      <c r="H131" s="13">
        <v>5</v>
      </c>
      <c r="I131" s="14" t="str">
        <f>VLOOKUP(H131, TMHM!$B$2:$C$7, 2, FALSE)</f>
        <v>Flash</v>
      </c>
      <c r="J131" s="30"/>
    </row>
    <row r="132" spans="1:10" x14ac:dyDescent="0.2">
      <c r="A132" s="120"/>
      <c r="B132" s="48">
        <f>HEX2DEC("0A")</f>
        <v>10</v>
      </c>
      <c r="C132" s="23" t="str">
        <f t="array" ref="C132">INDEX(Moves!$B$2:'Moves'!$B$177, SUM(HEX2DEC("47"),1), 1)</f>
        <v>Poison Fang</v>
      </c>
      <c r="D132" s="49">
        <f>HEX2DEC("0A")</f>
        <v>10</v>
      </c>
      <c r="E132" s="23" t="s">
        <v>48</v>
      </c>
      <c r="F132" s="11">
        <v>9</v>
      </c>
      <c r="G132" s="20" t="str">
        <f>VLOOKUP(F132, TMHM!$B$10:$C1519, 2, FALSE)</f>
        <v>Snore</v>
      </c>
      <c r="H132" s="21"/>
      <c r="I132" s="25"/>
      <c r="J132" s="30"/>
    </row>
    <row r="133" spans="1:10" x14ac:dyDescent="0.2">
      <c r="A133" s="120"/>
      <c r="B133" s="48">
        <f>HEX2DEC("0F")</f>
        <v>15</v>
      </c>
      <c r="C133" s="23" t="str">
        <f t="array" ref="C133">INDEX(Moves!$B$2:'Moves'!$B$177, SUM(HEX2DEC("A6"),1), 1)</f>
        <v>SmokeScreen</v>
      </c>
      <c r="D133" s="49">
        <f>HEX2DEC("0F")</f>
        <v>15</v>
      </c>
      <c r="E133" s="23" t="s">
        <v>49</v>
      </c>
      <c r="F133" s="11">
        <v>17</v>
      </c>
      <c r="G133" s="20" t="str">
        <f>VLOOKUP(F133, TMHM!$B$10:$C1519, 2, FALSE)</f>
        <v>SmokeScreen</v>
      </c>
      <c r="H133" s="21"/>
      <c r="I133" s="25"/>
      <c r="J133" s="30"/>
    </row>
    <row r="134" spans="1:10" x14ac:dyDescent="0.2">
      <c r="A134" s="120"/>
      <c r="B134" s="16">
        <f>HEX2DEC("14")</f>
        <v>20</v>
      </c>
      <c r="C134" s="17" t="str">
        <f t="array" ref="C134">INDEX(Moves!$B$2:'Moves'!$B$177, SUM(HEX2DEC("3D"),1), 1)</f>
        <v>Twineedle</v>
      </c>
      <c r="D134" s="40">
        <f>HEX2DEC("14")</f>
        <v>20</v>
      </c>
      <c r="E134" s="17" t="str">
        <f t="array" ref="E134">INDEX(Moves!$B$2:'Moves'!$B$177, SUM(HEX2DEC("3D"),1), 1)</f>
        <v>Twineedle</v>
      </c>
      <c r="F134" s="11">
        <v>35</v>
      </c>
      <c r="G134" s="20" t="str">
        <f>VLOOKUP(F134, TMHM!$B$10:$C1519, 2, FALSE)</f>
        <v>Harden</v>
      </c>
      <c r="H134" s="21"/>
      <c r="I134" s="25"/>
      <c r="J134" s="30"/>
    </row>
    <row r="135" spans="1:10" x14ac:dyDescent="0.2">
      <c r="A135" s="120"/>
      <c r="B135" s="58"/>
      <c r="C135" s="37"/>
      <c r="D135" s="36">
        <f>HEX2DEC("19")</f>
        <v>25</v>
      </c>
      <c r="E135" s="37" t="s">
        <v>26</v>
      </c>
      <c r="F135" s="11"/>
      <c r="H135" s="21"/>
      <c r="I135" s="25"/>
      <c r="J135" s="30"/>
    </row>
    <row r="136" spans="1:10" x14ac:dyDescent="0.2">
      <c r="A136" s="120"/>
      <c r="B136" s="18">
        <f>HEX2DEC("1E")</f>
        <v>30</v>
      </c>
      <c r="C136" s="38" t="str">
        <f t="array" ref="C136">INDEX(Moves!$B$2:'Moves'!$B$177, SUM(HEX2DEC("7F"),1), 1)</f>
        <v>Pursuit</v>
      </c>
      <c r="D136" s="18">
        <f>HEX2DEC("1E")</f>
        <v>30</v>
      </c>
      <c r="E136" s="38" t="str">
        <f t="array" ref="E136">INDEX(Moves!$B$2:'Moves'!$B$177, SUM(HEX2DEC("7F"),1), 1)</f>
        <v>Pursuit</v>
      </c>
      <c r="F136" s="11"/>
      <c r="H136" s="21"/>
      <c r="I136" s="25"/>
      <c r="J136" s="30"/>
    </row>
    <row r="137" spans="1:10" x14ac:dyDescent="0.2">
      <c r="A137" s="120"/>
      <c r="B137" s="53">
        <f>HEX2DEC("23")</f>
        <v>35</v>
      </c>
      <c r="C137" s="39" t="str">
        <f t="array" ref="C137">INDEX(Moves!$B$2:'Moves'!$B$177, SUM(HEX2DEC("3F"),1), 1)</f>
        <v>Signal Beam</v>
      </c>
      <c r="D137" s="53">
        <f>HEX2DEC("23")</f>
        <v>35</v>
      </c>
      <c r="E137" s="39" t="s">
        <v>50</v>
      </c>
      <c r="F137" s="11"/>
      <c r="H137" s="21"/>
      <c r="I137" s="25"/>
      <c r="J137" s="30"/>
    </row>
    <row r="138" spans="1:10" x14ac:dyDescent="0.2">
      <c r="A138" s="120"/>
      <c r="B138" s="18">
        <f>HEX2DEC("28")</f>
        <v>40</v>
      </c>
      <c r="C138" s="38" t="str">
        <f t="array" ref="C138">INDEX(Moves!$B$2:'Moves'!$B$177, SUM(HEX2DEC("71"),1), 1)</f>
        <v>Agility</v>
      </c>
      <c r="D138" s="18">
        <f>HEX2DEC("28")</f>
        <v>40</v>
      </c>
      <c r="E138" s="38" t="str">
        <f t="array" ref="E138">INDEX(Moves!$B$2:'Moves'!$B$177, SUM(HEX2DEC("71"),1), 1)</f>
        <v>Agility</v>
      </c>
      <c r="F138" s="11"/>
      <c r="H138" s="21"/>
      <c r="I138" s="25"/>
      <c r="J138" s="30"/>
    </row>
    <row r="139" spans="1:10" x14ac:dyDescent="0.2">
      <c r="A139" s="121" t="s">
        <v>51</v>
      </c>
      <c r="B139" s="64">
        <f>HEX2DEC("00")</f>
        <v>0</v>
      </c>
      <c r="C139" s="65" t="str">
        <f t="array" ref="C139">INDEX(Moves!$B$2:'Moves'!$B$177, SUM(HEX2DEC("5B"),1), 1)</f>
        <v>Peck</v>
      </c>
      <c r="D139" s="66">
        <f>HEX2DEC("01")</f>
        <v>1</v>
      </c>
      <c r="E139" s="65" t="str">
        <f t="array" ref="E139">INDEX(Moves!$B$2:'Moves'!$B$177, SUM(HEX2DEC("89"),1), 1)</f>
        <v>Tackle</v>
      </c>
      <c r="F139" s="41">
        <v>5</v>
      </c>
      <c r="G139" s="12" t="str">
        <f>VLOOKUP(F139, TMHM!$B$10:$C1519, 2, FALSE)</f>
        <v>Roar</v>
      </c>
      <c r="H139" s="13">
        <v>2</v>
      </c>
      <c r="I139" s="14" t="str">
        <f>VLOOKUP(H139, TMHM!$B$2:$C$7, 2, FALSE)</f>
        <v>Fly</v>
      </c>
      <c r="J139" s="30"/>
    </row>
    <row r="140" spans="1:10" x14ac:dyDescent="0.2">
      <c r="A140" s="120"/>
      <c r="B140" s="16">
        <f>HEX2DEC("05")</f>
        <v>5</v>
      </c>
      <c r="C140" s="17" t="str">
        <f t="array" ref="C140">INDEX(Moves!$B$2:'Moves'!$B$177, SUM(HEX2DEC("37"),1), 1)</f>
        <v>Sand Attack</v>
      </c>
      <c r="D140" s="40">
        <f>HEX2DEC("05")</f>
        <v>5</v>
      </c>
      <c r="E140" s="17" t="str">
        <f t="array" ref="E140">INDEX(Moves!$B$2:'Moves'!$B$177, SUM(HEX2DEC("37"),1), 1)</f>
        <v>Sand Attack</v>
      </c>
      <c r="F140" s="11">
        <v>8</v>
      </c>
      <c r="G140" s="20" t="str">
        <f>VLOOKUP(F140,TMHM!$B$10:$C1519,2,FALSE)</f>
        <v>Charm</v>
      </c>
      <c r="H140" s="21"/>
      <c r="I140" s="25"/>
      <c r="J140" s="30"/>
    </row>
    <row r="141" spans="1:10" x14ac:dyDescent="0.2">
      <c r="A141" s="120"/>
      <c r="B141" s="16">
        <f>HEX2DEC("09")</f>
        <v>9</v>
      </c>
      <c r="C141" s="17" t="str">
        <f t="array" ref="C141">INDEX(Moves!$B$2:'Moves'!$B$177, SUM(HEX2DEC("5C"),1), 1)</f>
        <v>Gust</v>
      </c>
      <c r="D141" s="40">
        <f>HEX2DEC("09")</f>
        <v>9</v>
      </c>
      <c r="E141" s="17" t="str">
        <f t="array" ref="E141">INDEX(Moves!$B$2:'Moves'!$B$177, SUM(HEX2DEC("5C"),1), 1)</f>
        <v>Gust</v>
      </c>
      <c r="F141" s="11">
        <v>9</v>
      </c>
      <c r="G141" s="20" t="str">
        <f>VLOOKUP(F141,TMHM!$B$10:$C1519,2,FALSE)</f>
        <v>Snore</v>
      </c>
      <c r="H141" s="21"/>
      <c r="I141" s="25"/>
      <c r="J141" s="30"/>
    </row>
    <row r="142" spans="1:10" x14ac:dyDescent="0.2">
      <c r="A142" s="120"/>
      <c r="B142" s="16">
        <f>HEX2DEC("0F")</f>
        <v>15</v>
      </c>
      <c r="C142" s="17" t="str">
        <f t="array" ref="C142">INDEX(Moves!$B$2:'Moves'!$B$177, SUM(HEX2DEC("8C"),1), 1)</f>
        <v>Quick Attack</v>
      </c>
      <c r="D142" s="40">
        <f>HEX2DEC("0F")</f>
        <v>15</v>
      </c>
      <c r="E142" s="17" t="str">
        <f t="array" ref="E142">INDEX(Moves!$B$2:'Moves'!$B$177, SUM(HEX2DEC("8C"),1), 1)</f>
        <v>Quick Attack</v>
      </c>
      <c r="F142" s="11">
        <v>12</v>
      </c>
      <c r="G142" s="20" t="str">
        <f>VLOOKUP(F142,TMHM!$B$10:$C1519,2,FALSE)</f>
        <v>Steel Wing</v>
      </c>
      <c r="H142" s="21"/>
      <c r="I142" s="25"/>
      <c r="J142" s="30"/>
    </row>
    <row r="143" spans="1:10" x14ac:dyDescent="0.2">
      <c r="A143" s="120"/>
      <c r="B143" s="16">
        <f>HEX2DEC("15")</f>
        <v>21</v>
      </c>
      <c r="C143" s="17" t="str">
        <f t="array" ref="C143">INDEX(Moves!$B$2:'Moves'!$B$177, SUM(HEX2DEC("AC"),1), 1)</f>
        <v>Whirlwind</v>
      </c>
      <c r="D143" s="40">
        <f>HEX2DEC("15")</f>
        <v>21</v>
      </c>
      <c r="E143" s="17" t="str">
        <f t="array" ref="E143">INDEX(Moves!$B$2:'Moves'!$B$177, SUM(HEX2DEC("AC"),1), 1)</f>
        <v>Whirlwind</v>
      </c>
      <c r="F143" s="11">
        <v>21</v>
      </c>
      <c r="G143" s="20" t="str">
        <f>VLOOKUP(F143,TMHM!$B$10:$C1519,2,FALSE)</f>
        <v>Recover</v>
      </c>
      <c r="H143" s="21"/>
      <c r="I143" s="25"/>
      <c r="J143" s="30"/>
    </row>
    <row r="144" spans="1:10" x14ac:dyDescent="0.2">
      <c r="A144" s="120"/>
      <c r="B144" s="16">
        <f>HEX2DEC("1D")</f>
        <v>29</v>
      </c>
      <c r="C144" s="17" t="str">
        <f t="array" ref="C144">INDEX(Moves!$B$2:'Moves'!$B$177, SUM(HEX2DEC("5E"),1), 1)</f>
        <v>Wing Attack</v>
      </c>
      <c r="D144" s="40">
        <f>HEX2DEC("1D")</f>
        <v>29</v>
      </c>
      <c r="E144" s="17" t="str">
        <f t="array" ref="E144">INDEX(Moves!$B$2:'Moves'!$B$177, SUM(HEX2DEC("5E"),1), 1)</f>
        <v>Wing Attack</v>
      </c>
      <c r="F144" s="11">
        <v>32</v>
      </c>
      <c r="G144" s="20" t="str">
        <f>VLOOKUP(F144,TMHM!$B$10:$C1519,2,FALSE)</f>
        <v>Double Team</v>
      </c>
      <c r="H144" s="21"/>
      <c r="I144" s="25"/>
      <c r="J144" s="30"/>
    </row>
    <row r="145" spans="1:10" x14ac:dyDescent="0.2">
      <c r="A145" s="120"/>
      <c r="B145" s="16">
        <f>HEX2DEC("25")</f>
        <v>37</v>
      </c>
      <c r="C145" s="17" t="str">
        <f t="array" ref="C145">INDEX(Moves!$B$2:'Moves'!$B$177, SUM(HEX2DEC("71"),1), 1)</f>
        <v>Agility</v>
      </c>
      <c r="D145" s="40">
        <f>HEX2DEC("25")</f>
        <v>37</v>
      </c>
      <c r="E145" s="17" t="str">
        <f t="array" ref="E145">INDEX(Moves!$B$2:'Moves'!$B$177, SUM(HEX2DEC("71"),1), 1)</f>
        <v>Agility</v>
      </c>
      <c r="F145" s="11">
        <v>37</v>
      </c>
      <c r="G145" s="20" t="str">
        <f>VLOOKUP(F145,TMHM!$B$10:$C1519,2,FALSE)</f>
        <v>Aerial Ace</v>
      </c>
      <c r="H145" s="21"/>
      <c r="I145" s="25"/>
      <c r="J145" s="30"/>
    </row>
    <row r="146" spans="1:10" x14ac:dyDescent="0.2">
      <c r="A146" s="120"/>
      <c r="B146" s="48">
        <f>HEX2DEC("2F")</f>
        <v>47</v>
      </c>
      <c r="C146" s="23" t="str">
        <f t="array" ref="C146">INDEX(Moves!$B$2:'Moves'!$B$177, SUM(HEX2DEC("9E"),1), 1)</f>
        <v>Supersonic</v>
      </c>
      <c r="D146" s="49">
        <f>HEX2DEC("2F")</f>
        <v>47</v>
      </c>
      <c r="E146" s="23" t="s">
        <v>52</v>
      </c>
      <c r="F146" s="11"/>
      <c r="H146" s="21"/>
      <c r="I146" s="25"/>
      <c r="J146" s="30"/>
    </row>
    <row r="147" spans="1:10" x14ac:dyDescent="0.2">
      <c r="A147" s="121" t="s">
        <v>53</v>
      </c>
      <c r="B147" s="64">
        <f>HEX2DEC("00")</f>
        <v>0</v>
      </c>
      <c r="C147" s="65" t="str">
        <f t="array" ref="C147">INDEX(Moves!$B$2:'Moves'!$B$177, SUM(HEX2DEC("5B"),1), 1)</f>
        <v>Peck</v>
      </c>
      <c r="D147" s="66">
        <f t="shared" ref="D147:D149" si="13">HEX2DEC("01")</f>
        <v>1</v>
      </c>
      <c r="E147" s="65" t="str">
        <f t="array" ref="E147">INDEX(Moves!$B$2:'Moves'!$B$177, SUM(HEX2DEC("89"),1), 1)</f>
        <v>Tackle</v>
      </c>
      <c r="F147" s="41">
        <v>5</v>
      </c>
      <c r="G147" s="12" t="str">
        <f>VLOOKUP(F147, TMHM!$B$10:$C1519, 2, FALSE)</f>
        <v>Roar</v>
      </c>
      <c r="H147" s="13">
        <v>2</v>
      </c>
      <c r="I147" s="14" t="str">
        <f>VLOOKUP(H147, TMHM!$B$2:$C$7, 2, FALSE)</f>
        <v>Fly</v>
      </c>
      <c r="J147" s="30"/>
    </row>
    <row r="148" spans="1:10" x14ac:dyDescent="0.2">
      <c r="A148" s="120"/>
      <c r="B148" s="34"/>
      <c r="C148" s="35"/>
      <c r="D148" s="56">
        <f t="shared" si="13"/>
        <v>1</v>
      </c>
      <c r="E148" s="35" t="str">
        <f t="array" ref="E148">INDEX(Moves!$B$2:'Moves'!$B$177, SUM(HEX2DEC("37"),1), 1)</f>
        <v>Sand Attack</v>
      </c>
      <c r="F148" s="11">
        <v>8</v>
      </c>
      <c r="G148" s="20" t="str">
        <f>VLOOKUP(F148,TMHM!$B$10:$C1519,2,FALSE)</f>
        <v>Charm</v>
      </c>
      <c r="H148" s="21"/>
      <c r="I148" s="25"/>
      <c r="J148" s="30"/>
    </row>
    <row r="149" spans="1:10" x14ac:dyDescent="0.2">
      <c r="A149" s="120"/>
      <c r="B149" s="34"/>
      <c r="C149" s="35"/>
      <c r="D149" s="56">
        <f t="shared" si="13"/>
        <v>1</v>
      </c>
      <c r="E149" s="35" t="str">
        <f t="array" ref="E149">INDEX(Moves!$B$2:'Moves'!$B$177, SUM(HEX2DEC("5C"),1), 1)</f>
        <v>Gust</v>
      </c>
      <c r="F149" s="11">
        <v>9</v>
      </c>
      <c r="G149" s="20" t="str">
        <f>VLOOKUP(F149,TMHM!$B$10:$C1519,2,FALSE)</f>
        <v>Snore</v>
      </c>
      <c r="H149" s="21"/>
      <c r="I149" s="25"/>
      <c r="J149" s="30"/>
    </row>
    <row r="150" spans="1:10" x14ac:dyDescent="0.2">
      <c r="A150" s="120"/>
      <c r="B150" s="16">
        <f>HEX2DEC("05")</f>
        <v>5</v>
      </c>
      <c r="C150" s="17" t="str">
        <f t="array" ref="C150">INDEX(Moves!$B$2:'Moves'!$B$177, SUM(HEX2DEC("37"),1), 1)</f>
        <v>Sand Attack</v>
      </c>
      <c r="D150" s="40">
        <f>HEX2DEC("05")</f>
        <v>5</v>
      </c>
      <c r="E150" s="17" t="str">
        <f t="array" ref="E150">INDEX(Moves!$B$2:'Moves'!$B$177, SUM(HEX2DEC("37"),1), 1)</f>
        <v>Sand Attack</v>
      </c>
      <c r="F150" s="11">
        <v>12</v>
      </c>
      <c r="G150" s="20" t="str">
        <f>VLOOKUP(F150,TMHM!$B$10:$C1519,2,FALSE)</f>
        <v>Steel Wing</v>
      </c>
      <c r="H150" s="21"/>
      <c r="I150" s="25"/>
      <c r="J150" s="30"/>
    </row>
    <row r="151" spans="1:10" x14ac:dyDescent="0.2">
      <c r="A151" s="120"/>
      <c r="B151" s="16">
        <f>HEX2DEC("09")</f>
        <v>9</v>
      </c>
      <c r="C151" s="17" t="str">
        <f t="array" ref="C151">INDEX(Moves!$B$2:'Moves'!$B$177, SUM(HEX2DEC("5C"),1), 1)</f>
        <v>Gust</v>
      </c>
      <c r="D151" s="40">
        <f>HEX2DEC("09")</f>
        <v>9</v>
      </c>
      <c r="E151" s="17" t="str">
        <f t="array" ref="E151">INDEX(Moves!$B$2:'Moves'!$B$177, SUM(HEX2DEC("5C"),1), 1)</f>
        <v>Gust</v>
      </c>
      <c r="F151" s="11">
        <v>21</v>
      </c>
      <c r="G151" s="20" t="str">
        <f>VLOOKUP(F151,TMHM!$B$10:$C1519,2,FALSE)</f>
        <v>Recover</v>
      </c>
      <c r="H151" s="21"/>
      <c r="I151" s="25"/>
      <c r="J151" s="30"/>
    </row>
    <row r="152" spans="1:10" x14ac:dyDescent="0.2">
      <c r="A152" s="120"/>
      <c r="B152" s="16">
        <f>HEX2DEC("0F")</f>
        <v>15</v>
      </c>
      <c r="C152" s="17" t="str">
        <f t="array" ref="C152">INDEX(Moves!$B$2:'Moves'!$B$177, SUM(HEX2DEC("8C"),1), 1)</f>
        <v>Quick Attack</v>
      </c>
      <c r="D152" s="40">
        <f>HEX2DEC("0F")</f>
        <v>15</v>
      </c>
      <c r="E152" s="17" t="str">
        <f t="array" ref="E152">INDEX(Moves!$B$2:'Moves'!$B$177, SUM(HEX2DEC("8C"),1), 1)</f>
        <v>Quick Attack</v>
      </c>
      <c r="F152" s="11">
        <v>32</v>
      </c>
      <c r="G152" s="20" t="str">
        <f>VLOOKUP(F152,TMHM!$B$10:$C1519,2,FALSE)</f>
        <v>Double Team</v>
      </c>
      <c r="H152" s="21"/>
      <c r="I152" s="25"/>
      <c r="J152" s="30"/>
    </row>
    <row r="153" spans="1:10" x14ac:dyDescent="0.2">
      <c r="A153" s="120"/>
      <c r="B153" s="16">
        <f>HEX2DEC("17")</f>
        <v>23</v>
      </c>
      <c r="C153" s="17" t="str">
        <f t="array" ref="C153">INDEX(Moves!$B$2:'Moves'!$B$177, SUM(HEX2DEC("AC"),1), 1)</f>
        <v>Whirlwind</v>
      </c>
      <c r="D153" s="40">
        <f>HEX2DEC("17")</f>
        <v>23</v>
      </c>
      <c r="E153" s="17" t="str">
        <f t="array" ref="E153">INDEX(Moves!$B$2:'Moves'!$B$177, SUM(HEX2DEC("AC"),1), 1)</f>
        <v>Whirlwind</v>
      </c>
      <c r="F153" s="11">
        <v>37</v>
      </c>
      <c r="G153" s="20" t="str">
        <f>VLOOKUP(F153,TMHM!$B$10:$C1519,2,FALSE)</f>
        <v>Aerial Ace</v>
      </c>
      <c r="H153" s="21"/>
      <c r="I153" s="25"/>
      <c r="J153" s="30"/>
    </row>
    <row r="154" spans="1:10" x14ac:dyDescent="0.2">
      <c r="A154" s="120"/>
      <c r="B154" s="16">
        <f>HEX2DEC("21")</f>
        <v>33</v>
      </c>
      <c r="C154" s="17" t="str">
        <f t="array" ref="C154">INDEX(Moves!$B$2:'Moves'!$B$177, SUM(HEX2DEC("5E"),1), 1)</f>
        <v>Wing Attack</v>
      </c>
      <c r="D154" s="40">
        <f>HEX2DEC("21")</f>
        <v>33</v>
      </c>
      <c r="E154" s="17" t="str">
        <f t="array" ref="E154">INDEX(Moves!$B$2:'Moves'!$B$177, SUM(HEX2DEC("5E"),1), 1)</f>
        <v>Wing Attack</v>
      </c>
      <c r="F154" s="11"/>
      <c r="H154" s="21"/>
      <c r="I154" s="25"/>
      <c r="J154" s="30"/>
    </row>
    <row r="155" spans="1:10" x14ac:dyDescent="0.2">
      <c r="A155" s="120"/>
      <c r="B155" s="16">
        <f>HEX2DEC("2B")</f>
        <v>43</v>
      </c>
      <c r="C155" s="17" t="str">
        <f t="array" ref="C155">INDEX(Moves!$B$2:'Moves'!$B$177, SUM(HEX2DEC("71"),1), 1)</f>
        <v>Agility</v>
      </c>
      <c r="D155" s="40">
        <f>HEX2DEC("2B")</f>
        <v>43</v>
      </c>
      <c r="E155" s="17" t="str">
        <f t="array" ref="E155">INDEX(Moves!$B$2:'Moves'!$B$177, SUM(HEX2DEC("71"),1), 1)</f>
        <v>Agility</v>
      </c>
      <c r="F155" s="11"/>
      <c r="H155" s="21"/>
      <c r="I155" s="25"/>
      <c r="J155" s="30"/>
    </row>
    <row r="156" spans="1:10" x14ac:dyDescent="0.2">
      <c r="A156" s="120"/>
      <c r="B156" s="48">
        <f>HEX2DEC("37")</f>
        <v>55</v>
      </c>
      <c r="C156" s="23" t="str">
        <f t="array" ref="C156">INDEX(Moves!$B$2:'Moves'!$B$177, SUM(HEX2DEC("9E"),1), 1)</f>
        <v>Supersonic</v>
      </c>
      <c r="D156" s="49">
        <f>HEX2DEC("37")</f>
        <v>55</v>
      </c>
      <c r="E156" s="23" t="s">
        <v>52</v>
      </c>
      <c r="F156" s="11"/>
      <c r="H156" s="21"/>
      <c r="I156" s="25"/>
      <c r="J156" s="30"/>
    </row>
    <row r="157" spans="1:10" x14ac:dyDescent="0.2">
      <c r="A157" s="121" t="s">
        <v>54</v>
      </c>
      <c r="B157" s="64">
        <f>HEX2DEC("00")</f>
        <v>0</v>
      </c>
      <c r="C157" s="65" t="str">
        <f t="array" ref="C157">INDEX(Moves!$B$2:'Moves'!$B$177, SUM(HEX2DEC("5B"),1), 1)</f>
        <v>Peck</v>
      </c>
      <c r="D157" s="66">
        <f t="shared" ref="D157:D160" si="14">HEX2DEC("01")</f>
        <v>1</v>
      </c>
      <c r="E157" s="65" t="str">
        <f t="array" ref="E157">INDEX(Moves!$B$2:'Moves'!$B$177, SUM(HEX2DEC("89"),1), 1)</f>
        <v>Tackle</v>
      </c>
      <c r="F157" s="41">
        <v>5</v>
      </c>
      <c r="G157" s="12" t="str">
        <f>VLOOKUP(F157, TMHM!$B$10:$C1519, 2, FALSE)</f>
        <v>Roar</v>
      </c>
      <c r="H157" s="13">
        <v>2</v>
      </c>
      <c r="I157" s="14" t="str">
        <f>VLOOKUP(H157, TMHM!$B$2:$C$7, 2, FALSE)</f>
        <v>Fly</v>
      </c>
      <c r="J157" s="30"/>
    </row>
    <row r="158" spans="1:10" x14ac:dyDescent="0.2">
      <c r="A158" s="120"/>
      <c r="B158" s="34"/>
      <c r="C158" s="35"/>
      <c r="D158" s="56">
        <f t="shared" si="14"/>
        <v>1</v>
      </c>
      <c r="E158" s="35" t="str">
        <f t="array" ref="E158">INDEX(Moves!$B$2:'Moves'!$B$177, SUM(HEX2DEC("37"),1), 1)</f>
        <v>Sand Attack</v>
      </c>
      <c r="F158" s="11">
        <v>8</v>
      </c>
      <c r="G158" s="20" t="str">
        <f>VLOOKUP(F158,TMHM!$B$10:$C1519,2,FALSE)</f>
        <v>Charm</v>
      </c>
      <c r="H158" s="21"/>
      <c r="I158" s="25"/>
      <c r="J158" s="30"/>
    </row>
    <row r="159" spans="1:10" x14ac:dyDescent="0.2">
      <c r="A159" s="120"/>
      <c r="B159" s="34"/>
      <c r="C159" s="35"/>
      <c r="D159" s="56">
        <f t="shared" si="14"/>
        <v>1</v>
      </c>
      <c r="E159" s="35" t="str">
        <f t="array" ref="E159">INDEX(Moves!$B$2:'Moves'!$B$177, SUM(HEX2DEC("5C"),1), 1)</f>
        <v>Gust</v>
      </c>
      <c r="F159" s="11">
        <v>9</v>
      </c>
      <c r="G159" s="20" t="str">
        <f>VLOOKUP(F159,TMHM!$B$10:$C1519,2,FALSE)</f>
        <v>Snore</v>
      </c>
      <c r="H159" s="21"/>
      <c r="I159" s="25"/>
      <c r="J159" s="30"/>
    </row>
    <row r="160" spans="1:10" x14ac:dyDescent="0.2">
      <c r="A160" s="120"/>
      <c r="B160" s="34"/>
      <c r="C160" s="35"/>
      <c r="D160" s="56">
        <f t="shared" si="14"/>
        <v>1</v>
      </c>
      <c r="E160" s="35" t="str">
        <f t="array" ref="E160">INDEX(Moves!$B$2:'Moves'!$B$177, SUM(HEX2DEC("8C"),1), 1)</f>
        <v>Quick Attack</v>
      </c>
      <c r="F160" s="11">
        <v>12</v>
      </c>
      <c r="G160" s="20" t="str">
        <f>VLOOKUP(F160,TMHM!$B$10:$C1519,2,FALSE)</f>
        <v>Steel Wing</v>
      </c>
      <c r="H160" s="21"/>
      <c r="I160" s="25"/>
      <c r="J160" s="30"/>
    </row>
    <row r="161" spans="1:10" x14ac:dyDescent="0.2">
      <c r="A161" s="120"/>
      <c r="B161" s="16">
        <f>HEX2DEC("05")</f>
        <v>5</v>
      </c>
      <c r="C161" s="17" t="str">
        <f t="array" ref="C161">INDEX(Moves!$B$2:'Moves'!$B$177, SUM(HEX2DEC("37"),1), 1)</f>
        <v>Sand Attack</v>
      </c>
      <c r="D161" s="40">
        <f>HEX2DEC("05")</f>
        <v>5</v>
      </c>
      <c r="E161" s="17" t="str">
        <f t="array" ref="E161">INDEX(Moves!$B$2:'Moves'!$B$177, SUM(HEX2DEC("37"),1), 1)</f>
        <v>Sand Attack</v>
      </c>
      <c r="F161" s="11">
        <v>21</v>
      </c>
      <c r="G161" s="20" t="str">
        <f>VLOOKUP(F161,TMHM!$B$10:$C1519,2,FALSE)</f>
        <v>Recover</v>
      </c>
      <c r="H161" s="21"/>
      <c r="I161" s="25"/>
      <c r="J161" s="30"/>
    </row>
    <row r="162" spans="1:10" x14ac:dyDescent="0.2">
      <c r="A162" s="120"/>
      <c r="B162" s="16">
        <f>HEX2DEC("09")</f>
        <v>9</v>
      </c>
      <c r="C162" s="17" t="str">
        <f t="array" ref="C162">INDEX(Moves!$B$2:'Moves'!$B$177, SUM(HEX2DEC("5C"),1), 1)</f>
        <v>Gust</v>
      </c>
      <c r="D162" s="40">
        <f>HEX2DEC("09")</f>
        <v>9</v>
      </c>
      <c r="E162" s="17" t="str">
        <f t="array" ref="E162">INDEX(Moves!$B$2:'Moves'!$B$177, SUM(HEX2DEC("5C"),1), 1)</f>
        <v>Gust</v>
      </c>
      <c r="F162" s="11">
        <v>32</v>
      </c>
      <c r="G162" s="20" t="str">
        <f>VLOOKUP(F162,TMHM!$B$10:$C1519,2,FALSE)</f>
        <v>Double Team</v>
      </c>
      <c r="H162" s="21"/>
      <c r="I162" s="25"/>
      <c r="J162" s="30"/>
    </row>
    <row r="163" spans="1:10" x14ac:dyDescent="0.2">
      <c r="A163" s="120"/>
      <c r="B163" s="16">
        <f>HEX2DEC("0F")</f>
        <v>15</v>
      </c>
      <c r="C163" s="17" t="str">
        <f t="array" ref="C163">INDEX(Moves!$B$2:'Moves'!$B$177, SUM(HEX2DEC("8C"),1), 1)</f>
        <v>Quick Attack</v>
      </c>
      <c r="D163" s="40">
        <f>HEX2DEC("0F")</f>
        <v>15</v>
      </c>
      <c r="E163" s="17" t="str">
        <f t="array" ref="E163">INDEX(Moves!$B$2:'Moves'!$B$177, SUM(HEX2DEC("8C"),1), 1)</f>
        <v>Quick Attack</v>
      </c>
      <c r="F163" s="11">
        <v>37</v>
      </c>
      <c r="G163" s="20" t="str">
        <f>VLOOKUP(F163,TMHM!$B$10:$C1519,2,FALSE)</f>
        <v>Aerial Ace</v>
      </c>
      <c r="H163" s="21"/>
      <c r="I163" s="25"/>
      <c r="J163" s="30"/>
    </row>
    <row r="164" spans="1:10" x14ac:dyDescent="0.2">
      <c r="A164" s="120"/>
      <c r="B164" s="16">
        <f>HEX2DEC("17")</f>
        <v>23</v>
      </c>
      <c r="C164" s="17" t="str">
        <f t="array" ref="C164">INDEX(Moves!$B$2:'Moves'!$B$177, SUM(HEX2DEC("AC"),1), 1)</f>
        <v>Whirlwind</v>
      </c>
      <c r="D164" s="40">
        <f>HEX2DEC("17")</f>
        <v>23</v>
      </c>
      <c r="E164" s="17" t="str">
        <f t="array" ref="E164">INDEX(Moves!$B$2:'Moves'!$B$177, SUM(HEX2DEC("AC"),1), 1)</f>
        <v>Whirlwind</v>
      </c>
      <c r="F164" s="11"/>
      <c r="H164" s="21"/>
      <c r="I164" s="25"/>
      <c r="J164" s="30"/>
    </row>
    <row r="165" spans="1:10" x14ac:dyDescent="0.2">
      <c r="A165" s="120"/>
      <c r="B165" s="16">
        <f>HEX2DEC("21")</f>
        <v>33</v>
      </c>
      <c r="C165" s="17" t="str">
        <f t="array" ref="C165">INDEX(Moves!$B$2:'Moves'!$B$177, SUM(HEX2DEC("5E"),1), 1)</f>
        <v>Wing Attack</v>
      </c>
      <c r="D165" s="40">
        <f>HEX2DEC("21")</f>
        <v>33</v>
      </c>
      <c r="E165" s="17" t="str">
        <f t="array" ref="E165">INDEX(Moves!$B$2:'Moves'!$B$177, SUM(HEX2DEC("5E"),1), 1)</f>
        <v>Wing Attack</v>
      </c>
      <c r="F165" s="11"/>
      <c r="H165" s="21"/>
      <c r="I165" s="25"/>
      <c r="J165" s="30"/>
    </row>
    <row r="166" spans="1:10" x14ac:dyDescent="0.2">
      <c r="A166" s="120"/>
      <c r="B166" s="16">
        <f>HEX2DEC("2E")</f>
        <v>46</v>
      </c>
      <c r="C166" s="17" t="str">
        <f t="array" ref="C166">INDEX(Moves!$B$2:'Moves'!$B$177, SUM(HEX2DEC("71"),1), 1)</f>
        <v>Agility</v>
      </c>
      <c r="D166" s="40">
        <f>HEX2DEC("2B")</f>
        <v>43</v>
      </c>
      <c r="E166" s="17" t="str">
        <f t="array" ref="E166">INDEX(Moves!$B$2:'Moves'!$B$177, SUM(HEX2DEC("71"),1), 1)</f>
        <v>Agility</v>
      </c>
      <c r="F166" s="11"/>
      <c r="H166" s="21"/>
      <c r="I166" s="25"/>
      <c r="J166" s="30"/>
    </row>
    <row r="167" spans="1:10" x14ac:dyDescent="0.2">
      <c r="A167" s="120"/>
      <c r="B167" s="48">
        <f>HEX2DEC("3D")</f>
        <v>61</v>
      </c>
      <c r="C167" s="23" t="str">
        <f t="array" ref="C167">INDEX(Moves!$B$2:'Moves'!$B$177, SUM(HEX2DEC("9E"),1), 1)</f>
        <v>Supersonic</v>
      </c>
      <c r="D167" s="49">
        <f>HEX2DEC("37")</f>
        <v>55</v>
      </c>
      <c r="E167" s="23" t="s">
        <v>52</v>
      </c>
      <c r="F167" s="11"/>
      <c r="H167" s="21"/>
      <c r="I167" s="25"/>
      <c r="J167" s="30"/>
    </row>
    <row r="168" spans="1:10" x14ac:dyDescent="0.2">
      <c r="A168" s="120"/>
      <c r="B168" s="67">
        <f>HEX2DEC("46")</f>
        <v>70</v>
      </c>
      <c r="C168" s="68" t="str">
        <f t="array" ref="C168">INDEX(Moves!$B$2:'Moves'!$B$177, SUM(HEX2DEC("64"),1), 1)</f>
        <v>Sky Attack</v>
      </c>
      <c r="D168" s="69"/>
      <c r="E168" s="68"/>
      <c r="F168" s="11"/>
      <c r="H168" s="21"/>
      <c r="I168" s="25"/>
      <c r="J168" s="30"/>
    </row>
    <row r="169" spans="1:10" x14ac:dyDescent="0.2">
      <c r="A169" s="121" t="s">
        <v>55</v>
      </c>
      <c r="B169" s="70">
        <f>HEX2DEC("00")</f>
        <v>0</v>
      </c>
      <c r="C169" s="71" t="str">
        <f t="array" ref="C169">INDEX(Moves!$B$2:'Moves'!$B$177, SUM(HEX2DEC("89"),1), 1)</f>
        <v>Tackle</v>
      </c>
      <c r="D169" s="72">
        <f t="shared" ref="D169:D170" si="15">HEX2DEC("01")</f>
        <v>1</v>
      </c>
      <c r="E169" s="71" t="str">
        <f t="array" ref="E169">INDEX(Moves!$B$2:'Moves'!$B$177, SUM(HEX2DEC("89"),1), 1)</f>
        <v>Tackle</v>
      </c>
      <c r="F169" s="41">
        <v>1</v>
      </c>
      <c r="G169" s="12" t="str">
        <f>VLOOKUP(F169, TMHM!$B$10:$C1519, 2, FALSE)</f>
        <v>Focus Punch</v>
      </c>
      <c r="H169" s="13">
        <v>4</v>
      </c>
      <c r="I169" s="14" t="str">
        <f>VLOOKUP(H169, TMHM!$B$2:$C$7, 2, FALSE)</f>
        <v>Strength</v>
      </c>
      <c r="J169" s="30"/>
    </row>
    <row r="170" spans="1:10" x14ac:dyDescent="0.2">
      <c r="A170" s="120"/>
      <c r="B170" s="16">
        <f>HEX2DEC("01")</f>
        <v>1</v>
      </c>
      <c r="C170" s="17" t="str">
        <f t="array" ref="C170">INDEX(Moves!$B$2:'Moves'!$B$177, SUM(HEX2DEC("A4"),1), 1)</f>
        <v>Tail Whip</v>
      </c>
      <c r="D170" s="40">
        <f t="shared" si="15"/>
        <v>1</v>
      </c>
      <c r="E170" s="17" t="str">
        <f t="array" ref="E170">INDEX(Moves!$B$2:'Moves'!$B$177, SUM(HEX2DEC("A4"),1), 1)</f>
        <v>Tail Whip</v>
      </c>
      <c r="F170" s="11">
        <v>5</v>
      </c>
      <c r="G170" s="20" t="str">
        <f>VLOOKUP(F170, TMHM!$B$10:$C1519, 2, FALSE)</f>
        <v>Roar</v>
      </c>
      <c r="H170" s="21"/>
      <c r="I170" s="25"/>
      <c r="J170" s="30"/>
    </row>
    <row r="171" spans="1:10" x14ac:dyDescent="0.2">
      <c r="A171" s="120"/>
      <c r="B171" s="16">
        <f>HEX2DEC("07")</f>
        <v>7</v>
      </c>
      <c r="C171" s="17" t="str">
        <f t="array" ref="C171">INDEX(Moves!$B$2:'Moves'!$B$177, SUM(HEX2DEC("8C"),1), 1)</f>
        <v>Quick Attack</v>
      </c>
      <c r="D171" s="40">
        <f>HEX2DEC("07")</f>
        <v>7</v>
      </c>
      <c r="E171" s="17" t="str">
        <f t="array" ref="E171">INDEX(Moves!$B$2:'Moves'!$B$177, SUM(HEX2DEC("8C"),1), 1)</f>
        <v>Quick Attack</v>
      </c>
      <c r="F171" s="11">
        <v>8</v>
      </c>
      <c r="G171" s="20" t="str">
        <f>VLOOKUP(F171, TMHM!$B$10:$C1519, 2, FALSE)</f>
        <v>Charm</v>
      </c>
      <c r="H171" s="21"/>
      <c r="I171" s="25"/>
      <c r="J171" s="30"/>
    </row>
    <row r="172" spans="1:10" x14ac:dyDescent="0.2">
      <c r="A172" s="120"/>
      <c r="B172" s="16">
        <f>HEX2DEC("0D")</f>
        <v>13</v>
      </c>
      <c r="C172" s="17" t="str">
        <f t="array" ref="C172">INDEX(Moves!$B$2:'Moves'!$B$177, SUM(HEX2DEC("94"),1), 1)</f>
        <v>Hyper Fang</v>
      </c>
      <c r="D172" s="40">
        <f>HEX2DEC("0D")</f>
        <v>13</v>
      </c>
      <c r="E172" s="17" t="str">
        <f t="array" ref="E172">INDEX(Moves!$B$2:'Moves'!$B$177, SUM(HEX2DEC("94"),1), 1)</f>
        <v>Hyper Fang</v>
      </c>
      <c r="F172" s="11">
        <v>9</v>
      </c>
      <c r="G172" s="20" t="str">
        <f>VLOOKUP(F172, TMHM!$B$10:$C1519, 2, FALSE)</f>
        <v>Snore</v>
      </c>
      <c r="H172" s="21"/>
      <c r="I172" s="25"/>
      <c r="J172" s="30"/>
    </row>
    <row r="173" spans="1:10" x14ac:dyDescent="0.2">
      <c r="A173" s="120"/>
      <c r="B173" s="48">
        <f>HEX2DEC("14")</f>
        <v>20</v>
      </c>
      <c r="C173" s="23" t="str">
        <f t="array" ref="C173">INDEX(Moves!$B$2:'Moves'!$B$177, SUM(HEX2DEC("A5"),1), 1)</f>
        <v>Tickle</v>
      </c>
      <c r="D173" s="49">
        <f>HEX2DEC("14")</f>
        <v>20</v>
      </c>
      <c r="E173" s="23" t="s">
        <v>49</v>
      </c>
      <c r="F173" s="11">
        <v>15</v>
      </c>
      <c r="G173" s="20" t="str">
        <f>VLOOKUP(F173, TMHM!$B$10:$C1519, 2, FALSE)</f>
        <v>Hyper Beam</v>
      </c>
      <c r="H173" s="21"/>
      <c r="I173" s="25"/>
      <c r="J173" s="30"/>
    </row>
    <row r="174" spans="1:10" x14ac:dyDescent="0.2">
      <c r="A174" s="120"/>
      <c r="B174" s="50">
        <f>HEX2DEC("1B")</f>
        <v>27</v>
      </c>
      <c r="C174" s="51" t="str">
        <f t="array" ref="C174">INDEX(Moves!$B$2:'Moves'!$B$177, SUM(HEX2DEC("A1"),1), 1)</f>
        <v>Charm</v>
      </c>
      <c r="D174" s="52">
        <f>HEX2DEC("1B")</f>
        <v>27</v>
      </c>
      <c r="E174" s="51" t="s">
        <v>56</v>
      </c>
      <c r="F174" s="11">
        <v>17</v>
      </c>
      <c r="G174" s="20" t="str">
        <f>VLOOKUP(F174, TMHM!$B$10:$C1519, 2, FALSE)</f>
        <v>SmokeScreen</v>
      </c>
      <c r="H174" s="21"/>
      <c r="I174" s="25"/>
      <c r="J174" s="30"/>
    </row>
    <row r="175" spans="1:10" x14ac:dyDescent="0.2">
      <c r="A175" s="120"/>
      <c r="B175" s="16">
        <f>HEX2DEC("22")</f>
        <v>34</v>
      </c>
      <c r="C175" s="17" t="str">
        <f t="array" ref="C175">INDEX(Moves!$B$2:'Moves'!$B$177, SUM(HEX2DEC("81"),1), 1)</f>
        <v>Crunch</v>
      </c>
      <c r="D175" s="40">
        <f>HEX2DEC("22")</f>
        <v>34</v>
      </c>
      <c r="E175" s="17" t="str">
        <f t="array" ref="E175">INDEX(Moves!$B$2:'Moves'!$B$177, SUM(HEX2DEC("81"),1), 1)</f>
        <v>Crunch</v>
      </c>
      <c r="F175" s="11">
        <v>18</v>
      </c>
      <c r="G175" s="20" t="str">
        <f>VLOOKUP(F175, TMHM!$B$10:$C1519, 2, FALSE)</f>
        <v>AncientPower</v>
      </c>
      <c r="H175" s="21"/>
      <c r="I175" s="25"/>
      <c r="J175" s="30"/>
    </row>
    <row r="176" spans="1:10" x14ac:dyDescent="0.2">
      <c r="A176" s="122"/>
      <c r="B176" s="73"/>
      <c r="C176" s="74"/>
      <c r="D176" s="60"/>
      <c r="E176" s="74"/>
      <c r="F176" s="11">
        <v>31</v>
      </c>
      <c r="G176" s="20" t="str">
        <f>VLOOKUP(F176, TMHM!$B$10:$C1519, 2, FALSE)</f>
        <v>Brick Break</v>
      </c>
      <c r="H176" s="21"/>
      <c r="I176" s="25"/>
      <c r="J176" s="30"/>
    </row>
    <row r="177" spans="1:10" x14ac:dyDescent="0.2">
      <c r="A177" s="123" t="s">
        <v>57</v>
      </c>
      <c r="B177" s="70">
        <f>HEX2DEC("00")</f>
        <v>0</v>
      </c>
      <c r="C177" s="71" t="str">
        <f t="array" ref="C177">INDEX(Moves!$B$2:'Moves'!$B$177, SUM(HEX2DEC("89"),1), 1)</f>
        <v>Tackle</v>
      </c>
      <c r="D177" s="72">
        <f t="shared" ref="D177:D179" si="16">HEX2DEC("01")</f>
        <v>1</v>
      </c>
      <c r="E177" s="71" t="str">
        <f t="array" ref="E177">INDEX(Moves!$B$2:'Moves'!$B$177, SUM(HEX2DEC("89"),1), 1)</f>
        <v>Tackle</v>
      </c>
      <c r="F177" s="41">
        <v>1</v>
      </c>
      <c r="G177" s="12" t="str">
        <f>VLOOKUP(F177, TMHM!$B$10:$C1519, 2, FALSE)</f>
        <v>Focus Punch</v>
      </c>
      <c r="H177" s="13">
        <v>4</v>
      </c>
      <c r="I177" s="14" t="str">
        <f>VLOOKUP(H177, TMHM!$B$2:$C$7, 2, FALSE)</f>
        <v>Strength</v>
      </c>
      <c r="J177" s="30"/>
    </row>
    <row r="178" spans="1:10" x14ac:dyDescent="0.2">
      <c r="A178" s="120"/>
      <c r="B178" s="16">
        <f>HEX2DEC("01")</f>
        <v>1</v>
      </c>
      <c r="C178" s="17" t="str">
        <f t="array" ref="C178">INDEX(Moves!$B$2:'Moves'!$B$177, SUM(HEX2DEC("A4"),1), 1)</f>
        <v>Tail Whip</v>
      </c>
      <c r="D178" s="40">
        <f t="shared" si="16"/>
        <v>1</v>
      </c>
      <c r="E178" s="17" t="str">
        <f t="array" ref="E178">INDEX(Moves!$B$2:'Moves'!$B$177, SUM(HEX2DEC("A4"),1), 1)</f>
        <v>Tail Whip</v>
      </c>
      <c r="F178" s="11">
        <v>5</v>
      </c>
      <c r="G178" s="20" t="str">
        <f>VLOOKUP(F178, TMHM!$B$10:$C1519, 2, FALSE)</f>
        <v>Roar</v>
      </c>
      <c r="H178" s="21"/>
      <c r="I178" s="25"/>
      <c r="J178" s="30"/>
    </row>
    <row r="179" spans="1:10" x14ac:dyDescent="0.2">
      <c r="A179" s="120"/>
      <c r="B179" s="34"/>
      <c r="C179" s="35"/>
      <c r="D179" s="56">
        <f t="shared" si="16"/>
        <v>1</v>
      </c>
      <c r="E179" s="35" t="str">
        <f t="array" ref="E179">INDEX(Moves!$B$2:'Moves'!$B$177, SUM(HEX2DEC("8C"),1), 1)</f>
        <v>Quick Attack</v>
      </c>
      <c r="F179" s="11">
        <v>8</v>
      </c>
      <c r="G179" s="20" t="str">
        <f>VLOOKUP(F179, TMHM!$B$10:$C1519, 2, FALSE)</f>
        <v>Charm</v>
      </c>
      <c r="H179" s="21"/>
      <c r="I179" s="25"/>
      <c r="J179" s="30"/>
    </row>
    <row r="180" spans="1:10" x14ac:dyDescent="0.2">
      <c r="A180" s="120"/>
      <c r="B180" s="16">
        <f>HEX2DEC("07")</f>
        <v>7</v>
      </c>
      <c r="C180" s="17" t="str">
        <f t="array" ref="C180">INDEX(Moves!$B$2:'Moves'!$B$177, SUM(HEX2DEC("8C"),1), 1)</f>
        <v>Quick Attack</v>
      </c>
      <c r="D180" s="40">
        <f>HEX2DEC("07")</f>
        <v>7</v>
      </c>
      <c r="E180" s="17" t="str">
        <f t="array" ref="E180">INDEX(Moves!$B$2:'Moves'!$B$177, SUM(HEX2DEC("8C"),1), 1)</f>
        <v>Quick Attack</v>
      </c>
      <c r="F180" s="11">
        <v>9</v>
      </c>
      <c r="G180" s="20" t="str">
        <f>VLOOKUP(F180, TMHM!$B$10:$C1519, 2, FALSE)</f>
        <v>Snore</v>
      </c>
      <c r="H180" s="21"/>
      <c r="I180" s="25"/>
      <c r="J180" s="30"/>
    </row>
    <row r="181" spans="1:10" x14ac:dyDescent="0.2">
      <c r="A181" s="120"/>
      <c r="B181" s="16">
        <f>HEX2DEC("0D")</f>
        <v>13</v>
      </c>
      <c r="C181" s="17" t="str">
        <f t="array" ref="C181">INDEX(Moves!$B$2:'Moves'!$B$177, SUM(HEX2DEC("94"),1), 1)</f>
        <v>Hyper Fang</v>
      </c>
      <c r="D181" s="40">
        <f>HEX2DEC("0D")</f>
        <v>13</v>
      </c>
      <c r="E181" s="17" t="str">
        <f t="array" ref="E181">INDEX(Moves!$B$2:'Moves'!$B$177, SUM(HEX2DEC("94"),1), 1)</f>
        <v>Hyper Fang</v>
      </c>
      <c r="F181" s="11">
        <v>15</v>
      </c>
      <c r="G181" s="20" t="str">
        <f>VLOOKUP(F181, TMHM!$B$10:$C1519, 2, FALSE)</f>
        <v>Hyper Beam</v>
      </c>
      <c r="H181" s="21"/>
      <c r="I181" s="25"/>
      <c r="J181" s="30"/>
    </row>
    <row r="182" spans="1:10" x14ac:dyDescent="0.2">
      <c r="A182" s="120"/>
      <c r="B182" s="48">
        <f>HEX2DEC("14")</f>
        <v>20</v>
      </c>
      <c r="C182" s="23" t="str">
        <f t="array" ref="C182">INDEX(Moves!$B$2:'Moves'!$B$177, SUM(HEX2DEC("A5"),1), 1)</f>
        <v>Tickle</v>
      </c>
      <c r="D182" s="49">
        <f>HEX2DEC("14")</f>
        <v>20</v>
      </c>
      <c r="E182" s="23" t="s">
        <v>49</v>
      </c>
      <c r="F182" s="11">
        <v>17</v>
      </c>
      <c r="G182" s="20" t="str">
        <f>VLOOKUP(F182, TMHM!$B$10:$C1519, 2, FALSE)</f>
        <v>SmokeScreen</v>
      </c>
      <c r="H182" s="21"/>
      <c r="I182" s="25"/>
      <c r="J182" s="30"/>
    </row>
    <row r="183" spans="1:10" x14ac:dyDescent="0.2">
      <c r="A183" s="120"/>
      <c r="B183" s="50">
        <f>HEX2DEC("1E")</f>
        <v>30</v>
      </c>
      <c r="C183" s="51" t="str">
        <f t="array" ref="C183">INDEX(Moves!$B$2:'Moves'!$B$177, SUM(HEX2DEC("A1"),1), 1)</f>
        <v>Charm</v>
      </c>
      <c r="D183" s="52">
        <f>HEX2DEC("1E")</f>
        <v>30</v>
      </c>
      <c r="E183" s="51" t="s">
        <v>56</v>
      </c>
      <c r="F183" s="11">
        <v>18</v>
      </c>
      <c r="G183" s="20" t="str">
        <f>VLOOKUP(F183, TMHM!$B$10:$C1519, 2, FALSE)</f>
        <v>AncientPower</v>
      </c>
      <c r="H183" s="21"/>
      <c r="I183" s="25"/>
      <c r="J183" s="30"/>
    </row>
    <row r="184" spans="1:10" x14ac:dyDescent="0.2">
      <c r="A184" s="120"/>
      <c r="B184" s="16">
        <f>HEX2DEC("28")</f>
        <v>40</v>
      </c>
      <c r="C184" s="17" t="str">
        <f t="array" ref="C184">INDEX(Moves!$B$2:'Moves'!$B$177, SUM(HEX2DEC("81"),1), 1)</f>
        <v>Crunch</v>
      </c>
      <c r="D184" s="40">
        <f>HEX2DEC("28")</f>
        <v>40</v>
      </c>
      <c r="E184" s="17" t="str">
        <f t="array" ref="E184">INDEX(Moves!$B$2:'Moves'!$B$177, SUM(HEX2DEC("81"),1), 1)</f>
        <v>Crunch</v>
      </c>
      <c r="F184" s="11">
        <v>31</v>
      </c>
      <c r="G184" s="20" t="str">
        <f>VLOOKUP(F184, TMHM!$B$10:$C1519, 2, FALSE)</f>
        <v>Brick Break</v>
      </c>
      <c r="H184" s="21"/>
      <c r="I184" s="25"/>
      <c r="J184" s="30"/>
    </row>
    <row r="185" spans="1:10" x14ac:dyDescent="0.2">
      <c r="A185" s="121" t="s">
        <v>58</v>
      </c>
      <c r="B185" s="70">
        <f>HEX2DEC("00")</f>
        <v>0</v>
      </c>
      <c r="C185" s="71" t="str">
        <f t="array" ref="C185">INDEX(Moves!$B$2:'Moves'!$B$177, SUM(HEX2DEC("5B"),1), 1)</f>
        <v>Peck</v>
      </c>
      <c r="D185" s="72">
        <f t="shared" ref="D185:D186" si="17">HEX2DEC("01")</f>
        <v>1</v>
      </c>
      <c r="E185" s="71" t="str">
        <f t="array" ref="E185">INDEX(Moves!$B$2:'Moves'!$B$177, SUM(HEX2DEC("89"),1), 1)</f>
        <v>Tackle</v>
      </c>
      <c r="F185" s="41">
        <v>5</v>
      </c>
      <c r="G185" s="12" t="str">
        <f>VLOOKUP(F185, TMHM!$B$10:$C1519, 2, FALSE)</f>
        <v>Roar</v>
      </c>
      <c r="H185" s="13">
        <v>2</v>
      </c>
      <c r="I185" s="14" t="str">
        <f>VLOOKUP(H185, TMHM!$B$2:$C$7, 2, FALSE)</f>
        <v>Fly</v>
      </c>
      <c r="J185" s="30"/>
    </row>
    <row r="186" spans="1:10" x14ac:dyDescent="0.2">
      <c r="A186" s="120"/>
      <c r="B186" s="16">
        <f>HEX2DEC("01")</f>
        <v>1</v>
      </c>
      <c r="C186" s="17" t="str">
        <f t="array" ref="C186">INDEX(Moves!$B$2:'Moves'!$B$177, SUM(HEX2DEC("A0"),1), 1)</f>
        <v>Growl</v>
      </c>
      <c r="D186" s="40">
        <f t="shared" si="17"/>
        <v>1</v>
      </c>
      <c r="E186" s="17" t="str">
        <f t="array" ref="E186">INDEX(Moves!$B$2:'Moves'!$B$177, SUM(HEX2DEC("A0"),1), 1)</f>
        <v>Growl</v>
      </c>
      <c r="F186" s="11">
        <v>8</v>
      </c>
      <c r="G186" s="20" t="str">
        <f>VLOOKUP(F186, TMHM!$B$10:$C1519, 2, FALSE)</f>
        <v>Charm</v>
      </c>
      <c r="H186" s="21"/>
      <c r="I186" s="25"/>
      <c r="J186" s="30"/>
    </row>
    <row r="187" spans="1:10" x14ac:dyDescent="0.2">
      <c r="A187" s="120"/>
      <c r="B187" s="48">
        <f>HEX2DEC("07")</f>
        <v>7</v>
      </c>
      <c r="C187" s="23" t="str">
        <f t="array" ref="C187">INDEX(Moves!$B$2:'Moves'!$B$177, SUM(HEX2DEC("A6"),1), 1)</f>
        <v>SmokeScreen</v>
      </c>
      <c r="D187" s="49">
        <f>HEX2DEC("07")</f>
        <v>7</v>
      </c>
      <c r="E187" s="23" t="s">
        <v>59</v>
      </c>
      <c r="F187" s="11">
        <v>9</v>
      </c>
      <c r="G187" s="20" t="str">
        <f>VLOOKUP(F187, TMHM!$B$10:$C1519, 2, FALSE)</f>
        <v>Snore</v>
      </c>
      <c r="H187" s="21"/>
      <c r="I187" s="25"/>
      <c r="J187" s="30"/>
    </row>
    <row r="188" spans="1:10" x14ac:dyDescent="0.2">
      <c r="A188" s="120"/>
      <c r="B188" s="48">
        <f>HEX2DEC("0D")</f>
        <v>13</v>
      </c>
      <c r="C188" s="23" t="str">
        <f t="array" ref="C188">INDEX(Moves!$B$2:'Moves'!$B$177, SUM(HEX2DEC("AC"),1), 1)</f>
        <v>Whirlwind</v>
      </c>
      <c r="D188" s="49">
        <f>HEX2DEC("0D")</f>
        <v>13</v>
      </c>
      <c r="E188" s="23" t="s">
        <v>48</v>
      </c>
      <c r="F188" s="11">
        <v>12</v>
      </c>
      <c r="G188" s="20" t="str">
        <f>VLOOKUP(F188, TMHM!$B$10:$C1519, 2, FALSE)</f>
        <v>Steel Wing</v>
      </c>
      <c r="H188" s="21"/>
      <c r="I188" s="25"/>
      <c r="J188" s="30"/>
    </row>
    <row r="189" spans="1:10" x14ac:dyDescent="0.2">
      <c r="A189" s="120"/>
      <c r="B189" s="50">
        <f>HEX2DEC("19")</f>
        <v>25</v>
      </c>
      <c r="C189" s="51" t="str">
        <f t="array" ref="C189">INDEX(Moves!$B$2:'Moves'!$B$177, SUM(HEX2DEC("62"),1), 1)</f>
        <v>Bounce</v>
      </c>
      <c r="D189" s="52">
        <f>HEX2DEC("19")</f>
        <v>25</v>
      </c>
      <c r="E189" s="51" t="s">
        <v>56</v>
      </c>
      <c r="F189" s="11">
        <v>21</v>
      </c>
      <c r="G189" s="20" t="str">
        <f>VLOOKUP(F189, TMHM!$B$10:$C1519, 2, FALSE)</f>
        <v>Recover</v>
      </c>
      <c r="H189" s="21"/>
      <c r="I189" s="25"/>
      <c r="J189" s="30"/>
    </row>
    <row r="190" spans="1:10" x14ac:dyDescent="0.2">
      <c r="A190" s="120"/>
      <c r="B190" s="48">
        <f>HEX2DEC("1F")</f>
        <v>31</v>
      </c>
      <c r="C190" s="23" t="str">
        <f t="array" ref="C190">INDEX(Moves!$B$2:'Moves'!$B$177, SUM(HEX2DEC("9E"),1), 1)</f>
        <v>Supersonic</v>
      </c>
      <c r="D190" s="49">
        <f>HEX2DEC("1F")</f>
        <v>31</v>
      </c>
      <c r="E190" s="23" t="s">
        <v>52</v>
      </c>
      <c r="F190" s="11">
        <v>32</v>
      </c>
      <c r="G190" s="20" t="str">
        <f>VLOOKUP(F190, TMHM!$B$10:$C1519, 2, FALSE)</f>
        <v>Double Team</v>
      </c>
      <c r="H190" s="21"/>
      <c r="I190" s="25"/>
      <c r="J190" s="30"/>
    </row>
    <row r="191" spans="1:10" x14ac:dyDescent="0.2">
      <c r="A191" s="120"/>
      <c r="B191" s="16">
        <f>HEX2DEC("25")</f>
        <v>37</v>
      </c>
      <c r="C191" s="17" t="str">
        <f t="array" ref="C191">INDEX(Moves!$B$2:'Moves'!$B$177, SUM(HEX2DEC("61"),1), 1)</f>
        <v>Drill Peck</v>
      </c>
      <c r="D191" s="40">
        <f>HEX2DEC("25")</f>
        <v>37</v>
      </c>
      <c r="E191" s="17" t="str">
        <f t="array" ref="E191">INDEX(Moves!$B$2:'Moves'!$B$177, SUM(HEX2DEC("61"),1), 1)</f>
        <v>Drill Peck</v>
      </c>
      <c r="F191" s="11">
        <v>37</v>
      </c>
      <c r="G191" s="20" t="str">
        <f>VLOOKUP(F191, TMHM!$B$10:$C1519, 2, FALSE)</f>
        <v>Aerial Ace</v>
      </c>
      <c r="H191" s="21"/>
      <c r="I191" s="25"/>
      <c r="J191" s="30"/>
    </row>
    <row r="192" spans="1:10" x14ac:dyDescent="0.2">
      <c r="A192" s="120"/>
      <c r="B192" s="16">
        <f>HEX2DEC("2B")</f>
        <v>43</v>
      </c>
      <c r="C192" s="17" t="str">
        <f t="array" ref="C192">INDEX(Moves!$B$2:'Moves'!$B$177, SUM(HEX2DEC("71"),1), 1)</f>
        <v>Agility</v>
      </c>
      <c r="D192" s="40">
        <f>HEX2DEC("2B")</f>
        <v>43</v>
      </c>
      <c r="E192" s="17" t="str">
        <f t="array" ref="E192">INDEX(Moves!$B$2:'Moves'!$B$177, SUM(HEX2DEC("71"),1), 1)</f>
        <v>Agility</v>
      </c>
      <c r="F192" s="11"/>
      <c r="H192" s="21"/>
      <c r="I192" s="25"/>
      <c r="J192" s="30"/>
    </row>
    <row r="193" spans="1:10" x14ac:dyDescent="0.2">
      <c r="A193" s="121" t="s">
        <v>60</v>
      </c>
      <c r="B193" s="70">
        <f>HEX2DEC("00")</f>
        <v>0</v>
      </c>
      <c r="C193" s="71" t="str">
        <f t="array" ref="C193">INDEX(Moves!$B$2:'Moves'!$B$177, SUM(HEX2DEC("5B"),1), 1)</f>
        <v>Peck</v>
      </c>
      <c r="D193" s="72">
        <f t="shared" ref="D193:D196" si="18">HEX2DEC("01")</f>
        <v>1</v>
      </c>
      <c r="E193" s="71" t="str">
        <f t="array" ref="E193">INDEX(Moves!$B$2:'Moves'!$B$177, SUM(HEX2DEC("89"),1), 1)</f>
        <v>Tackle</v>
      </c>
      <c r="F193" s="41">
        <v>5</v>
      </c>
      <c r="G193" s="12" t="str">
        <f>VLOOKUP(F193, TMHM!$B$10:$C1519, 2, FALSE)</f>
        <v>Roar</v>
      </c>
      <c r="H193" s="13">
        <v>2</v>
      </c>
      <c r="I193" s="14" t="str">
        <f>VLOOKUP(H193, TMHM!$B$2:$C$7, 2, FALSE)</f>
        <v>Fly</v>
      </c>
      <c r="J193" s="30"/>
    </row>
    <row r="194" spans="1:10" x14ac:dyDescent="0.2">
      <c r="A194" s="120"/>
      <c r="B194" s="16">
        <f>HEX2DEC("01")</f>
        <v>1</v>
      </c>
      <c r="C194" s="17" t="str">
        <f t="array" ref="C194">INDEX(Moves!$B$2:'Moves'!$B$177, SUM(HEX2DEC("A0"),1), 1)</f>
        <v>Growl</v>
      </c>
      <c r="D194" s="40">
        <f t="shared" si="18"/>
        <v>1</v>
      </c>
      <c r="E194" s="17" t="str">
        <f t="array" ref="E194">INDEX(Moves!$B$2:'Moves'!$B$177, SUM(HEX2DEC("A0"),1), 1)</f>
        <v>Growl</v>
      </c>
      <c r="F194" s="11">
        <v>8</v>
      </c>
      <c r="G194" s="20" t="str">
        <f>VLOOKUP(F194, TMHM!$B$10:$C1519, 2, FALSE)</f>
        <v>Charm</v>
      </c>
      <c r="H194" s="21"/>
      <c r="I194" s="25"/>
      <c r="J194" s="30"/>
    </row>
    <row r="195" spans="1:10" x14ac:dyDescent="0.2">
      <c r="A195" s="120"/>
      <c r="B195" s="34"/>
      <c r="C195" s="35"/>
      <c r="D195" s="56">
        <f t="shared" si="18"/>
        <v>1</v>
      </c>
      <c r="E195" s="35" t="s">
        <v>59</v>
      </c>
      <c r="F195" s="11">
        <v>9</v>
      </c>
      <c r="G195" s="20" t="str">
        <f>VLOOKUP(F195, TMHM!$B$10:$C1519, 2, FALSE)</f>
        <v>Snore</v>
      </c>
      <c r="H195" s="21"/>
      <c r="I195" s="25"/>
      <c r="J195" s="30"/>
    </row>
    <row r="196" spans="1:10" x14ac:dyDescent="0.2">
      <c r="A196" s="120"/>
      <c r="B196" s="34"/>
      <c r="C196" s="35"/>
      <c r="D196" s="56">
        <f t="shared" si="18"/>
        <v>1</v>
      </c>
      <c r="E196" s="35" t="s">
        <v>48</v>
      </c>
      <c r="F196" s="11">
        <v>12</v>
      </c>
      <c r="G196" s="20" t="str">
        <f>VLOOKUP(F196, TMHM!$B$10:$C1519, 2, FALSE)</f>
        <v>Steel Wing</v>
      </c>
      <c r="H196" s="21"/>
      <c r="I196" s="25"/>
      <c r="J196" s="30"/>
    </row>
    <row r="197" spans="1:10" x14ac:dyDescent="0.2">
      <c r="A197" s="120"/>
      <c r="B197" s="48">
        <f>HEX2DEC("07")</f>
        <v>7</v>
      </c>
      <c r="C197" s="23" t="str">
        <f t="array" ref="C197">INDEX(Moves!$B$2:'Moves'!$B$177, SUM(HEX2DEC("A6"),1), 1)</f>
        <v>SmokeScreen</v>
      </c>
      <c r="D197" s="49">
        <f>HEX2DEC("07")</f>
        <v>7</v>
      </c>
      <c r="E197" s="23" t="s">
        <v>59</v>
      </c>
      <c r="F197" s="11">
        <v>21</v>
      </c>
      <c r="G197" s="20" t="str">
        <f>VLOOKUP(F197, TMHM!$B$10:$C1519, 2, FALSE)</f>
        <v>Recover</v>
      </c>
      <c r="H197" s="21"/>
      <c r="I197" s="25"/>
      <c r="J197" s="30"/>
    </row>
    <row r="198" spans="1:10" x14ac:dyDescent="0.2">
      <c r="A198" s="120"/>
      <c r="B198" s="48">
        <f>HEX2DEC("0D")</f>
        <v>13</v>
      </c>
      <c r="C198" s="23" t="str">
        <f t="array" ref="C198">INDEX(Moves!$B$2:'Moves'!$B$177, SUM(HEX2DEC("AC"),1), 1)</f>
        <v>Whirlwind</v>
      </c>
      <c r="D198" s="49">
        <f>HEX2DEC("0D")</f>
        <v>13</v>
      </c>
      <c r="E198" s="23" t="s">
        <v>48</v>
      </c>
      <c r="F198" s="11">
        <v>32</v>
      </c>
      <c r="G198" s="20" t="str">
        <f>VLOOKUP(F198, TMHM!$B$10:$C1519, 2, FALSE)</f>
        <v>Double Team</v>
      </c>
      <c r="H198" s="21"/>
      <c r="I198" s="25"/>
      <c r="J198" s="30"/>
    </row>
    <row r="199" spans="1:10" x14ac:dyDescent="0.2">
      <c r="A199" s="120"/>
      <c r="B199" s="50">
        <f>HEX2DEC("1A")</f>
        <v>26</v>
      </c>
      <c r="C199" s="51" t="str">
        <f t="array" ref="C199">INDEX(Moves!$B$2:'Moves'!$B$177, SUM(HEX2DEC("62"),1), 1)</f>
        <v>Bounce</v>
      </c>
      <c r="D199" s="52">
        <f>HEX2DEC("1A")</f>
        <v>26</v>
      </c>
      <c r="E199" s="51" t="s">
        <v>56</v>
      </c>
      <c r="F199" s="11">
        <v>37</v>
      </c>
      <c r="G199" s="20" t="str">
        <f>VLOOKUP(F199, TMHM!$B$10:$C1519, 2, FALSE)</f>
        <v>Aerial Ace</v>
      </c>
      <c r="H199" s="21"/>
      <c r="I199" s="25"/>
      <c r="J199" s="30"/>
    </row>
    <row r="200" spans="1:10" x14ac:dyDescent="0.2">
      <c r="A200" s="120"/>
      <c r="B200" s="48">
        <f>HEX2DEC("20")</f>
        <v>32</v>
      </c>
      <c r="C200" s="23" t="str">
        <f t="array" ref="C200">INDEX(Moves!$B$2:'Moves'!$B$177, SUM(HEX2DEC("9E"),1), 1)</f>
        <v>Supersonic</v>
      </c>
      <c r="D200" s="49">
        <f>HEX2DEC("20")</f>
        <v>32</v>
      </c>
      <c r="E200" s="23" t="s">
        <v>52</v>
      </c>
      <c r="F200" s="11"/>
      <c r="H200" s="21"/>
      <c r="I200" s="25"/>
      <c r="J200" s="30"/>
    </row>
    <row r="201" spans="1:10" x14ac:dyDescent="0.2">
      <c r="A201" s="120"/>
      <c r="B201" s="16">
        <f>HEX2DEC("28")</f>
        <v>40</v>
      </c>
      <c r="C201" s="17" t="str">
        <f t="array" ref="C201">INDEX(Moves!$B$2:'Moves'!$B$177, SUM(HEX2DEC("61"),1), 1)</f>
        <v>Drill Peck</v>
      </c>
      <c r="D201" s="40">
        <f>HEX2DEC("28")</f>
        <v>40</v>
      </c>
      <c r="E201" s="17" t="str">
        <f t="array" ref="E201">INDEX(Moves!$B$2:'Moves'!$B$177, SUM(HEX2DEC("61"),1), 1)</f>
        <v>Drill Peck</v>
      </c>
      <c r="F201" s="11"/>
      <c r="H201" s="21"/>
      <c r="I201" s="25"/>
      <c r="J201" s="30"/>
    </row>
    <row r="202" spans="1:10" x14ac:dyDescent="0.2">
      <c r="A202" s="120"/>
      <c r="B202" s="16">
        <f>HEX2DEC("2F")</f>
        <v>47</v>
      </c>
      <c r="C202" s="17" t="str">
        <f t="array" ref="C202">INDEX(Moves!$B$2:'Moves'!$B$177, SUM(HEX2DEC("71"),1), 1)</f>
        <v>Agility</v>
      </c>
      <c r="D202" s="40">
        <f>HEX2DEC("2F")</f>
        <v>47</v>
      </c>
      <c r="E202" s="17" t="str">
        <f t="array" ref="E202">INDEX(Moves!$B$2:'Moves'!$B$177, SUM(HEX2DEC("71"),1), 1)</f>
        <v>Agility</v>
      </c>
      <c r="F202" s="11"/>
      <c r="H202" s="21"/>
      <c r="I202" s="25"/>
      <c r="J202" s="30"/>
    </row>
    <row r="203" spans="1:10" x14ac:dyDescent="0.2">
      <c r="A203" s="121" t="s">
        <v>61</v>
      </c>
      <c r="B203" s="64">
        <f>HEX2DEC("00")</f>
        <v>0</v>
      </c>
      <c r="C203" s="65" t="str">
        <f t="array" ref="C203">INDEX(Moves!$B$2:'Moves'!$B$177, SUM(HEX2DEC("73"),1), 1)</f>
        <v>Astonish</v>
      </c>
      <c r="D203" s="66">
        <f t="shared" ref="D203:D204" si="19">HEX2DEC("01")</f>
        <v>1</v>
      </c>
      <c r="E203" s="65" t="str">
        <f t="array" ref="E203">INDEX(Moves!$B$2:'Moves'!$B$177, SUM(HEX2DEC("89"),1), 1)</f>
        <v>Tackle</v>
      </c>
      <c r="F203" s="41">
        <v>1</v>
      </c>
      <c r="G203" s="12" t="str">
        <f>VLOOKUP(F203, TMHM!$B$10:$C1519, 2, FALSE)</f>
        <v>Focus Punch</v>
      </c>
      <c r="H203" s="13"/>
      <c r="I203" s="14"/>
      <c r="J203" s="30"/>
    </row>
    <row r="204" spans="1:10" x14ac:dyDescent="0.2">
      <c r="A204" s="120"/>
      <c r="B204" s="48">
        <f>HEX2DEC("01")</f>
        <v>1</v>
      </c>
      <c r="C204" s="23" t="str">
        <f t="array" ref="C204">INDEX(Moves!$B$2:'Moves'!$B$177, SUM(HEX2DEC("7E"),1), 1)</f>
        <v>Knock Off</v>
      </c>
      <c r="D204" s="49">
        <f t="shared" si="19"/>
        <v>1</v>
      </c>
      <c r="E204" s="23" t="s">
        <v>59</v>
      </c>
      <c r="F204" s="11">
        <v>5</v>
      </c>
      <c r="G204" s="20" t="str">
        <f>VLOOKUP(F204, TMHM!$B$10:$C1519, 2, FALSE)</f>
        <v>Roar</v>
      </c>
      <c r="H204" s="21"/>
      <c r="I204" s="25"/>
      <c r="J204" s="30"/>
    </row>
    <row r="205" spans="1:10" x14ac:dyDescent="0.2">
      <c r="A205" s="120"/>
      <c r="B205" s="16">
        <f>HEX2DEC("09")</f>
        <v>9</v>
      </c>
      <c r="C205" s="17" t="str">
        <f t="array" ref="C205">INDEX(Moves!$B$2:'Moves'!$B$177, SUM(HEX2DEC("43"),1), 1)</f>
        <v>Poison Sting</v>
      </c>
      <c r="D205" s="40">
        <f>HEX2DEC("09")</f>
        <v>9</v>
      </c>
      <c r="E205" s="17" t="str">
        <f t="array" ref="E205">INDEX(Moves!$B$2:'Moves'!$B$177, SUM(HEX2DEC("43"),1), 1)</f>
        <v>Poison Sting</v>
      </c>
      <c r="F205" s="11">
        <v>6</v>
      </c>
      <c r="G205" s="20" t="str">
        <f>VLOOKUP(F205, TMHM!$B$10:$C1519, 2, FALSE)</f>
        <v>Toxic</v>
      </c>
      <c r="H205" s="21"/>
      <c r="I205" s="25"/>
      <c r="J205" s="30"/>
    </row>
    <row r="206" spans="1:10" x14ac:dyDescent="0.2">
      <c r="A206" s="120"/>
      <c r="B206" s="54">
        <f>HEX2DEC("0F")</f>
        <v>15</v>
      </c>
      <c r="C206" s="55" t="str">
        <f t="array" ref="C206">INDEX(Moves!$B$2:'Moves'!$B$177, SUM(HEX2DEC("8B"),1), 1)</f>
        <v>Scratch</v>
      </c>
      <c r="D206" s="54">
        <f>HEX2DEC("0F")</f>
        <v>15</v>
      </c>
      <c r="E206" s="55" t="str">
        <f t="array" ref="E206">INDEX(Moves!$B$2:'Moves'!$B$177, SUM(HEX2DEC("80"),1), 1)</f>
        <v>Bite</v>
      </c>
      <c r="F206" s="11">
        <v>10</v>
      </c>
      <c r="G206" s="20" t="str">
        <f>VLOOKUP(F206, TMHM!$B$10:$C1519, 2, FALSE)</f>
        <v>Bite</v>
      </c>
      <c r="H206" s="21"/>
      <c r="I206" s="25"/>
      <c r="J206" s="30"/>
    </row>
    <row r="207" spans="1:10" x14ac:dyDescent="0.2">
      <c r="A207" s="120"/>
      <c r="B207" s="53">
        <f>HEX2DEC("17")</f>
        <v>23</v>
      </c>
      <c r="C207" s="39" t="str">
        <f t="array" ref="C207">INDEX(Moves!$B$2:'Moves'!$B$177, SUM(HEX2DEC("A0"),1), 1)</f>
        <v>Growl</v>
      </c>
      <c r="D207" s="53">
        <f>HEX2DEC("17")</f>
        <v>23</v>
      </c>
      <c r="E207" s="23" t="s">
        <v>62</v>
      </c>
      <c r="F207" s="11">
        <v>17</v>
      </c>
      <c r="G207" s="20" t="str">
        <f>VLOOKUP(F207, TMHM!$B$10:$C1519, 2, FALSE)</f>
        <v>SmokeScreen</v>
      </c>
      <c r="H207" s="21"/>
      <c r="I207" s="25"/>
      <c r="J207" s="30"/>
    </row>
    <row r="208" spans="1:10" x14ac:dyDescent="0.2">
      <c r="A208" s="120"/>
      <c r="B208" s="53">
        <f>HEX2DEC("1D")</f>
        <v>29</v>
      </c>
      <c r="C208" s="39" t="str">
        <f t="array" ref="C208">INDEX(Moves!$B$2:'Moves'!$B$177, SUM(HEX2DEC("9E"),1), 1)</f>
        <v>Supersonic</v>
      </c>
      <c r="D208" s="53">
        <f>HEX2DEC("1D")</f>
        <v>29</v>
      </c>
      <c r="E208" s="23" t="s">
        <v>63</v>
      </c>
      <c r="F208" s="11">
        <v>26</v>
      </c>
      <c r="G208" s="20" t="str">
        <f>VLOOKUP(F208, TMHM!$B$10:$C1519, 2, FALSE)</f>
        <v>Earthquake</v>
      </c>
      <c r="H208" s="21"/>
      <c r="I208" s="25"/>
      <c r="J208" s="30"/>
    </row>
    <row r="209" spans="1:10" x14ac:dyDescent="0.2">
      <c r="A209" s="120"/>
      <c r="B209" s="18">
        <f>HEX2DEC("25")</f>
        <v>37</v>
      </c>
      <c r="C209" s="38" t="str">
        <f t="array" ref="C209">INDEX(Moves!$B$2:'Moves'!$B$177, SUM(HEX2DEC("45"),1), 1)</f>
        <v>Acid</v>
      </c>
      <c r="D209" s="18">
        <f>HEX2DEC("25")</f>
        <v>37</v>
      </c>
      <c r="E209" s="38" t="str">
        <f t="array" ref="E209">INDEX(Moves!$B$2:'Moves'!$B$177, SUM(HEX2DEC("45"),1), 1)</f>
        <v>Acid</v>
      </c>
      <c r="F209" s="11">
        <v>28</v>
      </c>
      <c r="G209" s="20" t="str">
        <f>VLOOKUP(F209, TMHM!$B$10:$C1519, 2, FALSE)</f>
        <v>Dig</v>
      </c>
      <c r="H209" s="21"/>
      <c r="I209" s="25"/>
      <c r="J209" s="30"/>
    </row>
    <row r="210" spans="1:10" x14ac:dyDescent="0.2">
      <c r="A210" s="120"/>
      <c r="B210" s="53">
        <f>HEX2DEC("2B")</f>
        <v>43</v>
      </c>
      <c r="C210" s="39" t="str">
        <f t="array" ref="C210">INDEX(Moves!$B$2:'Moves'!$B$177, SUM(HEX2DEC("A6"),1), 1)</f>
        <v>SmokeScreen</v>
      </c>
      <c r="D210" s="53">
        <f>HEX2DEC("2B")</f>
        <v>43</v>
      </c>
      <c r="E210" s="23" t="s">
        <v>64</v>
      </c>
      <c r="F210" s="11">
        <v>32</v>
      </c>
      <c r="G210" s="20" t="str">
        <f>VLOOKUP(F210, TMHM!$B$10:$C1519, 2, FALSE)</f>
        <v>Double Team</v>
      </c>
      <c r="H210" s="21"/>
      <c r="I210" s="25"/>
      <c r="J210" s="30"/>
    </row>
    <row r="211" spans="1:10" x14ac:dyDescent="0.2">
      <c r="A211" s="120"/>
      <c r="B211" s="73"/>
      <c r="C211" s="74"/>
      <c r="D211" s="60"/>
      <c r="E211" s="74"/>
      <c r="F211" s="11">
        <v>36</v>
      </c>
      <c r="G211" s="20" t="str">
        <f>VLOOKUP(F211, TMHM!$B$10:$C1519, 2, FALSE)</f>
        <v>Sludge Bomb</v>
      </c>
      <c r="H211" s="21"/>
      <c r="I211" s="25"/>
      <c r="J211" s="30"/>
    </row>
    <row r="212" spans="1:10" x14ac:dyDescent="0.2">
      <c r="A212" s="121" t="s">
        <v>65</v>
      </c>
      <c r="B212" s="64">
        <f>HEX2DEC("00")</f>
        <v>0</v>
      </c>
      <c r="C212" s="65" t="str">
        <f t="array" ref="C212">INDEX(Moves!$B$2:'Moves'!$B$177, SUM(HEX2DEC("73"),1), 1)</f>
        <v>Astonish</v>
      </c>
      <c r="D212" s="66">
        <f t="shared" ref="D212:D215" si="20">HEX2DEC("01")</f>
        <v>1</v>
      </c>
      <c r="E212" s="65" t="str">
        <f t="array" ref="E212">INDEX(Moves!$B$2:'Moves'!$B$177, SUM(HEX2DEC("89"),1), 1)</f>
        <v>Tackle</v>
      </c>
      <c r="F212" s="41">
        <v>1</v>
      </c>
      <c r="G212" s="12" t="str">
        <f>VLOOKUP(F212, TMHM!$B$10:$C1519, 2, FALSE)</f>
        <v>Focus Punch</v>
      </c>
      <c r="H212" s="13">
        <v>4</v>
      </c>
      <c r="I212" s="14" t="str">
        <f>VLOOKUP(H212, TMHM!$B$2:$C$7, 2, FALSE)</f>
        <v>Strength</v>
      </c>
      <c r="J212" s="30"/>
    </row>
    <row r="213" spans="1:10" x14ac:dyDescent="0.2">
      <c r="A213" s="120"/>
      <c r="B213" s="48">
        <f>HEX2DEC("01")</f>
        <v>1</v>
      </c>
      <c r="C213" s="23" t="str">
        <f t="array" ref="C213">INDEX(Moves!$B$2:'Moves'!$B$177, SUM(HEX2DEC("7E"),1), 1)</f>
        <v>Knock Off</v>
      </c>
      <c r="D213" s="49">
        <f t="shared" si="20"/>
        <v>1</v>
      </c>
      <c r="E213" s="23" t="s">
        <v>59</v>
      </c>
      <c r="F213" s="11">
        <v>5</v>
      </c>
      <c r="G213" s="20" t="str">
        <f>VLOOKUP(F213, TMHM!$B$10:$C1519, 2, FALSE)</f>
        <v>Roar</v>
      </c>
      <c r="H213" s="21"/>
      <c r="I213" s="25"/>
      <c r="J213" s="30"/>
    </row>
    <row r="214" spans="1:10" x14ac:dyDescent="0.2">
      <c r="A214" s="120"/>
      <c r="B214" s="34"/>
      <c r="C214" s="35"/>
      <c r="D214" s="56">
        <f t="shared" si="20"/>
        <v>1</v>
      </c>
      <c r="E214" s="35" t="str">
        <f t="array" ref="E214">INDEX(Moves!$B$2:'Moves'!$B$177, SUM(HEX2DEC("43"),1), 1)</f>
        <v>Poison Sting</v>
      </c>
      <c r="F214" s="11">
        <v>6</v>
      </c>
      <c r="G214" s="20" t="str">
        <f>VLOOKUP(F214, TMHM!$B$10:$C1519, 2, FALSE)</f>
        <v>Toxic</v>
      </c>
      <c r="H214" s="21"/>
      <c r="I214" s="25"/>
      <c r="J214" s="30"/>
    </row>
    <row r="215" spans="1:10" x14ac:dyDescent="0.2">
      <c r="A215" s="120"/>
      <c r="B215" s="34"/>
      <c r="C215" s="35"/>
      <c r="D215" s="36">
        <f t="shared" si="20"/>
        <v>1</v>
      </c>
      <c r="E215" s="37" t="str">
        <f t="array" ref="E215">INDEX(Moves!$B$2:'Moves'!$B$177, SUM(HEX2DEC("80"),1), 1)</f>
        <v>Bite</v>
      </c>
      <c r="F215" s="11">
        <v>10</v>
      </c>
      <c r="G215" s="20" t="str">
        <f>VLOOKUP(F215, TMHM!$B$10:$C1519, 2, FALSE)</f>
        <v>Bite</v>
      </c>
      <c r="H215" s="21"/>
      <c r="I215" s="25"/>
      <c r="J215" s="30"/>
    </row>
    <row r="216" spans="1:10" x14ac:dyDescent="0.2">
      <c r="A216" s="120"/>
      <c r="B216" s="16">
        <f>HEX2DEC("09")</f>
        <v>9</v>
      </c>
      <c r="C216" s="17" t="str">
        <f t="array" ref="C216">INDEX(Moves!$B$2:'Moves'!$B$177, SUM(HEX2DEC("43"),1), 1)</f>
        <v>Poison Sting</v>
      </c>
      <c r="D216" s="40">
        <f>HEX2DEC("09")</f>
        <v>9</v>
      </c>
      <c r="E216" s="17" t="str">
        <f t="array" ref="E216">INDEX(Moves!$B$2:'Moves'!$B$177, SUM(HEX2DEC("43"),1), 1)</f>
        <v>Poison Sting</v>
      </c>
      <c r="F216" s="11">
        <v>17</v>
      </c>
      <c r="G216" s="20" t="str">
        <f>VLOOKUP(F216, TMHM!$B$10:$C1519, 2, FALSE)</f>
        <v>SmokeScreen</v>
      </c>
      <c r="H216" s="21"/>
      <c r="I216" s="25"/>
      <c r="J216" s="30"/>
    </row>
    <row r="217" spans="1:10" x14ac:dyDescent="0.2">
      <c r="A217" s="120"/>
      <c r="B217" s="54">
        <f>HEX2DEC("0F")</f>
        <v>15</v>
      </c>
      <c r="C217" s="55" t="str">
        <f t="array" ref="C217">INDEX(Moves!$B$2:'Moves'!$B$177, SUM(HEX2DEC("8B"),1), 1)</f>
        <v>Scratch</v>
      </c>
      <c r="D217" s="54">
        <f>HEX2DEC("0F")</f>
        <v>15</v>
      </c>
      <c r="E217" s="55" t="str">
        <f t="array" ref="E217">INDEX(Moves!$B$2:'Moves'!$B$177, SUM(HEX2DEC("80"),1), 1)</f>
        <v>Bite</v>
      </c>
      <c r="F217" s="11">
        <v>26</v>
      </c>
      <c r="G217" s="20" t="str">
        <f>VLOOKUP(F217, TMHM!$B$10:$C1519, 2, FALSE)</f>
        <v>Earthquake</v>
      </c>
      <c r="H217" s="21"/>
      <c r="I217" s="25"/>
      <c r="J217" s="30"/>
    </row>
    <row r="218" spans="1:10" x14ac:dyDescent="0.2">
      <c r="A218" s="120"/>
      <c r="B218" s="53">
        <f>HEX2DEC("19")</f>
        <v>25</v>
      </c>
      <c r="C218" s="39" t="str">
        <f t="array" ref="C218">INDEX(Moves!$B$2:'Moves'!$B$177, SUM(HEX2DEC("A0"),1), 1)</f>
        <v>Growl</v>
      </c>
      <c r="D218" s="53">
        <f>HEX2DEC("19")</f>
        <v>25</v>
      </c>
      <c r="E218" s="23" t="s">
        <v>62</v>
      </c>
      <c r="F218" s="11">
        <v>28</v>
      </c>
      <c r="G218" s="20" t="str">
        <f>VLOOKUP(F218, TMHM!$B$10:$C1519, 2, FALSE)</f>
        <v>Dig</v>
      </c>
      <c r="H218" s="21"/>
      <c r="I218" s="25"/>
      <c r="J218" s="30"/>
    </row>
    <row r="219" spans="1:10" x14ac:dyDescent="0.2">
      <c r="A219" s="120"/>
      <c r="B219" s="53">
        <f>HEX2DEC("21")</f>
        <v>33</v>
      </c>
      <c r="C219" s="39" t="str">
        <f t="array" ref="C219">INDEX(Moves!$B$2:'Moves'!$B$177, SUM(HEX2DEC("9E"),1), 1)</f>
        <v>Supersonic</v>
      </c>
      <c r="D219" s="53">
        <f>HEX2DEC("21")</f>
        <v>33</v>
      </c>
      <c r="E219" s="23" t="s">
        <v>63</v>
      </c>
      <c r="F219" s="11">
        <v>32</v>
      </c>
      <c r="G219" s="20" t="str">
        <f>VLOOKUP(F219, TMHM!$B$10:$C1519, 2, FALSE)</f>
        <v>Double Team</v>
      </c>
      <c r="H219" s="21"/>
      <c r="I219" s="25"/>
      <c r="J219" s="30"/>
    </row>
    <row r="220" spans="1:10" x14ac:dyDescent="0.2">
      <c r="A220" s="120"/>
      <c r="B220" s="18">
        <f>HEX2DEC("2B")</f>
        <v>43</v>
      </c>
      <c r="C220" s="38" t="str">
        <f t="array" ref="C220">INDEX(Moves!$B$2:'Moves'!$B$177, SUM(HEX2DEC("45"),1), 1)</f>
        <v>Acid</v>
      </c>
      <c r="D220" s="18">
        <f>HEX2DEC("2B")</f>
        <v>43</v>
      </c>
      <c r="E220" s="38" t="str">
        <f t="array" ref="E220">INDEX(Moves!$B$2:'Moves'!$B$177, SUM(HEX2DEC("45"),1), 1)</f>
        <v>Acid</v>
      </c>
      <c r="F220" s="11">
        <v>36</v>
      </c>
      <c r="G220" s="20" t="str">
        <f>VLOOKUP(F220, TMHM!$B$10:$C1519, 2, FALSE)</f>
        <v>Sludge Bomb</v>
      </c>
      <c r="H220" s="21"/>
      <c r="I220" s="25"/>
      <c r="J220" s="30"/>
    </row>
    <row r="221" spans="1:10" x14ac:dyDescent="0.2">
      <c r="A221" s="120"/>
      <c r="B221" s="53">
        <f>HEX2DEC("33")</f>
        <v>51</v>
      </c>
      <c r="C221" s="39" t="str">
        <f t="array" ref="C221">INDEX(Moves!$B$2:'Moves'!$B$177, SUM(HEX2DEC("A6"),1), 1)</f>
        <v>SmokeScreen</v>
      </c>
      <c r="D221" s="53">
        <f>HEX2DEC("33")</f>
        <v>51</v>
      </c>
      <c r="E221" s="23" t="s">
        <v>64</v>
      </c>
      <c r="F221" s="11"/>
      <c r="H221" s="21"/>
      <c r="I221" s="25"/>
      <c r="J221" s="30"/>
    </row>
    <row r="222" spans="1:10" x14ac:dyDescent="0.2">
      <c r="A222" s="124" t="s">
        <v>66</v>
      </c>
      <c r="B222" s="70">
        <f>HEX2DEC("00")</f>
        <v>0</v>
      </c>
      <c r="C222" s="71" t="str">
        <f t="array" ref="C222">INDEX(Moves!$B$2:'Moves'!$B$177, SUM(HEX2DEC("13"),1), 1)</f>
        <v>Thundershock</v>
      </c>
      <c r="D222" s="72">
        <f t="shared" ref="D222:D223" si="21">HEX2DEC("01")</f>
        <v>1</v>
      </c>
      <c r="E222" s="71" t="str">
        <f t="array" ref="E222">INDEX(Moves!$B$2:'Moves'!$B$177, SUM(HEX2DEC("13"),1), 1)</f>
        <v>Thundershock</v>
      </c>
      <c r="F222" s="41">
        <v>4</v>
      </c>
      <c r="G222" s="12" t="str">
        <f>VLOOKUP(F222, TMHM!$B$10:$C1519, 2, FALSE)</f>
        <v>Calm Mind</v>
      </c>
      <c r="H222" s="13">
        <v>5</v>
      </c>
      <c r="I222" s="14" t="str">
        <f>VLOOKUP(H222, TMHM!$B$2:$C$7, 2, FALSE)</f>
        <v>Flash</v>
      </c>
      <c r="J222" s="30"/>
    </row>
    <row r="223" spans="1:10" x14ac:dyDescent="0.2">
      <c r="A223" s="120"/>
      <c r="B223" s="16">
        <f>HEX2DEC("01")</f>
        <v>1</v>
      </c>
      <c r="C223" s="17" t="str">
        <f t="array" ref="C223">INDEX(Moves!$B$2:'Moves'!$B$177, SUM(HEX2DEC("A0"),1), 1)</f>
        <v>Growl</v>
      </c>
      <c r="D223" s="40">
        <f t="shared" si="21"/>
        <v>1</v>
      </c>
      <c r="E223" s="17" t="str">
        <f t="array" ref="E223">INDEX(Moves!$B$2:'Moves'!$B$177, SUM(HEX2DEC("A0"),1), 1)</f>
        <v>Growl</v>
      </c>
      <c r="F223" s="11">
        <v>5</v>
      </c>
      <c r="G223" s="20" t="str">
        <f>VLOOKUP(F223, TMHM!$B$10:$C1519, 2, FALSE)</f>
        <v>Roar</v>
      </c>
      <c r="H223" s="21"/>
      <c r="I223" s="25"/>
      <c r="J223" s="30"/>
    </row>
    <row r="224" spans="1:10" x14ac:dyDescent="0.2">
      <c r="A224" s="120"/>
      <c r="B224" s="16">
        <f>HEX2DEC("06")</f>
        <v>6</v>
      </c>
      <c r="C224" s="17" t="str">
        <f t="array" ref="C224">INDEX(Moves!$B$2:'Moves'!$B$177, SUM(HEX2DEC("A4"),1), 1)</f>
        <v>Tail Whip</v>
      </c>
      <c r="D224" s="40">
        <f>HEX2DEC("06")</f>
        <v>6</v>
      </c>
      <c r="E224" s="17" t="str">
        <f t="array" ref="E224">INDEX(Moves!$B$2:'Moves'!$B$177, SUM(HEX2DEC("A4"),1), 1)</f>
        <v>Tail Whip</v>
      </c>
      <c r="F224" s="11">
        <v>8</v>
      </c>
      <c r="G224" s="20" t="str">
        <f>VLOOKUP(F224, TMHM!$B$10:$C1519, 2, FALSE)</f>
        <v>Charm</v>
      </c>
      <c r="H224" s="21"/>
      <c r="I224" s="25"/>
      <c r="J224" s="30"/>
    </row>
    <row r="225" spans="1:10" x14ac:dyDescent="0.2">
      <c r="A225" s="120"/>
      <c r="B225" s="16">
        <f>HEX2DEC("08")</f>
        <v>8</v>
      </c>
      <c r="C225" s="17" t="str">
        <f t="array" ref="C225">INDEX(Moves!$B$2:'Moves'!$B$177, SUM(HEX2DEC("1B"),1), 1)</f>
        <v>Thunder Wave</v>
      </c>
      <c r="D225" s="40">
        <f>HEX2DEC("08")</f>
        <v>8</v>
      </c>
      <c r="E225" s="17" t="str">
        <f t="array" ref="E225">INDEX(Moves!$B$2:'Moves'!$B$177, SUM(HEX2DEC("1B"),1), 1)</f>
        <v>Thunder Wave</v>
      </c>
      <c r="F225" s="11">
        <v>24</v>
      </c>
      <c r="G225" s="20" t="str">
        <f>VLOOKUP(F225, TMHM!$B$10:$C1519, 2, FALSE)</f>
        <v>Thunderbolt</v>
      </c>
      <c r="H225" s="21"/>
      <c r="I225" s="25"/>
      <c r="J225" s="30"/>
    </row>
    <row r="226" spans="1:10" x14ac:dyDescent="0.2">
      <c r="A226" s="120"/>
      <c r="B226" s="16">
        <f>HEX2DEC("0B")</f>
        <v>11</v>
      </c>
      <c r="C226" s="17" t="str">
        <f t="array" ref="C226">INDEX(Moves!$B$2:'Moves'!$B$177, SUM(HEX2DEC("8C"),1), 1)</f>
        <v>Quick Attack</v>
      </c>
      <c r="D226" s="40">
        <f>HEX2DEC("0B")</f>
        <v>11</v>
      </c>
      <c r="E226" s="17" t="str">
        <f t="array" ref="E226">INDEX(Moves!$B$2:'Moves'!$B$177, SUM(HEX2DEC("8C"),1), 1)</f>
        <v>Quick Attack</v>
      </c>
      <c r="F226" s="11">
        <v>25</v>
      </c>
      <c r="G226" s="20" t="str">
        <f>VLOOKUP(F226, TMHM!$B$10:$C1519, 2, FALSE)</f>
        <v>Thunder</v>
      </c>
      <c r="H226" s="21"/>
      <c r="I226" s="25"/>
      <c r="J226" s="30"/>
    </row>
    <row r="227" spans="1:10" x14ac:dyDescent="0.2">
      <c r="A227" s="120"/>
      <c r="B227" s="16">
        <f>HEX2DEC("0F")</f>
        <v>15</v>
      </c>
      <c r="C227" s="17" t="str">
        <f t="array" ref="C227">INDEX(Moves!$B$2:'Moves'!$B$177, SUM(HEX2DEC("A8"),1), 1)</f>
        <v>Double Team</v>
      </c>
      <c r="D227" s="40">
        <f>HEX2DEC("0F")</f>
        <v>15</v>
      </c>
      <c r="E227" s="17" t="str">
        <f t="array" ref="E227">INDEX(Moves!$B$2:'Moves'!$B$177, SUM(HEX2DEC("A8"),1), 1)</f>
        <v>Double Team</v>
      </c>
      <c r="F227" s="11">
        <v>32</v>
      </c>
      <c r="G227" s="20" t="str">
        <f>VLOOKUP(F227, TMHM!$B$10:$C1519, 2, FALSE)</f>
        <v>Double Team</v>
      </c>
      <c r="H227" s="21"/>
      <c r="I227" s="25"/>
      <c r="J227" s="30"/>
    </row>
    <row r="228" spans="1:10" x14ac:dyDescent="0.2">
      <c r="A228" s="120"/>
      <c r="B228" s="48">
        <f>HEX2DEC("14")</f>
        <v>20</v>
      </c>
      <c r="C228" s="23" t="str">
        <f t="array" ref="C228">INDEX(Moves!$B$2:'Moves'!$B$177, SUM(HEX2DEC("4E"),1), 1)</f>
        <v>Mach Punch</v>
      </c>
      <c r="D228" s="49">
        <f>HEX2DEC("14")</f>
        <v>20</v>
      </c>
      <c r="E228" s="23" t="s">
        <v>67</v>
      </c>
      <c r="F228" s="11">
        <v>34</v>
      </c>
      <c r="G228" s="20" t="str">
        <f>VLOOKUP(F228, TMHM!$B$10:$C1519, 2, FALSE)</f>
        <v>Shock Wave</v>
      </c>
      <c r="H228" s="21"/>
      <c r="I228" s="25"/>
      <c r="J228" s="30"/>
    </row>
    <row r="229" spans="1:10" x14ac:dyDescent="0.2">
      <c r="A229" s="120"/>
      <c r="B229" s="16">
        <f>HEX2DEC("1A")</f>
        <v>26</v>
      </c>
      <c r="C229" s="17" t="str">
        <f t="array" ref="C229">INDEX(Moves!$B$2:'Moves'!$B$177, SUM(HEX2DEC("17"),1), 1)</f>
        <v>Thunderbolt</v>
      </c>
      <c r="D229" s="40">
        <f>HEX2DEC("1A")</f>
        <v>26</v>
      </c>
      <c r="E229" s="17" t="str">
        <f t="array" ref="E229">INDEX(Moves!$B$2:'Moves'!$B$177, SUM(HEX2DEC("17"),1), 1)</f>
        <v>Thunderbolt</v>
      </c>
      <c r="F229" s="11"/>
      <c r="H229" s="21"/>
      <c r="I229" s="25"/>
      <c r="J229" s="30"/>
    </row>
    <row r="230" spans="1:10" x14ac:dyDescent="0.2">
      <c r="A230" s="120"/>
      <c r="B230" s="16">
        <f>HEX2DEC("21")</f>
        <v>33</v>
      </c>
      <c r="C230" s="17" t="str">
        <f t="array" ref="C230">INDEX(Moves!$B$2:'Moves'!$B$177, SUM(HEX2DEC("71"),1), 1)</f>
        <v>Agility</v>
      </c>
      <c r="D230" s="40">
        <f>HEX2DEC("21")</f>
        <v>33</v>
      </c>
      <c r="E230" s="17" t="str">
        <f t="array" ref="E230">INDEX(Moves!$B$2:'Moves'!$B$177, SUM(HEX2DEC("71"),1), 1)</f>
        <v>Agility</v>
      </c>
      <c r="F230" s="11"/>
      <c r="H230" s="21"/>
      <c r="I230" s="25"/>
      <c r="J230" s="30"/>
    </row>
    <row r="231" spans="1:10" x14ac:dyDescent="0.2">
      <c r="A231" s="120"/>
      <c r="B231" s="16">
        <f>HEX2DEC("29")</f>
        <v>41</v>
      </c>
      <c r="C231" s="17" t="str">
        <f t="array" ref="C231">INDEX(Moves!$B$2:'Moves'!$B$177, SUM(HEX2DEC("1A"),1), 1)</f>
        <v>Thunder</v>
      </c>
      <c r="D231" s="40">
        <f>HEX2DEC("29")</f>
        <v>41</v>
      </c>
      <c r="E231" s="17" t="str">
        <f t="array" ref="E231">INDEX(Moves!$B$2:'Moves'!$B$177, SUM(HEX2DEC("1A"),1), 1)</f>
        <v>Thunder</v>
      </c>
      <c r="F231" s="11"/>
      <c r="H231" s="21"/>
      <c r="I231" s="25"/>
      <c r="J231" s="30"/>
    </row>
    <row r="232" spans="1:10" x14ac:dyDescent="0.2">
      <c r="A232" s="120"/>
      <c r="B232" s="48">
        <f>HEX2DEC("32")</f>
        <v>50</v>
      </c>
      <c r="C232" s="23" t="str">
        <f t="array" ref="C232">INDEX(Moves!$B$2:'Moves'!$B$177, SUM(HEX2DEC("70"),1), 1)</f>
        <v>Calm Mind</v>
      </c>
      <c r="D232" s="49">
        <f>HEX2DEC("32")</f>
        <v>50</v>
      </c>
      <c r="E232" s="23" t="s">
        <v>68</v>
      </c>
      <c r="F232" s="11"/>
      <c r="H232" s="21"/>
      <c r="I232" s="25"/>
      <c r="J232" s="30"/>
    </row>
    <row r="233" spans="1:10" x14ac:dyDescent="0.2">
      <c r="A233" s="124" t="s">
        <v>69</v>
      </c>
      <c r="B233" s="70">
        <f>HEX2DEC("00")</f>
        <v>0</v>
      </c>
      <c r="C233" s="71" t="str">
        <f t="array" ref="C233">INDEX(Moves!$B$2:'Moves'!$B$177, SUM(HEX2DEC("13"),1), 1)</f>
        <v>Thundershock</v>
      </c>
      <c r="D233" s="72">
        <f>HEX2DEC("01")</f>
        <v>1</v>
      </c>
      <c r="E233" s="71" t="str">
        <f t="array" ref="E233">INDEX(Moves!$B$2:'Moves'!$B$177, SUM(HEX2DEC("13"),1), 1)</f>
        <v>Thundershock</v>
      </c>
      <c r="F233" s="41">
        <v>4</v>
      </c>
      <c r="G233" s="12" t="str">
        <f>VLOOKUP(F233, TMHM!$B$10:$C1519, 2, FALSE)</f>
        <v>Calm Mind</v>
      </c>
      <c r="H233" s="13">
        <v>5</v>
      </c>
      <c r="I233" s="14" t="str">
        <f>VLOOKUP(H233, TMHM!$B$2:$C$7, 2, FALSE)</f>
        <v>Flash</v>
      </c>
      <c r="J233" s="30"/>
    </row>
    <row r="234" spans="1:10" x14ac:dyDescent="0.2">
      <c r="A234" s="120"/>
      <c r="B234" s="43">
        <f>HEX2DEC("06")</f>
        <v>6</v>
      </c>
      <c r="C234" s="76" t="str">
        <f t="array" ref="C234">INDEX(Moves!$B$2:'Moves'!$B$177, SUM(HEX2DEC("A4"),1), 1)</f>
        <v>Tail Whip</v>
      </c>
      <c r="D234" s="45">
        <f t="shared" ref="D234:D236" si="22">HEX2DEC("1")</f>
        <v>1</v>
      </c>
      <c r="E234" s="76" t="str">
        <f t="array" ref="E234">INDEX(Moves!$B$2:'Moves'!$B$177, SUM(HEX2DEC("A4"),1), 1)</f>
        <v>Tail Whip</v>
      </c>
      <c r="F234" s="11">
        <v>5</v>
      </c>
      <c r="G234" s="20" t="str">
        <f>VLOOKUP(F234, TMHM!$B$10:$C1519, 2, FALSE)</f>
        <v>Roar</v>
      </c>
      <c r="H234" s="21"/>
      <c r="I234" s="25"/>
      <c r="J234" s="30"/>
    </row>
    <row r="235" spans="1:10" x14ac:dyDescent="0.2">
      <c r="A235" s="120"/>
      <c r="B235" s="43">
        <f>HEX2DEC("0B")</f>
        <v>11</v>
      </c>
      <c r="C235" s="17" t="str">
        <f t="array" ref="C235">INDEX(Moves!$B$2:'Moves'!$B$177, SUM(HEX2DEC("8C"),1), 1)</f>
        <v>Quick Attack</v>
      </c>
      <c r="D235" s="45">
        <f t="shared" si="22"/>
        <v>1</v>
      </c>
      <c r="E235" s="17" t="str">
        <f t="array" ref="E235">INDEX(Moves!$B$2:'Moves'!$B$177, SUM(HEX2DEC("8C"),1), 1)</f>
        <v>Quick Attack</v>
      </c>
      <c r="F235" s="11">
        <v>8</v>
      </c>
      <c r="G235" s="20" t="str">
        <f>VLOOKUP(F235, TMHM!$B$10:$C1519, 2, FALSE)</f>
        <v>Charm</v>
      </c>
      <c r="H235" s="21"/>
      <c r="I235" s="25"/>
      <c r="J235" s="30"/>
    </row>
    <row r="236" spans="1:10" x14ac:dyDescent="0.2">
      <c r="A236" s="120"/>
      <c r="B236" s="43">
        <f>HEX2DEC("1C")</f>
        <v>28</v>
      </c>
      <c r="C236" s="17" t="str">
        <f t="array" ref="C236">INDEX(Moves!$B$2:'Moves'!$B$177, SUM(HEX2DEC("17"),1), 1)</f>
        <v>Thunderbolt</v>
      </c>
      <c r="D236" s="45">
        <f t="shared" si="22"/>
        <v>1</v>
      </c>
      <c r="E236" s="17" t="str">
        <f t="array" ref="E236">INDEX(Moves!$B$2:'Moves'!$B$177, SUM(HEX2DEC("17"),1), 1)</f>
        <v>Thunderbolt</v>
      </c>
      <c r="F236" s="11">
        <v>24</v>
      </c>
      <c r="G236" s="20" t="str">
        <f>VLOOKUP(F236, TMHM!$B$10:$C1519, 2, FALSE)</f>
        <v>Thunderbolt</v>
      </c>
      <c r="H236" s="21"/>
      <c r="I236" s="25"/>
      <c r="J236" s="30"/>
    </row>
    <row r="237" spans="1:10" x14ac:dyDescent="0.2">
      <c r="A237" s="120"/>
      <c r="B237" s="67">
        <f>HEX2DEC("23")</f>
        <v>35</v>
      </c>
      <c r="C237" s="68" t="str">
        <f t="array" ref="C237">INDEX(Moves!$B$2:'Moves'!$B$177, SUM(HEX2DEC("71"),1), 1)</f>
        <v>Agility</v>
      </c>
      <c r="D237" s="69"/>
      <c r="E237" s="68"/>
      <c r="F237" s="11">
        <v>25</v>
      </c>
      <c r="G237" s="20" t="str">
        <f>VLOOKUP(F237, TMHM!$B$10:$C1519, 2, FALSE)</f>
        <v>Thunder</v>
      </c>
      <c r="H237" s="21"/>
      <c r="I237" s="25"/>
      <c r="J237" s="30"/>
    </row>
    <row r="238" spans="1:10" x14ac:dyDescent="0.2">
      <c r="A238" s="120"/>
      <c r="B238" s="67">
        <f>HEX2DEC("2B")</f>
        <v>43</v>
      </c>
      <c r="C238" s="68" t="str">
        <f t="array" ref="C238">INDEX(Moves!$B$2:'Moves'!$B$177, SUM(HEX2DEC("1A"),1), 1)</f>
        <v>Thunder</v>
      </c>
      <c r="D238" s="69"/>
      <c r="E238" s="68"/>
      <c r="F238" s="11">
        <v>32</v>
      </c>
      <c r="G238" s="20" t="str">
        <f>VLOOKUP(F238, TMHM!$B$10:$C1519, 2, FALSE)</f>
        <v>Double Team</v>
      </c>
      <c r="H238" s="21"/>
      <c r="I238" s="25"/>
      <c r="J238" s="30"/>
    </row>
    <row r="239" spans="1:10" x14ac:dyDescent="0.2">
      <c r="A239" s="120"/>
      <c r="B239" s="67">
        <f>HEX2DEC("34")</f>
        <v>52</v>
      </c>
      <c r="C239" s="68" t="str">
        <f t="array" ref="C239">INDEX(Moves!$B$2:'Moves'!$B$177, SUM(HEX2DEC("70"),1), 1)</f>
        <v>Calm Mind</v>
      </c>
      <c r="D239" s="69"/>
      <c r="E239" s="68"/>
      <c r="F239" s="11">
        <v>34</v>
      </c>
      <c r="G239" s="20" t="str">
        <f>VLOOKUP(F239, TMHM!$B$10:$C1519, 2, FALSE)</f>
        <v>Shock Wave</v>
      </c>
      <c r="H239" s="21"/>
      <c r="I239" s="25"/>
      <c r="J239" s="30"/>
    </row>
    <row r="240" spans="1:10" x14ac:dyDescent="0.2">
      <c r="A240" s="121" t="s">
        <v>70</v>
      </c>
      <c r="B240" s="64">
        <f>HEX2DEC("00")</f>
        <v>0</v>
      </c>
      <c r="C240" s="65" t="str">
        <f t="array" ref="C240">INDEX(Moves!$B$2:'Moves'!$B$177, SUM(HEX2DEC("A5"),1), 1)</f>
        <v>Tickle</v>
      </c>
      <c r="D240" s="66">
        <f>HEX2DEC("01")</f>
        <v>1</v>
      </c>
      <c r="E240" s="65" t="str">
        <f t="array" ref="E240">INDEX(Moves!$B$2:'Moves'!$B$177, SUM(HEX2DEC("8B"),1), 1)</f>
        <v>Scratch</v>
      </c>
      <c r="F240" s="41">
        <v>1</v>
      </c>
      <c r="G240" s="12" t="str">
        <f>VLOOKUP(F240, TMHM!$B$10:$C1519, 2, FALSE)</f>
        <v>Focus Punch</v>
      </c>
      <c r="H240" s="13">
        <v>1</v>
      </c>
      <c r="I240" s="14" t="str">
        <f>VLOOKUP(H240, TMHM!$B$2:$C$7, 2, FALSE)</f>
        <v>Cut</v>
      </c>
      <c r="J240" s="30"/>
    </row>
    <row r="241" spans="1:10" x14ac:dyDescent="0.2">
      <c r="A241" s="120"/>
      <c r="B241" s="16">
        <f>HEX2DEC("06")</f>
        <v>6</v>
      </c>
      <c r="C241" s="17" t="str">
        <f t="array" ref="C241">INDEX(Moves!$B$2:'Moves'!$B$177, SUM(HEX2DEC("A2"),1), 1)</f>
        <v>Defense Curl</v>
      </c>
      <c r="D241" s="40">
        <f>HEX2DEC("06")</f>
        <v>6</v>
      </c>
      <c r="E241" s="17" t="str">
        <f t="array" ref="E241">INDEX(Moves!$B$2:'Moves'!$B$177, SUM(HEX2DEC("A2"),1), 1)</f>
        <v>Defense Curl</v>
      </c>
      <c r="F241" s="11">
        <v>5</v>
      </c>
      <c r="G241" s="20" t="str">
        <f>VLOOKUP(F241, TMHM!$B$10:$C1519, 2, FALSE)</f>
        <v>Roar</v>
      </c>
      <c r="H241" s="21"/>
      <c r="I241" s="25"/>
      <c r="J241" s="30"/>
    </row>
    <row r="242" spans="1:10" x14ac:dyDescent="0.2">
      <c r="A242" s="120"/>
      <c r="B242" s="16">
        <f>HEX2DEC("0B")</f>
        <v>11</v>
      </c>
      <c r="C242" s="17" t="str">
        <f t="array" ref="C242">INDEX(Moves!$B$2:'Moves'!$B$177, SUM(HEX2DEC("37"),1), 1)</f>
        <v>Sand Attack</v>
      </c>
      <c r="D242" s="40">
        <f>HEX2DEC("0B")</f>
        <v>11</v>
      </c>
      <c r="E242" s="17" t="str">
        <f t="array" ref="E242">INDEX(Moves!$B$2:'Moves'!$B$177, SUM(HEX2DEC("37"),1), 1)</f>
        <v>Sand Attack</v>
      </c>
      <c r="F242" s="11">
        <v>7</v>
      </c>
      <c r="G242" s="20" t="str">
        <f>VLOOKUP(F242, TMHM!$B$10:$C1519, 2, FALSE)</f>
        <v>Secret Power</v>
      </c>
      <c r="H242" s="21"/>
      <c r="I242" s="25"/>
      <c r="J242" s="30"/>
    </row>
    <row r="243" spans="1:10" x14ac:dyDescent="0.2">
      <c r="A243" s="120"/>
      <c r="B243" s="16">
        <f>HEX2DEC("11")</f>
        <v>17</v>
      </c>
      <c r="C243" s="17" t="str">
        <f t="array" ref="C243">INDEX(Moves!$B$2:'Moves'!$B$177, SUM(HEX2DEC("43"),1), 1)</f>
        <v>Poison Sting</v>
      </c>
      <c r="D243" s="40">
        <f>HEX2DEC("11")</f>
        <v>17</v>
      </c>
      <c r="E243" s="17" t="str">
        <f t="array" ref="E243">INDEX(Moves!$B$2:'Moves'!$B$177, SUM(HEX2DEC("43"),1), 1)</f>
        <v>Poison Sting</v>
      </c>
      <c r="F243" s="11">
        <v>8</v>
      </c>
      <c r="G243" s="20" t="str">
        <f>VLOOKUP(F243, TMHM!$B$10:$C1519, 2, FALSE)</f>
        <v>Charm</v>
      </c>
      <c r="H243" s="21"/>
      <c r="I243" s="25"/>
      <c r="J243" s="30"/>
    </row>
    <row r="244" spans="1:10" x14ac:dyDescent="0.2">
      <c r="A244" s="120"/>
      <c r="B244" s="48">
        <f>HEX2DEC("17")</f>
        <v>23</v>
      </c>
      <c r="C244" s="23" t="str">
        <f t="array" ref="C244">INDEX(Moves!$B$2:'Moves'!$B$177, SUM(HEX2DEC("39"),1), 1)</f>
        <v>Rock Tomb</v>
      </c>
      <c r="D244" s="49">
        <f>HEX2DEC("17")</f>
        <v>23</v>
      </c>
      <c r="E244" s="23" t="s">
        <v>28</v>
      </c>
      <c r="F244" s="11">
        <v>10</v>
      </c>
      <c r="G244" s="20" t="str">
        <f>VLOOKUP(F244, TMHM!$B$10:$C1519, 2, FALSE)</f>
        <v>Bite</v>
      </c>
      <c r="H244" s="21"/>
      <c r="I244" s="25"/>
      <c r="J244" s="30"/>
    </row>
    <row r="245" spans="1:10" x14ac:dyDescent="0.2">
      <c r="A245" s="120"/>
      <c r="B245" s="16">
        <f>HEX2DEC("1E")</f>
        <v>30</v>
      </c>
      <c r="C245" s="17" t="str">
        <f t="array" ref="C245">INDEX(Moves!$B$2:'Moves'!$B$177, SUM(HEX2DEC("90"),1), 1)</f>
        <v>Swift</v>
      </c>
      <c r="D245" s="40">
        <f>HEX2DEC("1E")</f>
        <v>30</v>
      </c>
      <c r="E245" s="17" t="str">
        <f t="array" ref="E245">INDEX(Moves!$B$2:'Moves'!$B$177, SUM(HEX2DEC("90"),1), 1)</f>
        <v>Swift</v>
      </c>
      <c r="F245" s="11">
        <v>15</v>
      </c>
      <c r="G245" s="20" t="str">
        <f>VLOOKUP(F245, TMHM!$B$10:$C1519, 2, FALSE)</f>
        <v>Hyper Beam</v>
      </c>
      <c r="H245" s="21"/>
      <c r="I245" s="25"/>
      <c r="J245" s="30"/>
    </row>
    <row r="246" spans="1:10" x14ac:dyDescent="0.2">
      <c r="A246" s="120"/>
      <c r="B246" s="48">
        <f>HEX2DEC("25")</f>
        <v>37</v>
      </c>
      <c r="C246" s="23" t="str">
        <f t="array" ref="C246">INDEX(Moves!$B$2:'Moves'!$B$177, SUM(HEX2DEC("8B"),1), 1)</f>
        <v>Scratch</v>
      </c>
      <c r="D246" s="49">
        <f>HEX2DEC("25")</f>
        <v>37</v>
      </c>
      <c r="E246" s="23" t="s">
        <v>71</v>
      </c>
      <c r="F246" s="11">
        <v>20</v>
      </c>
      <c r="G246" s="20" t="str">
        <f>VLOOKUP(F246, TMHM!$B$10:$C1519, 2, FALSE)</f>
        <v>Iron Defense</v>
      </c>
      <c r="H246" s="21"/>
      <c r="I246" s="25"/>
      <c r="J246" s="30"/>
    </row>
    <row r="247" spans="1:10" x14ac:dyDescent="0.2">
      <c r="A247" s="120"/>
      <c r="B247" s="48">
        <f>HEX2DEC("2D")</f>
        <v>45</v>
      </c>
      <c r="C247" s="23" t="str">
        <f t="array" ref="C247">INDEX(Moves!$B$2:'Moves'!$B$177, SUM(HEX2DEC("80"),1), 1)</f>
        <v>Bite</v>
      </c>
      <c r="D247" s="49">
        <f>HEX2DEC("2D")</f>
        <v>45</v>
      </c>
      <c r="E247" s="23" t="s">
        <v>72</v>
      </c>
      <c r="F247" s="11">
        <v>26</v>
      </c>
      <c r="G247" s="20" t="str">
        <f>VLOOKUP(F247, TMHM!$B$10:$C1519, 2, FALSE)</f>
        <v>Earthquake</v>
      </c>
      <c r="H247" s="21"/>
      <c r="I247" s="25"/>
      <c r="J247" s="30"/>
    </row>
    <row r="248" spans="1:10" x14ac:dyDescent="0.2">
      <c r="A248" s="120"/>
      <c r="B248" s="73"/>
      <c r="C248" s="74"/>
      <c r="D248" s="60"/>
      <c r="E248" s="74"/>
      <c r="F248" s="11">
        <v>28</v>
      </c>
      <c r="G248" s="20" t="str">
        <f>VLOOKUP(F248, TMHM!$B$10:$C1519, 2, FALSE)</f>
        <v>Dig</v>
      </c>
      <c r="H248" s="21"/>
      <c r="I248" s="25"/>
      <c r="J248" s="30"/>
    </row>
    <row r="249" spans="1:10" x14ac:dyDescent="0.2">
      <c r="A249" s="120"/>
      <c r="B249" s="73"/>
      <c r="C249" s="74"/>
      <c r="D249" s="60"/>
      <c r="E249" s="74"/>
      <c r="F249" s="11">
        <v>35</v>
      </c>
      <c r="G249" s="20" t="str">
        <f>VLOOKUP(F249, TMHM!$B$10:$C1519, 2, FALSE)</f>
        <v>Harden</v>
      </c>
      <c r="H249" s="21"/>
      <c r="I249" s="25"/>
      <c r="J249" s="30"/>
    </row>
    <row r="250" spans="1:10" x14ac:dyDescent="0.2">
      <c r="A250" s="120"/>
      <c r="B250" s="73"/>
      <c r="C250" s="74"/>
      <c r="D250" s="60"/>
      <c r="E250" s="74"/>
      <c r="F250" s="11">
        <v>39</v>
      </c>
      <c r="G250" s="20" t="str">
        <f>VLOOKUP(F250, TMHM!$B$10:$C1519, 2, FALSE)</f>
        <v>Rock Tomb</v>
      </c>
      <c r="H250" s="21"/>
      <c r="I250" s="25"/>
      <c r="J250" s="30"/>
    </row>
    <row r="251" spans="1:10" x14ac:dyDescent="0.2">
      <c r="A251" s="121" t="s">
        <v>73</v>
      </c>
      <c r="B251" s="64">
        <f>HEX2DEC("00")</f>
        <v>0</v>
      </c>
      <c r="C251" s="65" t="str">
        <f t="array" ref="C251">INDEX(Moves!$B$2:'Moves'!$B$177, SUM(HEX2DEC("A5"),1), 1)</f>
        <v>Tickle</v>
      </c>
      <c r="D251" s="66">
        <f t="shared" ref="D251:D253" si="23">HEX2DEC("01")</f>
        <v>1</v>
      </c>
      <c r="E251" s="65" t="str">
        <f t="array" ref="E251">INDEX(Moves!$B$2:'Moves'!$B$177, SUM(HEX2DEC("8B"),1), 1)</f>
        <v>Scratch</v>
      </c>
      <c r="F251" s="41">
        <v>1</v>
      </c>
      <c r="G251" s="12" t="str">
        <f>VLOOKUP(F251, TMHM!$B$10:$C1519, 2, FALSE)</f>
        <v>Focus Punch</v>
      </c>
      <c r="H251" s="13">
        <v>1</v>
      </c>
      <c r="I251" s="14" t="str">
        <f>VLOOKUP(H251, TMHM!$B$2:$C$7, 2, FALSE)</f>
        <v>Cut</v>
      </c>
      <c r="J251" s="30"/>
    </row>
    <row r="252" spans="1:10" x14ac:dyDescent="0.2">
      <c r="A252" s="120"/>
      <c r="B252" s="34"/>
      <c r="C252" s="35"/>
      <c r="D252" s="36">
        <f t="shared" si="23"/>
        <v>1</v>
      </c>
      <c r="E252" s="37" t="str">
        <f t="array" ref="E252">INDEX(Moves!$B$2:'Moves'!$B$177, SUM(HEX2DEC("A2"),1), 1)</f>
        <v>Defense Curl</v>
      </c>
      <c r="F252" s="11">
        <v>5</v>
      </c>
      <c r="G252" s="20" t="str">
        <f>VLOOKUP(F252, TMHM!$B$10:$C1519, 2, FALSE)</f>
        <v>Roar</v>
      </c>
      <c r="H252" s="21">
        <v>4</v>
      </c>
      <c r="I252" s="20" t="str">
        <f>VLOOKUP(H252, TMHM!$B$2:$C$7, 2, FALSE)</f>
        <v>Strength</v>
      </c>
      <c r="J252" s="30"/>
    </row>
    <row r="253" spans="1:10" x14ac:dyDescent="0.2">
      <c r="A253" s="120"/>
      <c r="B253" s="34"/>
      <c r="C253" s="35"/>
      <c r="D253" s="36">
        <f t="shared" si="23"/>
        <v>1</v>
      </c>
      <c r="E253" s="37" t="str">
        <f t="array" ref="E253">INDEX(Moves!$B$2:'Moves'!$B$177, SUM(HEX2DEC("37"),1), 1)</f>
        <v>Sand Attack</v>
      </c>
      <c r="F253" s="11">
        <v>7</v>
      </c>
      <c r="G253" s="20" t="str">
        <f>VLOOKUP(F253, TMHM!$B$10:$C1519, 2, FALSE)</f>
        <v>Secret Power</v>
      </c>
      <c r="H253" s="21">
        <v>5</v>
      </c>
      <c r="I253" s="20" t="str">
        <f>VLOOKUP(H253, TMHM!$B$2:$C$7, 2, FALSE)</f>
        <v>Flash</v>
      </c>
      <c r="J253" s="30"/>
    </row>
    <row r="254" spans="1:10" x14ac:dyDescent="0.2">
      <c r="A254" s="120"/>
      <c r="B254" s="16">
        <f>HEX2DEC("06")</f>
        <v>6</v>
      </c>
      <c r="C254" s="17" t="str">
        <f t="array" ref="C254">INDEX(Moves!$B$2:'Moves'!$B$177, SUM(HEX2DEC("A2"),1), 1)</f>
        <v>Defense Curl</v>
      </c>
      <c r="D254" s="40">
        <f>HEX2DEC("06")</f>
        <v>6</v>
      </c>
      <c r="E254" s="17" t="str">
        <f t="array" ref="E254">INDEX(Moves!$B$2:'Moves'!$B$177, SUM(HEX2DEC("A2"),1), 1)</f>
        <v>Defense Curl</v>
      </c>
      <c r="F254" s="11">
        <v>8</v>
      </c>
      <c r="G254" s="20" t="str">
        <f>VLOOKUP(F254, TMHM!$B$10:$C1519, 2, FALSE)</f>
        <v>Charm</v>
      </c>
      <c r="H254" s="21"/>
      <c r="I254" s="25"/>
      <c r="J254" s="30"/>
    </row>
    <row r="255" spans="1:10" x14ac:dyDescent="0.2">
      <c r="A255" s="120"/>
      <c r="B255" s="16">
        <f>HEX2DEC("0B")</f>
        <v>11</v>
      </c>
      <c r="C255" s="17" t="str">
        <f t="array" ref="C255">INDEX(Moves!$B$2:'Moves'!$B$177, SUM(HEX2DEC("37"),1), 1)</f>
        <v>Sand Attack</v>
      </c>
      <c r="D255" s="40">
        <f>HEX2DEC("0B")</f>
        <v>11</v>
      </c>
      <c r="E255" s="17" t="str">
        <f t="array" ref="E255">INDEX(Moves!$B$2:'Moves'!$B$177, SUM(HEX2DEC("37"),1), 1)</f>
        <v>Sand Attack</v>
      </c>
      <c r="F255" s="11">
        <v>10</v>
      </c>
      <c r="G255" s="20" t="str">
        <f>VLOOKUP(F255, TMHM!$B$10:$C1519, 2, FALSE)</f>
        <v>Bite</v>
      </c>
      <c r="H255" s="21"/>
      <c r="I255" s="25"/>
      <c r="J255" s="30"/>
    </row>
    <row r="256" spans="1:10" x14ac:dyDescent="0.2">
      <c r="A256" s="120"/>
      <c r="B256" s="16">
        <f>HEX2DEC("11")</f>
        <v>17</v>
      </c>
      <c r="C256" s="17" t="str">
        <f t="array" ref="C256">INDEX(Moves!$B$2:'Moves'!$B$177, SUM(HEX2DEC("43"),1), 1)</f>
        <v>Poison Sting</v>
      </c>
      <c r="D256" s="40">
        <f>HEX2DEC("11")</f>
        <v>17</v>
      </c>
      <c r="E256" s="17" t="str">
        <f t="array" ref="E256">INDEX(Moves!$B$2:'Moves'!$B$177, SUM(HEX2DEC("43"),1), 1)</f>
        <v>Poison Sting</v>
      </c>
      <c r="F256" s="11">
        <v>15</v>
      </c>
      <c r="G256" s="20" t="str">
        <f>VLOOKUP(F256, TMHM!$B$10:$C1519, 2, FALSE)</f>
        <v>Hyper Beam</v>
      </c>
      <c r="H256" s="21"/>
      <c r="I256" s="25"/>
      <c r="J256" s="30"/>
    </row>
    <row r="257" spans="1:10" x14ac:dyDescent="0.2">
      <c r="A257" s="120"/>
      <c r="B257" s="48">
        <f>HEX2DEC("18")</f>
        <v>24</v>
      </c>
      <c r="C257" s="23" t="str">
        <f t="array" ref="C257">INDEX(Moves!$B$2:'Moves'!$B$177, SUM(HEX2DEC("39"),1), 1)</f>
        <v>Rock Tomb</v>
      </c>
      <c r="D257" s="49">
        <f>HEX2DEC("18")</f>
        <v>24</v>
      </c>
      <c r="E257" s="23" t="s">
        <v>28</v>
      </c>
      <c r="F257" s="11">
        <v>20</v>
      </c>
      <c r="G257" s="20" t="str">
        <f>VLOOKUP(F257, TMHM!$B$10:$C1519, 2, FALSE)</f>
        <v>Iron Defense</v>
      </c>
      <c r="H257" s="21"/>
      <c r="I257" s="25"/>
      <c r="J257" s="30"/>
    </row>
    <row r="258" spans="1:10" x14ac:dyDescent="0.2">
      <c r="A258" s="120"/>
      <c r="B258" s="16">
        <f>HEX2DEC("21")</f>
        <v>33</v>
      </c>
      <c r="C258" s="17" t="str">
        <f t="array" ref="C258">INDEX(Moves!$B$2:'Moves'!$B$177, SUM(HEX2DEC("90"),1), 1)</f>
        <v>Swift</v>
      </c>
      <c r="D258" s="40">
        <f>HEX2DEC("21")</f>
        <v>33</v>
      </c>
      <c r="E258" s="17" t="str">
        <f t="array" ref="E258">INDEX(Moves!$B$2:'Moves'!$B$177, SUM(HEX2DEC("90"),1), 1)</f>
        <v>Swift</v>
      </c>
      <c r="F258" s="11">
        <v>26</v>
      </c>
      <c r="G258" s="20" t="str">
        <f>VLOOKUP(F258, TMHM!$B$10:$C1519, 2, FALSE)</f>
        <v>Earthquake</v>
      </c>
      <c r="H258" s="21"/>
      <c r="I258" s="25"/>
      <c r="J258" s="30"/>
    </row>
    <row r="259" spans="1:10" x14ac:dyDescent="0.2">
      <c r="A259" s="120"/>
      <c r="B259" s="48">
        <f>HEX2DEC("2A")</f>
        <v>42</v>
      </c>
      <c r="C259" s="23" t="str">
        <f t="array" ref="C259">INDEX(Moves!$B$2:'Moves'!$B$177, SUM(HEX2DEC("8B"),1), 1)</f>
        <v>Scratch</v>
      </c>
      <c r="D259" s="49">
        <f>HEX2DEC("2A")</f>
        <v>42</v>
      </c>
      <c r="E259" s="23" t="s">
        <v>71</v>
      </c>
      <c r="F259" s="11">
        <v>28</v>
      </c>
      <c r="G259" s="20" t="str">
        <f>VLOOKUP(F259, TMHM!$B$10:$C1519, 2, FALSE)</f>
        <v>Dig</v>
      </c>
      <c r="H259" s="21"/>
      <c r="I259" s="25"/>
      <c r="J259" s="30"/>
    </row>
    <row r="260" spans="1:10" x14ac:dyDescent="0.2">
      <c r="A260" s="120"/>
      <c r="B260" s="48">
        <f>HEX2DEC("34")</f>
        <v>52</v>
      </c>
      <c r="C260" s="23" t="str">
        <f t="array" ref="C260">INDEX(Moves!$B$2:'Moves'!$B$177, SUM(HEX2DEC("80"),1), 1)</f>
        <v>Bite</v>
      </c>
      <c r="D260" s="49">
        <f>HEX2DEC("34")</f>
        <v>52</v>
      </c>
      <c r="E260" s="23" t="s">
        <v>72</v>
      </c>
      <c r="F260" s="11">
        <v>35</v>
      </c>
      <c r="G260" s="20" t="str">
        <f>VLOOKUP(F260, TMHM!$B$10:$C1519, 2, FALSE)</f>
        <v>Harden</v>
      </c>
      <c r="H260" s="21"/>
      <c r="I260" s="25"/>
      <c r="J260" s="30"/>
    </row>
    <row r="261" spans="1:10" x14ac:dyDescent="0.2">
      <c r="A261" s="120"/>
      <c r="B261" s="73"/>
      <c r="C261" s="74"/>
      <c r="D261" s="60"/>
      <c r="E261" s="74"/>
      <c r="F261" s="11">
        <v>39</v>
      </c>
      <c r="G261" s="20" t="str">
        <f>VLOOKUP(F261, TMHM!$B$10:$C1519, 2, FALSE)</f>
        <v>Rock Tomb</v>
      </c>
      <c r="H261" s="21"/>
      <c r="I261" s="25"/>
      <c r="J261" s="30"/>
    </row>
    <row r="262" spans="1:10" x14ac:dyDescent="0.2">
      <c r="A262" s="121" t="s">
        <v>74</v>
      </c>
      <c r="B262" s="70">
        <f>HEX2DEC("00")</f>
        <v>0</v>
      </c>
      <c r="C262" s="71" t="str">
        <f t="array" ref="C262">INDEX(Moves!$B$2:'Moves'!$B$177, SUM(HEX2DEC("A0"),1), 1)</f>
        <v>Growl</v>
      </c>
      <c r="D262" s="72">
        <f t="shared" ref="D262:D263" si="24">HEX2DEC("01")</f>
        <v>1</v>
      </c>
      <c r="E262" s="71" t="str">
        <f t="array" ref="E262">INDEX(Moves!$B$2:'Moves'!$B$177, SUM(HEX2DEC("A0"),1), 1)</f>
        <v>Growl</v>
      </c>
      <c r="F262" s="41">
        <v>1</v>
      </c>
      <c r="G262" s="12" t="str">
        <f>VLOOKUP(F262, TMHM!$B$10:$C1519, 2, FALSE)</f>
        <v>Focus Punch</v>
      </c>
      <c r="H262" s="13">
        <v>4</v>
      </c>
      <c r="I262" s="14" t="str">
        <f>VLOOKUP(H262, TMHM!$B$2:$C$7, 2, FALSE)</f>
        <v>Strength</v>
      </c>
      <c r="J262" s="30"/>
    </row>
    <row r="263" spans="1:10" x14ac:dyDescent="0.2">
      <c r="A263" s="120"/>
      <c r="B263" s="43">
        <f>HEX2DEC("02")</f>
        <v>2</v>
      </c>
      <c r="C263" s="51" t="str">
        <f t="array" ref="C263">INDEX(Moves!$B$2:'Moves'!$B$177, SUM(HEX2DEC("7F"),1), 1)</f>
        <v>Pursuit</v>
      </c>
      <c r="D263" s="43">
        <f t="shared" si="24"/>
        <v>1</v>
      </c>
      <c r="E263" s="51" t="str">
        <f t="array" ref="E263">INDEX(Moves!$B$2:'Moves'!$B$177, SUM(HEX2DEC("89"),1), 1)</f>
        <v>Tackle</v>
      </c>
      <c r="F263" s="11">
        <v>6</v>
      </c>
      <c r="G263" s="20" t="str">
        <f>VLOOKUP(F263, TMHM!$B$10:$C1519, 2, FALSE)</f>
        <v>Toxic</v>
      </c>
      <c r="H263" s="21"/>
      <c r="I263" s="25"/>
      <c r="J263" s="30"/>
    </row>
    <row r="264" spans="1:10" x14ac:dyDescent="0.2">
      <c r="A264" s="120"/>
      <c r="B264" s="50">
        <f>HEX2DEC("08")</f>
        <v>8</v>
      </c>
      <c r="C264" s="51" t="str">
        <f t="array" ref="C264">INDEX(Moves!$B$2:'Moves'!$B$177, SUM(HEX2DEC("A5"),1), 1)</f>
        <v>Tickle</v>
      </c>
      <c r="D264" s="50">
        <f>HEX2DEC("08")</f>
        <v>8</v>
      </c>
      <c r="E264" s="51" t="str">
        <f t="array" ref="E264">INDEX(Moves!$B$2:'Moves'!$B$177, SUM(HEX2DEC("8B"),1), 1)</f>
        <v>Scratch</v>
      </c>
      <c r="F264" s="11">
        <v>7</v>
      </c>
      <c r="G264" s="20" t="str">
        <f>VLOOKUP(F264, TMHM!$B$10:$C1519, 2, FALSE)</f>
        <v>Secret Power</v>
      </c>
      <c r="H264" s="21"/>
      <c r="I264" s="25"/>
      <c r="J264" s="30"/>
    </row>
    <row r="265" spans="1:10" x14ac:dyDescent="0.2">
      <c r="A265" s="120"/>
      <c r="B265" s="16">
        <f>HEX2DEC("0C")</f>
        <v>12</v>
      </c>
      <c r="C265" s="17" t="str">
        <f t="array" ref="C265">INDEX(Moves!$B$2:'Moves'!$B$177, SUM(HEX2DEC("51"),1), 1)</f>
        <v>Double Kick</v>
      </c>
      <c r="D265" s="16">
        <f>HEX2DEC("0C")</f>
        <v>12</v>
      </c>
      <c r="E265" s="17" t="str">
        <f t="array" ref="E265">INDEX(Moves!$B$2:'Moves'!$B$177, SUM(HEX2DEC("51"),1), 1)</f>
        <v>Double Kick</v>
      </c>
      <c r="F265" s="11">
        <v>8</v>
      </c>
      <c r="G265" s="20" t="str">
        <f>VLOOKUP(F265, TMHM!$B$10:$C1519, 2, FALSE)</f>
        <v>Charm</v>
      </c>
      <c r="H265" s="21"/>
      <c r="I265" s="25"/>
      <c r="J265" s="30"/>
    </row>
    <row r="266" spans="1:10" x14ac:dyDescent="0.2">
      <c r="A266" s="120"/>
      <c r="B266" s="16">
        <f>HEX2DEC("11")</f>
        <v>17</v>
      </c>
      <c r="C266" s="17" t="str">
        <f t="array" ref="C266">INDEX(Moves!$B$2:'Moves'!$B$177, SUM(HEX2DEC("43"),1), 1)</f>
        <v>Poison Sting</v>
      </c>
      <c r="D266" s="16">
        <f>HEX2DEC("11")</f>
        <v>17</v>
      </c>
      <c r="E266" s="17" t="str">
        <f t="array" ref="E266">INDEX(Moves!$B$2:'Moves'!$B$177, SUM(HEX2DEC("43"),1), 1)</f>
        <v>Poison Sting</v>
      </c>
      <c r="F266" s="11">
        <v>10</v>
      </c>
      <c r="G266" s="20" t="str">
        <f>VLOOKUP(F266, TMHM!$B$10:$C1519, 2, FALSE)</f>
        <v>Bite</v>
      </c>
      <c r="H266" s="21"/>
      <c r="I266" s="25"/>
      <c r="J266" s="30"/>
    </row>
    <row r="267" spans="1:10" x14ac:dyDescent="0.2">
      <c r="A267" s="120"/>
      <c r="B267" s="16">
        <f>HEX2DEC("17")</f>
        <v>23</v>
      </c>
      <c r="C267" s="17" t="str">
        <f t="array" ref="C267">INDEX(Moves!$B$2:'Moves'!$B$177, SUM(HEX2DEC("A4"),1), 1)</f>
        <v>Tail Whip</v>
      </c>
      <c r="D267" s="16">
        <f>HEX2DEC("17")</f>
        <v>23</v>
      </c>
      <c r="E267" s="17" t="str">
        <f t="array" ref="E267">INDEX(Moves!$B$2:'Moves'!$B$177, SUM(HEX2DEC("A4"),1), 1)</f>
        <v>Tail Whip</v>
      </c>
      <c r="F267" s="11">
        <v>15</v>
      </c>
      <c r="G267" s="20" t="str">
        <f>VLOOKUP(F267, TMHM!$B$10:$C1519, 2, FALSE)</f>
        <v>Hyper Beam</v>
      </c>
      <c r="H267" s="21"/>
      <c r="I267" s="25"/>
      <c r="J267" s="30"/>
    </row>
    <row r="268" spans="1:10" x14ac:dyDescent="0.2">
      <c r="A268" s="120"/>
      <c r="B268" s="16">
        <f>HEX2DEC("1E")</f>
        <v>30</v>
      </c>
      <c r="C268" s="17" t="str">
        <f t="array" ref="C268">INDEX(Moves!$B$2:'Moves'!$B$177, SUM(HEX2DEC("80"),1), 1)</f>
        <v>Bite</v>
      </c>
      <c r="D268" s="16">
        <f>HEX2DEC("1E")</f>
        <v>30</v>
      </c>
      <c r="E268" s="17" t="str">
        <f t="array" ref="E268">INDEX(Moves!$B$2:'Moves'!$B$177, SUM(HEX2DEC("80"),1), 1)</f>
        <v>Bite</v>
      </c>
      <c r="F268" s="11">
        <v>20</v>
      </c>
      <c r="G268" s="20" t="str">
        <f>VLOOKUP(F268, TMHM!$B$10:$C1519, 2, FALSE)</f>
        <v>Iron Defense</v>
      </c>
      <c r="H268" s="21"/>
      <c r="I268" s="25"/>
      <c r="J268" s="30"/>
    </row>
    <row r="269" spans="1:10" x14ac:dyDescent="0.2">
      <c r="A269" s="120"/>
      <c r="B269" s="48">
        <f>HEX2DEC("26")</f>
        <v>38</v>
      </c>
      <c r="C269" s="23" t="str">
        <f t="array" ref="C269">INDEX(Moves!$B$2:'Moves'!$B$177, SUM(HEX2DEC("57"),1), 1)</f>
        <v>Cross Chop</v>
      </c>
      <c r="D269" s="48">
        <f>HEX2DEC("26")</f>
        <v>38</v>
      </c>
      <c r="E269" s="23" t="s">
        <v>71</v>
      </c>
      <c r="F269" s="11">
        <v>26</v>
      </c>
      <c r="G269" s="20" t="str">
        <f>VLOOKUP(F269, TMHM!$B$10:$C1519, 2, FALSE)</f>
        <v>Earthquake</v>
      </c>
      <c r="H269" s="21"/>
      <c r="I269" s="25"/>
      <c r="J269" s="30"/>
    </row>
    <row r="270" spans="1:10" x14ac:dyDescent="0.2">
      <c r="A270" s="120"/>
      <c r="B270" s="73"/>
      <c r="C270" s="74"/>
      <c r="D270" s="77"/>
      <c r="E270" s="74"/>
      <c r="F270" s="11">
        <v>28</v>
      </c>
      <c r="G270" s="20" t="str">
        <f>VLOOKUP(F270, TMHM!$B$10:$C1519, 2, FALSE)</f>
        <v>Dig</v>
      </c>
      <c r="H270" s="21"/>
      <c r="I270" s="25"/>
      <c r="J270" s="30"/>
    </row>
    <row r="271" spans="1:10" x14ac:dyDescent="0.2">
      <c r="A271" s="120"/>
      <c r="B271" s="73"/>
      <c r="C271" s="74"/>
      <c r="D271" s="77"/>
      <c r="E271" s="74"/>
      <c r="F271" s="11">
        <v>35</v>
      </c>
      <c r="G271" s="20" t="str">
        <f>VLOOKUP(F271, TMHM!$B$10:$C1519, 2, FALSE)</f>
        <v>Harden</v>
      </c>
      <c r="H271" s="21"/>
      <c r="I271" s="25"/>
      <c r="J271" s="30"/>
    </row>
    <row r="272" spans="1:10" x14ac:dyDescent="0.2">
      <c r="A272" s="120"/>
      <c r="B272" s="73"/>
      <c r="C272" s="74"/>
      <c r="D272" s="77"/>
      <c r="E272" s="74"/>
      <c r="F272" s="11">
        <v>36</v>
      </c>
      <c r="G272" s="20" t="str">
        <f>VLOOKUP(F272, TMHM!$B$10:$C1519, 2, FALSE)</f>
        <v>Sludge Bomb</v>
      </c>
      <c r="H272" s="21"/>
      <c r="I272" s="25"/>
      <c r="J272" s="30"/>
    </row>
    <row r="273" spans="1:10" x14ac:dyDescent="0.2">
      <c r="A273" s="121" t="s">
        <v>75</v>
      </c>
      <c r="B273" s="70">
        <f>HEX2DEC("00")</f>
        <v>0</v>
      </c>
      <c r="C273" s="71" t="str">
        <f t="array" ref="C273">INDEX(Moves!$B$2:'Moves'!$B$177, SUM(HEX2DEC("A0"),1), 1)</f>
        <v>Growl</v>
      </c>
      <c r="D273" s="72">
        <f t="shared" ref="D273:D274" si="25">HEX2DEC("01")</f>
        <v>1</v>
      </c>
      <c r="E273" s="71" t="str">
        <f t="array" ref="E273">INDEX(Moves!$B$2:'Moves'!$B$177, SUM(HEX2DEC("A0"),1), 1)</f>
        <v>Growl</v>
      </c>
      <c r="F273" s="41">
        <v>1</v>
      </c>
      <c r="G273" s="12" t="str">
        <f>VLOOKUP(F273, TMHM!$B$10:$C1519, 2, FALSE)</f>
        <v>Focus Punch</v>
      </c>
      <c r="H273" s="13">
        <v>4</v>
      </c>
      <c r="I273" s="14" t="str">
        <f>VLOOKUP(H273, TMHM!$B$2:$C$7, 2, FALSE)</f>
        <v>Strength</v>
      </c>
      <c r="J273" s="30"/>
    </row>
    <row r="274" spans="1:10" x14ac:dyDescent="0.2">
      <c r="A274" s="120"/>
      <c r="B274" s="43">
        <f>HEX2DEC("02")</f>
        <v>2</v>
      </c>
      <c r="C274" s="51" t="str">
        <f t="array" ref="C274">INDEX(Moves!$B$2:'Moves'!$B$177, SUM(HEX2DEC("7F"),1), 1)</f>
        <v>Pursuit</v>
      </c>
      <c r="D274" s="43">
        <f t="shared" si="25"/>
        <v>1</v>
      </c>
      <c r="E274" s="51" t="str">
        <f t="array" ref="E274">INDEX(Moves!$B$2:'Moves'!$B$177, SUM(HEX2DEC("89"),1), 1)</f>
        <v>Tackle</v>
      </c>
      <c r="F274" s="11">
        <v>6</v>
      </c>
      <c r="G274" s="20" t="str">
        <f>VLOOKUP(F274, TMHM!$B$10:$C1519, 2, FALSE)</f>
        <v>Toxic</v>
      </c>
      <c r="H274" s="21"/>
      <c r="I274" s="25"/>
      <c r="J274" s="30"/>
    </row>
    <row r="275" spans="1:10" x14ac:dyDescent="0.2">
      <c r="A275" s="120"/>
      <c r="B275" s="50">
        <f>HEX2DEC("08")</f>
        <v>8</v>
      </c>
      <c r="C275" s="51" t="str">
        <f t="array" ref="C275">INDEX(Moves!$B$2:'Moves'!$B$177, SUM(HEX2DEC("A5"),1), 1)</f>
        <v>Tickle</v>
      </c>
      <c r="D275" s="50">
        <f>HEX2DEC("08")</f>
        <v>8</v>
      </c>
      <c r="E275" s="51" t="str">
        <f t="array" ref="E275">INDEX(Moves!$B$2:'Moves'!$B$177, SUM(HEX2DEC("8B"),1), 1)</f>
        <v>Scratch</v>
      </c>
      <c r="F275" s="11">
        <v>7</v>
      </c>
      <c r="G275" s="20" t="str">
        <f>VLOOKUP(F275, TMHM!$B$10:$C1519, 2, FALSE)</f>
        <v>Secret Power</v>
      </c>
      <c r="H275" s="21"/>
      <c r="I275" s="25"/>
      <c r="J275" s="30"/>
    </row>
    <row r="276" spans="1:10" x14ac:dyDescent="0.2">
      <c r="A276" s="120"/>
      <c r="B276" s="16">
        <f>HEX2DEC("0C")</f>
        <v>12</v>
      </c>
      <c r="C276" s="17" t="str">
        <f t="array" ref="C276">INDEX(Moves!$B$2:'Moves'!$B$177, SUM(HEX2DEC("51"),1), 1)</f>
        <v>Double Kick</v>
      </c>
      <c r="D276" s="16">
        <f>HEX2DEC("0C")</f>
        <v>12</v>
      </c>
      <c r="E276" s="17" t="str">
        <f t="array" ref="E276">INDEX(Moves!$B$2:'Moves'!$B$177, SUM(HEX2DEC("51"),1), 1)</f>
        <v>Double Kick</v>
      </c>
      <c r="F276" s="11">
        <v>8</v>
      </c>
      <c r="G276" s="20" t="str">
        <f>VLOOKUP(F276, TMHM!$B$10:$C1519, 2, FALSE)</f>
        <v>Charm</v>
      </c>
      <c r="H276" s="21"/>
      <c r="I276" s="25"/>
      <c r="J276" s="30"/>
    </row>
    <row r="277" spans="1:10" x14ac:dyDescent="0.2">
      <c r="A277" s="120"/>
      <c r="B277" s="16">
        <f>HEX2DEC("13")</f>
        <v>19</v>
      </c>
      <c r="C277" s="17" t="str">
        <f t="array" ref="C277">INDEX(Moves!$B$2:'Moves'!$B$177, SUM(HEX2DEC("43"),1), 1)</f>
        <v>Poison Sting</v>
      </c>
      <c r="D277" s="16">
        <f>HEX2DEC("13")</f>
        <v>19</v>
      </c>
      <c r="E277" s="17" t="str">
        <f t="array" ref="E277">INDEX(Moves!$B$2:'Moves'!$B$177, SUM(HEX2DEC("43"),1), 1)</f>
        <v>Poison Sting</v>
      </c>
      <c r="F277" s="11">
        <v>10</v>
      </c>
      <c r="G277" s="20" t="str">
        <f>VLOOKUP(F277, TMHM!$B$10:$C1519, 2, FALSE)</f>
        <v>Bite</v>
      </c>
      <c r="H277" s="21"/>
      <c r="I277" s="25"/>
      <c r="J277" s="30"/>
    </row>
    <row r="278" spans="1:10" x14ac:dyDescent="0.2">
      <c r="A278" s="120"/>
      <c r="B278" s="16">
        <f>HEX2DEC("1B")</f>
        <v>27</v>
      </c>
      <c r="C278" s="17" t="str">
        <f t="array" ref="C278">INDEX(Moves!$B$2:'Moves'!$B$177, SUM(HEX2DEC("A4"),1), 1)</f>
        <v>Tail Whip</v>
      </c>
      <c r="D278" s="16">
        <f>HEX2DEC("1B")</f>
        <v>27</v>
      </c>
      <c r="E278" s="17" t="str">
        <f t="array" ref="E278">INDEX(Moves!$B$2:'Moves'!$B$177, SUM(HEX2DEC("A4"),1), 1)</f>
        <v>Tail Whip</v>
      </c>
      <c r="F278" s="11">
        <v>15</v>
      </c>
      <c r="G278" s="20" t="str">
        <f>VLOOKUP(F278, TMHM!$B$10:$C1519, 2, FALSE)</f>
        <v>Hyper Beam</v>
      </c>
      <c r="H278" s="21"/>
      <c r="I278" s="25"/>
      <c r="J278" s="30"/>
    </row>
    <row r="279" spans="1:10" x14ac:dyDescent="0.2">
      <c r="A279" s="120"/>
      <c r="B279" s="16">
        <f>HEX2DEC("24")</f>
        <v>36</v>
      </c>
      <c r="C279" s="17" t="str">
        <f t="array" ref="C279">INDEX(Moves!$B$2:'Moves'!$B$177, SUM(HEX2DEC("80"),1), 1)</f>
        <v>Bite</v>
      </c>
      <c r="D279" s="16">
        <f>HEX2DEC("24")</f>
        <v>36</v>
      </c>
      <c r="E279" s="17" t="str">
        <f t="array" ref="E279">INDEX(Moves!$B$2:'Moves'!$B$177, SUM(HEX2DEC("80"),1), 1)</f>
        <v>Bite</v>
      </c>
      <c r="F279" s="11">
        <v>20</v>
      </c>
      <c r="G279" s="20" t="str">
        <f>VLOOKUP(F279, TMHM!$B$10:$C1519, 2, FALSE)</f>
        <v>Iron Defense</v>
      </c>
      <c r="H279" s="21"/>
      <c r="I279" s="25"/>
      <c r="J279" s="30"/>
    </row>
    <row r="280" spans="1:10" x14ac:dyDescent="0.2">
      <c r="A280" s="120"/>
      <c r="B280" s="48">
        <f>HEX2DEC("2E")</f>
        <v>46</v>
      </c>
      <c r="C280" s="23" t="str">
        <f t="array" ref="C280">INDEX(Moves!$B$2:'Moves'!$B$177, SUM(HEX2DEC("57"),1), 1)</f>
        <v>Cross Chop</v>
      </c>
      <c r="D280" s="48">
        <f>HEX2DEC("2E")</f>
        <v>46</v>
      </c>
      <c r="E280" s="23" t="s">
        <v>71</v>
      </c>
      <c r="F280" s="11">
        <v>26</v>
      </c>
      <c r="G280" s="20" t="str">
        <f>VLOOKUP(F280, TMHM!$B$10:$C1519, 2, FALSE)</f>
        <v>Earthquake</v>
      </c>
      <c r="H280" s="21"/>
      <c r="I280" s="25"/>
      <c r="J280" s="30"/>
    </row>
    <row r="281" spans="1:10" x14ac:dyDescent="0.2">
      <c r="A281" s="120"/>
      <c r="B281" s="73"/>
      <c r="C281" s="74"/>
      <c r="D281" s="77"/>
      <c r="E281" s="74"/>
      <c r="F281" s="11">
        <v>28</v>
      </c>
      <c r="G281" s="20" t="str">
        <f>VLOOKUP(F281, TMHM!$B$10:$C1519, 2, FALSE)</f>
        <v>Dig</v>
      </c>
      <c r="H281" s="21"/>
      <c r="I281" s="25"/>
      <c r="J281" s="30"/>
    </row>
    <row r="282" spans="1:10" x14ac:dyDescent="0.2">
      <c r="A282" s="120"/>
      <c r="B282" s="73"/>
      <c r="C282" s="74"/>
      <c r="D282" s="77"/>
      <c r="E282" s="74"/>
      <c r="F282" s="11">
        <v>35</v>
      </c>
      <c r="G282" s="20" t="str">
        <f>VLOOKUP(F282, TMHM!$B$10:$C1519, 2, FALSE)</f>
        <v>Harden</v>
      </c>
      <c r="H282" s="21"/>
      <c r="I282" s="25"/>
      <c r="J282" s="30"/>
    </row>
    <row r="283" spans="1:10" x14ac:dyDescent="0.2">
      <c r="A283" s="120"/>
      <c r="B283" s="73"/>
      <c r="C283" s="74"/>
      <c r="D283" s="77"/>
      <c r="E283" s="74"/>
      <c r="F283" s="11">
        <v>36</v>
      </c>
      <c r="G283" s="20" t="str">
        <f>VLOOKUP(F283, TMHM!$B$10:$C1519, 2, FALSE)</f>
        <v>Sludge Bomb</v>
      </c>
      <c r="H283" s="21"/>
      <c r="I283" s="25"/>
      <c r="J283" s="30"/>
    </row>
    <row r="284" spans="1:10" x14ac:dyDescent="0.2">
      <c r="A284" s="121" t="s">
        <v>76</v>
      </c>
      <c r="B284" s="64">
        <f>HEX2DEC("00")</f>
        <v>0</v>
      </c>
      <c r="C284" s="65" t="str">
        <f t="array" ref="C284">INDEX(Moves!$B$2:'Moves'!$B$177, SUM(HEX2DEC("7F"),1), 1)</f>
        <v>Pursuit</v>
      </c>
      <c r="D284" s="66">
        <f t="shared" ref="D284:D287" si="26">HEX2DEC("01")</f>
        <v>1</v>
      </c>
      <c r="E284" s="65" t="str">
        <f t="array" ref="E284">INDEX(Moves!$B$2:'Moves'!$B$177, SUM(HEX2DEC("89"),1), 1)</f>
        <v>Tackle</v>
      </c>
      <c r="F284" s="41">
        <v>1</v>
      </c>
      <c r="G284" s="12" t="str">
        <f>VLOOKUP(F284, TMHM!$B$10:$C1519, 2, FALSE)</f>
        <v>Focus Punch</v>
      </c>
      <c r="H284" s="13">
        <v>4</v>
      </c>
      <c r="I284" s="14" t="str">
        <f>VLOOKUP(H284, TMHM!$B$2:$C$7, 2, FALSE)</f>
        <v>Strength</v>
      </c>
      <c r="J284" s="30"/>
    </row>
    <row r="285" spans="1:10" x14ac:dyDescent="0.2">
      <c r="A285" s="120"/>
      <c r="B285" s="43">
        <f>HEX2DEC("08")</f>
        <v>8</v>
      </c>
      <c r="C285" s="51" t="str">
        <f t="array" ref="C285">INDEX(Moves!$B$2:'Moves'!$B$177, SUM(HEX2DEC("A5"),1), 1)</f>
        <v>Tickle</v>
      </c>
      <c r="D285" s="43">
        <f t="shared" si="26"/>
        <v>1</v>
      </c>
      <c r="E285" s="51" t="str">
        <f t="array" ref="E285">INDEX(Moves!$B$2:'Moves'!$B$177, SUM(HEX2DEC("8B"),1), 1)</f>
        <v>Scratch</v>
      </c>
      <c r="F285" s="11">
        <v>6</v>
      </c>
      <c r="G285" s="20" t="str">
        <f>VLOOKUP(F285, TMHM!$B$10:$C1519, 2, FALSE)</f>
        <v>Toxic</v>
      </c>
      <c r="H285" s="21"/>
      <c r="I285" s="25"/>
      <c r="J285" s="30"/>
    </row>
    <row r="286" spans="1:10" x14ac:dyDescent="0.2">
      <c r="A286" s="120"/>
      <c r="B286" s="43">
        <f>HEX2DEC("0C")</f>
        <v>12</v>
      </c>
      <c r="C286" s="17" t="str">
        <f t="array" ref="C286">INDEX(Moves!$B$2:'Moves'!$B$177, SUM(HEX2DEC("51"),1), 1)</f>
        <v>Double Kick</v>
      </c>
      <c r="D286" s="43">
        <f t="shared" si="26"/>
        <v>1</v>
      </c>
      <c r="E286" s="17" t="str">
        <f t="array" ref="E286">INDEX(Moves!$B$2:'Moves'!$B$177, SUM(HEX2DEC("51"),1), 1)</f>
        <v>Double Kick</v>
      </c>
      <c r="F286" s="11">
        <v>7</v>
      </c>
      <c r="G286" s="20" t="str">
        <f>VLOOKUP(F286, TMHM!$B$10:$C1519, 2, FALSE)</f>
        <v>Secret Power</v>
      </c>
      <c r="H286" s="21"/>
      <c r="I286" s="25"/>
      <c r="J286" s="30"/>
    </row>
    <row r="287" spans="1:10" x14ac:dyDescent="0.2">
      <c r="A287" s="120"/>
      <c r="B287" s="43">
        <f>HEX2DEC("14")</f>
        <v>20</v>
      </c>
      <c r="C287" s="17" t="str">
        <f t="array" ref="C287">INDEX(Moves!$B$2:'Moves'!$B$177, SUM(HEX2DEC("A4"),1), 1)</f>
        <v>Tail Whip</v>
      </c>
      <c r="D287" s="43">
        <f t="shared" si="26"/>
        <v>1</v>
      </c>
      <c r="E287" s="17" t="str">
        <f t="array" ref="E287">INDEX(Moves!$B$2:'Moves'!$B$177, SUM(HEX2DEC("A4"),1), 1)</f>
        <v>Tail Whip</v>
      </c>
      <c r="F287" s="11">
        <v>8</v>
      </c>
      <c r="G287" s="20" t="str">
        <f>VLOOKUP(F287, TMHM!$B$10:$C1519, 2, FALSE)</f>
        <v>Charm</v>
      </c>
      <c r="H287" s="21"/>
      <c r="I287" s="25"/>
      <c r="J287" s="30"/>
    </row>
    <row r="288" spans="1:10" x14ac:dyDescent="0.2">
      <c r="A288" s="120"/>
      <c r="B288" s="48">
        <f>HEX2DEC("17")</f>
        <v>23</v>
      </c>
      <c r="C288" s="23" t="str">
        <f t="array" ref="C288">INDEX(Moves!$B$2:'Moves'!$B$177, SUM(HEX2DEC("92"),1), 1)</f>
        <v>Crush Claw</v>
      </c>
      <c r="D288" s="48">
        <f>HEX2DEC("17")</f>
        <v>23</v>
      </c>
      <c r="E288" s="23" t="s">
        <v>77</v>
      </c>
      <c r="F288" s="11">
        <v>10</v>
      </c>
      <c r="G288" s="20" t="str">
        <f>VLOOKUP(F288, TMHM!$B$10:$C1519, 2, FALSE)</f>
        <v>Bite</v>
      </c>
      <c r="H288" s="21"/>
      <c r="I288" s="25"/>
      <c r="J288" s="30"/>
    </row>
    <row r="289" spans="1:10" x14ac:dyDescent="0.2">
      <c r="A289" s="120"/>
      <c r="B289" s="73"/>
      <c r="C289" s="74"/>
      <c r="D289" s="77"/>
      <c r="E289" s="74"/>
      <c r="F289" s="11">
        <v>15</v>
      </c>
      <c r="G289" s="20" t="str">
        <f>VLOOKUP(F289, TMHM!$B$10:$C1519, 2, FALSE)</f>
        <v>Hyper Beam</v>
      </c>
      <c r="H289" s="21"/>
      <c r="I289" s="25"/>
      <c r="J289" s="30"/>
    </row>
    <row r="290" spans="1:10" x14ac:dyDescent="0.2">
      <c r="A290" s="120"/>
      <c r="B290" s="73"/>
      <c r="C290" s="74"/>
      <c r="D290" s="77"/>
      <c r="E290" s="74"/>
      <c r="F290" s="11">
        <v>20</v>
      </c>
      <c r="G290" s="20" t="str">
        <f>VLOOKUP(F290, TMHM!$B$10:$C1519, 2, FALSE)</f>
        <v>Iron Defense</v>
      </c>
      <c r="H290" s="21"/>
      <c r="I290" s="25"/>
      <c r="J290" s="30"/>
    </row>
    <row r="291" spans="1:10" x14ac:dyDescent="0.2">
      <c r="A291" s="120"/>
      <c r="B291" s="73"/>
      <c r="C291" s="74"/>
      <c r="D291" s="77"/>
      <c r="E291" s="74"/>
      <c r="F291" s="11">
        <v>26</v>
      </c>
      <c r="G291" s="20" t="str">
        <f>VLOOKUP(F291, TMHM!$B$10:$C1519, 2, FALSE)</f>
        <v>Earthquake</v>
      </c>
      <c r="H291" s="21"/>
      <c r="I291" s="25"/>
      <c r="J291" s="30"/>
    </row>
    <row r="292" spans="1:10" x14ac:dyDescent="0.2">
      <c r="A292" s="120"/>
      <c r="B292" s="73"/>
      <c r="C292" s="74"/>
      <c r="D292" s="77"/>
      <c r="E292" s="74"/>
      <c r="F292" s="11">
        <v>28</v>
      </c>
      <c r="G292" s="20" t="str">
        <f>VLOOKUP(F292, TMHM!$B$10:$C1519, 2, FALSE)</f>
        <v>Dig</v>
      </c>
      <c r="H292" s="21"/>
      <c r="I292" s="25"/>
      <c r="J292" s="30"/>
    </row>
    <row r="293" spans="1:10" x14ac:dyDescent="0.2">
      <c r="A293" s="120"/>
      <c r="B293" s="73"/>
      <c r="C293" s="74"/>
      <c r="D293" s="77"/>
      <c r="E293" s="74"/>
      <c r="F293" s="11">
        <v>35</v>
      </c>
      <c r="G293" s="20" t="str">
        <f>VLOOKUP(F293, TMHM!$B$10:$C1519, 2, FALSE)</f>
        <v>Harden</v>
      </c>
      <c r="H293" s="21"/>
      <c r="I293" s="25"/>
      <c r="J293" s="30"/>
    </row>
    <row r="294" spans="1:10" x14ac:dyDescent="0.2">
      <c r="A294" s="120"/>
      <c r="B294" s="73"/>
      <c r="C294" s="74"/>
      <c r="D294" s="77"/>
      <c r="E294" s="74"/>
      <c r="F294" s="11">
        <v>36</v>
      </c>
      <c r="G294" s="20" t="str">
        <f>VLOOKUP(F294, TMHM!$B$10:$C1519, 2, FALSE)</f>
        <v>Sludge Bomb</v>
      </c>
      <c r="H294" s="21"/>
      <c r="I294" s="25"/>
      <c r="J294" s="30"/>
    </row>
    <row r="295" spans="1:10" x14ac:dyDescent="0.2">
      <c r="A295" s="121" t="s">
        <v>78</v>
      </c>
      <c r="B295" s="61">
        <f>HEX2DEC("00")</f>
        <v>0</v>
      </c>
      <c r="C295" s="62" t="str">
        <f t="array" ref="C295">INDEX(Moves!$B$2:'Moves'!$B$177, SUM(HEX2DEC("A0"),1), 1)</f>
        <v>Growl</v>
      </c>
      <c r="D295" s="78">
        <f t="shared" ref="D295:D296" si="27">HEX2DEC("01")</f>
        <v>1</v>
      </c>
      <c r="E295" s="62" t="str">
        <f t="array" ref="E295">INDEX(Moves!$B$2:'Moves'!$B$177, SUM(HEX2DEC("A0"),1), 1)</f>
        <v>Growl</v>
      </c>
      <c r="F295" s="41">
        <v>1</v>
      </c>
      <c r="G295" s="12" t="str">
        <f>VLOOKUP(F295, TMHM!$B$10:$C1519, 2, FALSE)</f>
        <v>Focus Punch</v>
      </c>
      <c r="H295" s="13">
        <v>4</v>
      </c>
      <c r="I295" s="14" t="str">
        <f>VLOOKUP(H295, TMHM!$B$2:$C$7, 2, FALSE)</f>
        <v>Strength</v>
      </c>
      <c r="J295" s="30"/>
    </row>
    <row r="296" spans="1:10" x14ac:dyDescent="0.2">
      <c r="A296" s="120"/>
      <c r="B296" s="43">
        <f>HEX2DEC("02")</f>
        <v>2</v>
      </c>
      <c r="C296" s="51" t="str">
        <f t="array" ref="C296">INDEX(Moves!$B$2:'Moves'!$B$177, SUM(HEX2DEC("7F"),1), 1)</f>
        <v>Pursuit</v>
      </c>
      <c r="D296" s="43">
        <f t="shared" si="27"/>
        <v>1</v>
      </c>
      <c r="E296" s="51" t="str">
        <f t="array" ref="E296">INDEX(Moves!$B$2:'Moves'!$B$177, SUM(HEX2DEC("89"),1), 1)</f>
        <v>Tackle</v>
      </c>
      <c r="F296" s="11">
        <v>6</v>
      </c>
      <c r="G296" s="20" t="str">
        <f>VLOOKUP(F296, TMHM!$B$10:$C1519, 2, FALSE)</f>
        <v>Toxic</v>
      </c>
      <c r="H296" s="21"/>
      <c r="I296" s="25"/>
      <c r="J296" s="30"/>
    </row>
    <row r="297" spans="1:10" x14ac:dyDescent="0.2">
      <c r="A297" s="120"/>
      <c r="B297" s="50">
        <f>HEX2DEC("08")</f>
        <v>8</v>
      </c>
      <c r="C297" s="51" t="str">
        <f t="array" ref="C297">INDEX(Moves!$B$2:'Moves'!$B$177, SUM(HEX2DEC("A5"),1), 1)</f>
        <v>Tickle</v>
      </c>
      <c r="D297" s="50">
        <f>HEX2DEC("08")</f>
        <v>8</v>
      </c>
      <c r="E297" s="51" t="str">
        <f t="array" ref="E297">INDEX(Moves!$B$2:'Moves'!$B$177, SUM(HEX2DEC("91"),1), 1)</f>
        <v>Horn Attack</v>
      </c>
      <c r="F297" s="11">
        <v>7</v>
      </c>
      <c r="G297" s="20" t="str">
        <f>VLOOKUP(F297, TMHM!$B$10:$C1519, 2, FALSE)</f>
        <v>Secret Power</v>
      </c>
      <c r="H297" s="21"/>
      <c r="I297" s="25"/>
      <c r="J297" s="30"/>
    </row>
    <row r="298" spans="1:10" x14ac:dyDescent="0.2">
      <c r="A298" s="120"/>
      <c r="B298" s="16">
        <f>HEX2DEC("0C")</f>
        <v>12</v>
      </c>
      <c r="C298" s="17" t="str">
        <f t="array" ref="C298">INDEX(Moves!$B$2:'Moves'!$B$177, SUM(HEX2DEC("51"),1), 1)</f>
        <v>Double Kick</v>
      </c>
      <c r="D298" s="16">
        <f>HEX2DEC("0C")</f>
        <v>12</v>
      </c>
      <c r="E298" s="17" t="str">
        <f t="array" ref="E298">INDEX(Moves!$B$2:'Moves'!$B$177, SUM(HEX2DEC("51"),1), 1)</f>
        <v>Double Kick</v>
      </c>
      <c r="F298" s="11">
        <v>8</v>
      </c>
      <c r="G298" s="20" t="str">
        <f>VLOOKUP(F298, TMHM!$B$10:$C1519, 2, FALSE)</f>
        <v>Charm</v>
      </c>
      <c r="H298" s="21"/>
      <c r="I298" s="25"/>
      <c r="J298" s="30"/>
    </row>
    <row r="299" spans="1:10" x14ac:dyDescent="0.2">
      <c r="A299" s="120"/>
      <c r="B299" s="16">
        <f>HEX2DEC("11")</f>
        <v>17</v>
      </c>
      <c r="C299" s="17" t="str">
        <f t="array" ref="C299">INDEX(Moves!$B$2:'Moves'!$B$177, SUM(HEX2DEC("43"),1), 1)</f>
        <v>Poison Sting</v>
      </c>
      <c r="D299" s="16">
        <f>HEX2DEC("11")</f>
        <v>17</v>
      </c>
      <c r="E299" s="17" t="str">
        <f t="array" ref="E299">INDEX(Moves!$B$2:'Moves'!$B$177, SUM(HEX2DEC("43"),1), 1)</f>
        <v>Poison Sting</v>
      </c>
      <c r="F299" s="11">
        <v>10</v>
      </c>
      <c r="G299" s="20" t="str">
        <f>VLOOKUP(F299, TMHM!$B$10:$C1519, 2, FALSE)</f>
        <v>Bite</v>
      </c>
      <c r="H299" s="21"/>
      <c r="I299" s="25"/>
      <c r="J299" s="30"/>
    </row>
    <row r="300" spans="1:10" x14ac:dyDescent="0.2">
      <c r="A300" s="120"/>
      <c r="B300" s="48">
        <f>HEX2DEC("17")</f>
        <v>23</v>
      </c>
      <c r="C300" s="23" t="str">
        <f t="array" ref="C300">INDEX(Moves!$B$2:'Moves'!$B$177, SUM(HEX2DEC("A4"),1), 1)</f>
        <v>Tail Whip</v>
      </c>
      <c r="D300" s="48">
        <f>HEX2DEC("17")</f>
        <v>23</v>
      </c>
      <c r="E300" s="23" t="s">
        <v>49</v>
      </c>
      <c r="F300" s="11">
        <v>15</v>
      </c>
      <c r="G300" s="20" t="str">
        <f>VLOOKUP(F300, TMHM!$B$10:$C1519, 2, FALSE)</f>
        <v>Hyper Beam</v>
      </c>
      <c r="H300" s="21"/>
      <c r="I300" s="25"/>
      <c r="J300" s="30"/>
    </row>
    <row r="301" spans="1:10" x14ac:dyDescent="0.2">
      <c r="A301" s="120"/>
      <c r="B301" s="48">
        <f>HEX2DEC("1E")</f>
        <v>30</v>
      </c>
      <c r="C301" s="23" t="str">
        <f t="array" ref="C301">INDEX(Moves!$B$2:'Moves'!$B$177, SUM(HEX2DEC("80"),1), 1)</f>
        <v>Bite</v>
      </c>
      <c r="D301" s="48">
        <f>HEX2DEC("1E")</f>
        <v>30</v>
      </c>
      <c r="E301" s="23" t="s">
        <v>48</v>
      </c>
      <c r="F301" s="11">
        <v>20</v>
      </c>
      <c r="G301" s="20" t="str">
        <f>VLOOKUP(F301, TMHM!$B$10:$C1519, 2, FALSE)</f>
        <v>Iron Defense</v>
      </c>
      <c r="H301" s="21"/>
      <c r="I301" s="25"/>
      <c r="J301" s="30"/>
    </row>
    <row r="302" spans="1:10" x14ac:dyDescent="0.2">
      <c r="A302" s="120"/>
      <c r="B302" s="50">
        <f>HEX2DEC("26")</f>
        <v>38</v>
      </c>
      <c r="C302" s="51" t="str">
        <f t="array" ref="C302">INDEX(Moves!$B$2:'Moves'!$B$177, SUM(HEX2DEC("57"),1), 1)</f>
        <v>Cross Chop</v>
      </c>
      <c r="D302" s="50">
        <f>HEX2DEC("26")</f>
        <v>38</v>
      </c>
      <c r="E302" s="51" t="s">
        <v>79</v>
      </c>
      <c r="F302" s="11">
        <v>26</v>
      </c>
      <c r="G302" s="20" t="str">
        <f>VLOOKUP(F302, TMHM!$B$10:$C1519, 2, FALSE)</f>
        <v>Earthquake</v>
      </c>
      <c r="H302" s="21"/>
      <c r="I302" s="25"/>
      <c r="J302" s="30"/>
    </row>
    <row r="303" spans="1:10" x14ac:dyDescent="0.2">
      <c r="A303" s="120"/>
      <c r="B303" s="73"/>
      <c r="C303" s="74"/>
      <c r="D303" s="77"/>
      <c r="E303" s="74"/>
      <c r="F303" s="11">
        <v>28</v>
      </c>
      <c r="G303" s="20" t="str">
        <f>VLOOKUP(F303, TMHM!$B$10:$C1519, 2, FALSE)</f>
        <v>Dig</v>
      </c>
      <c r="H303" s="21"/>
      <c r="I303" s="25"/>
      <c r="J303" s="30"/>
    </row>
    <row r="304" spans="1:10" x14ac:dyDescent="0.2">
      <c r="A304" s="120"/>
      <c r="B304" s="73"/>
      <c r="C304" s="74"/>
      <c r="D304" s="77"/>
      <c r="E304" s="74"/>
      <c r="F304" s="11">
        <v>35</v>
      </c>
      <c r="G304" s="20" t="str">
        <f>VLOOKUP(F304, TMHM!$B$10:$C1519, 2, FALSE)</f>
        <v>Harden</v>
      </c>
      <c r="H304" s="21"/>
      <c r="I304" s="25"/>
      <c r="J304" s="30"/>
    </row>
    <row r="305" spans="1:10" x14ac:dyDescent="0.2">
      <c r="A305" s="120"/>
      <c r="B305" s="73"/>
      <c r="C305" s="74"/>
      <c r="D305" s="77"/>
      <c r="E305" s="74"/>
      <c r="F305" s="11">
        <v>36</v>
      </c>
      <c r="G305" s="20" t="str">
        <f>VLOOKUP(F305, TMHM!$B$10:$C1519, 2, FALSE)</f>
        <v>Sludge Bomb</v>
      </c>
      <c r="H305" s="21"/>
      <c r="I305" s="25"/>
      <c r="J305" s="30"/>
    </row>
    <row r="306" spans="1:10" x14ac:dyDescent="0.2">
      <c r="A306" s="121" t="s">
        <v>80</v>
      </c>
      <c r="B306" s="61">
        <f>HEX2DEC("00")</f>
        <v>0</v>
      </c>
      <c r="C306" s="62" t="str">
        <f t="array" ref="C306">INDEX(Moves!$B$2:'Moves'!$B$177, SUM(HEX2DEC("A0"),1), 1)</f>
        <v>Growl</v>
      </c>
      <c r="D306" s="78">
        <f t="shared" ref="D306:D307" si="28">HEX2DEC("01")</f>
        <v>1</v>
      </c>
      <c r="E306" s="62" t="str">
        <f t="array" ref="E306">INDEX(Moves!$B$2:'Moves'!$B$177, SUM(HEX2DEC("A0"),1), 1)</f>
        <v>Growl</v>
      </c>
      <c r="F306" s="41">
        <v>1</v>
      </c>
      <c r="G306" s="12" t="str">
        <f>VLOOKUP(F306, TMHM!$B$10:$C1519, 2, FALSE)</f>
        <v>Focus Punch</v>
      </c>
      <c r="H306" s="13">
        <v>4</v>
      </c>
      <c r="I306" s="14" t="str">
        <f>VLOOKUP(H306, TMHM!$B$2:$C$7, 2, FALSE)</f>
        <v>Strength</v>
      </c>
      <c r="J306" s="30"/>
    </row>
    <row r="307" spans="1:10" x14ac:dyDescent="0.2">
      <c r="A307" s="120"/>
      <c r="B307" s="43">
        <f>HEX2DEC("02")</f>
        <v>2</v>
      </c>
      <c r="C307" s="51" t="str">
        <f t="array" ref="C307">INDEX(Moves!$B$2:'Moves'!$B$177, SUM(HEX2DEC("7F"),1), 1)</f>
        <v>Pursuit</v>
      </c>
      <c r="D307" s="43">
        <f t="shared" si="28"/>
        <v>1</v>
      </c>
      <c r="E307" s="51" t="str">
        <f t="array" ref="E307">INDEX(Moves!$B$2:'Moves'!$B$177, SUM(HEX2DEC("89"),1), 1)</f>
        <v>Tackle</v>
      </c>
      <c r="F307" s="11">
        <v>6</v>
      </c>
      <c r="G307" s="20" t="str">
        <f>VLOOKUP(F307, TMHM!$B$10:$C1519, 2, FALSE)</f>
        <v>Toxic</v>
      </c>
      <c r="H307" s="21"/>
      <c r="I307" s="25"/>
      <c r="J307" s="30"/>
    </row>
    <row r="308" spans="1:10" x14ac:dyDescent="0.2">
      <c r="A308" s="120"/>
      <c r="B308" s="50">
        <f>HEX2DEC("08")</f>
        <v>8</v>
      </c>
      <c r="C308" s="51" t="str">
        <f t="array" ref="C308">INDEX(Moves!$B$2:'Moves'!$B$177, SUM(HEX2DEC("A5"),1), 1)</f>
        <v>Tickle</v>
      </c>
      <c r="D308" s="50">
        <f>HEX2DEC("08")</f>
        <v>8</v>
      </c>
      <c r="E308" s="51" t="str">
        <f t="array" ref="E308">INDEX(Moves!$B$2:'Moves'!$B$177, SUM(HEX2DEC("91"),1), 1)</f>
        <v>Horn Attack</v>
      </c>
      <c r="F308" s="11">
        <v>7</v>
      </c>
      <c r="G308" s="20" t="str">
        <f>VLOOKUP(F308, TMHM!$B$10:$C1519, 2, FALSE)</f>
        <v>Secret Power</v>
      </c>
      <c r="H308" s="21"/>
      <c r="I308" s="25"/>
      <c r="J308" s="30"/>
    </row>
    <row r="309" spans="1:10" x14ac:dyDescent="0.2">
      <c r="A309" s="120"/>
      <c r="B309" s="16">
        <f>HEX2DEC("0C")</f>
        <v>12</v>
      </c>
      <c r="C309" s="17" t="str">
        <f t="array" ref="C309">INDEX(Moves!$B$2:'Moves'!$B$177, SUM(HEX2DEC("51"),1), 1)</f>
        <v>Double Kick</v>
      </c>
      <c r="D309" s="16">
        <f>HEX2DEC("0C")</f>
        <v>12</v>
      </c>
      <c r="E309" s="17" t="str">
        <f t="array" ref="E309">INDEX(Moves!$B$2:'Moves'!$B$177, SUM(HEX2DEC("51"),1), 1)</f>
        <v>Double Kick</v>
      </c>
      <c r="F309" s="11">
        <v>8</v>
      </c>
      <c r="G309" s="20" t="str">
        <f>VLOOKUP(F309, TMHM!$B$10:$C1519, 2, FALSE)</f>
        <v>Charm</v>
      </c>
      <c r="H309" s="21"/>
      <c r="I309" s="25"/>
      <c r="J309" s="30"/>
    </row>
    <row r="310" spans="1:10" x14ac:dyDescent="0.2">
      <c r="A310" s="120"/>
      <c r="B310" s="16">
        <f>HEX2DEC("13")</f>
        <v>19</v>
      </c>
      <c r="C310" s="17" t="str">
        <f t="array" ref="C310">INDEX(Moves!$B$2:'Moves'!$B$177, SUM(HEX2DEC("43"),1), 1)</f>
        <v>Poison Sting</v>
      </c>
      <c r="D310" s="16">
        <f>HEX2DEC("13")</f>
        <v>19</v>
      </c>
      <c r="E310" s="17" t="str">
        <f t="array" ref="E310">INDEX(Moves!$B$2:'Moves'!$B$177, SUM(HEX2DEC("43"),1), 1)</f>
        <v>Poison Sting</v>
      </c>
      <c r="F310" s="11">
        <v>10</v>
      </c>
      <c r="G310" s="20" t="str">
        <f>VLOOKUP(F310, TMHM!$B$10:$C1519, 2, FALSE)</f>
        <v>Bite</v>
      </c>
      <c r="H310" s="21"/>
      <c r="I310" s="25"/>
      <c r="J310" s="30"/>
    </row>
    <row r="311" spans="1:10" x14ac:dyDescent="0.2">
      <c r="A311" s="120"/>
      <c r="B311" s="48">
        <f>HEX2DEC("1B")</f>
        <v>27</v>
      </c>
      <c r="C311" s="23" t="str">
        <f t="array" ref="C311">INDEX(Moves!$B$2:'Moves'!$B$177, SUM(HEX2DEC("A4"),1), 1)</f>
        <v>Tail Whip</v>
      </c>
      <c r="D311" s="48">
        <f>HEX2DEC("1B")</f>
        <v>27</v>
      </c>
      <c r="E311" s="23" t="s">
        <v>49</v>
      </c>
      <c r="F311" s="11">
        <v>15</v>
      </c>
      <c r="G311" s="20" t="str">
        <f>VLOOKUP(F311, TMHM!$B$10:$C1519, 2, FALSE)</f>
        <v>Hyper Beam</v>
      </c>
      <c r="H311" s="21"/>
      <c r="I311" s="25"/>
      <c r="J311" s="30"/>
    </row>
    <row r="312" spans="1:10" x14ac:dyDescent="0.2">
      <c r="A312" s="120"/>
      <c r="B312" s="48">
        <f>HEX2DEC("24")</f>
        <v>36</v>
      </c>
      <c r="C312" s="23" t="str">
        <f t="array" ref="C312">INDEX(Moves!$B$2:'Moves'!$B$177, SUM(HEX2DEC("80"),1), 1)</f>
        <v>Bite</v>
      </c>
      <c r="D312" s="48">
        <f>HEX2DEC("24")</f>
        <v>36</v>
      </c>
      <c r="E312" s="23" t="s">
        <v>48</v>
      </c>
      <c r="F312" s="11">
        <v>20</v>
      </c>
      <c r="G312" s="20" t="str">
        <f>VLOOKUP(F312, TMHM!$B$10:$C1519, 2, FALSE)</f>
        <v>Iron Defense</v>
      </c>
      <c r="H312" s="21"/>
      <c r="I312" s="25"/>
      <c r="J312" s="30"/>
    </row>
    <row r="313" spans="1:10" x14ac:dyDescent="0.2">
      <c r="A313" s="120"/>
      <c r="B313" s="50">
        <f>HEX2DEC("2E")</f>
        <v>46</v>
      </c>
      <c r="C313" s="51" t="str">
        <f t="array" ref="C313">INDEX(Moves!$B$2:'Moves'!$B$177, SUM(HEX2DEC("57"),1), 1)</f>
        <v>Cross Chop</v>
      </c>
      <c r="D313" s="50">
        <f>HEX2DEC("2E")</f>
        <v>46</v>
      </c>
      <c r="E313" s="51" t="s">
        <v>79</v>
      </c>
      <c r="F313" s="11">
        <v>26</v>
      </c>
      <c r="G313" s="20" t="str">
        <f>VLOOKUP(F313, TMHM!$B$10:$C1519, 2, FALSE)</f>
        <v>Earthquake</v>
      </c>
      <c r="H313" s="21"/>
      <c r="I313" s="25"/>
      <c r="J313" s="30"/>
    </row>
    <row r="314" spans="1:10" x14ac:dyDescent="0.2">
      <c r="A314" s="120"/>
      <c r="B314" s="73"/>
      <c r="C314" s="74"/>
      <c r="D314" s="77"/>
      <c r="E314" s="74"/>
      <c r="F314" s="11">
        <v>28</v>
      </c>
      <c r="G314" s="20" t="str">
        <f>VLOOKUP(F314, TMHM!$B$10:$C1519, 2, FALSE)</f>
        <v>Dig</v>
      </c>
      <c r="H314" s="21"/>
      <c r="I314" s="25"/>
      <c r="J314" s="30"/>
    </row>
    <row r="315" spans="1:10" x14ac:dyDescent="0.2">
      <c r="A315" s="120"/>
      <c r="B315" s="73"/>
      <c r="C315" s="74"/>
      <c r="D315" s="77"/>
      <c r="E315" s="74"/>
      <c r="F315" s="11">
        <v>35</v>
      </c>
      <c r="G315" s="20" t="str">
        <f>VLOOKUP(F315, TMHM!$B$10:$C1519, 2, FALSE)</f>
        <v>Harden</v>
      </c>
      <c r="H315" s="21"/>
      <c r="I315" s="25"/>
      <c r="J315" s="30"/>
    </row>
    <row r="316" spans="1:10" x14ac:dyDescent="0.2">
      <c r="A316" s="120"/>
      <c r="B316" s="73"/>
      <c r="C316" s="74"/>
      <c r="D316" s="77"/>
      <c r="E316" s="74"/>
      <c r="F316" s="11">
        <v>36</v>
      </c>
      <c r="G316" s="20" t="str">
        <f>VLOOKUP(F316, TMHM!$B$10:$C1519, 2, FALSE)</f>
        <v>Sludge Bomb</v>
      </c>
      <c r="H316" s="21"/>
      <c r="I316" s="25"/>
      <c r="J316" s="30"/>
    </row>
    <row r="317" spans="1:10" x14ac:dyDescent="0.2">
      <c r="A317" s="121" t="s">
        <v>81</v>
      </c>
      <c r="B317" s="64">
        <f>HEX2DEC("00")</f>
        <v>0</v>
      </c>
      <c r="C317" s="65" t="str">
        <f t="array" ref="C317">INDEX(Moves!$B$2:'Moves'!$B$177, SUM(HEX2DEC("7F"),1), 1)</f>
        <v>Pursuit</v>
      </c>
      <c r="D317" s="66">
        <f t="shared" ref="D317:D320" si="29">HEX2DEC("01")</f>
        <v>1</v>
      </c>
      <c r="E317" s="65" t="str">
        <f t="array" ref="E317">INDEX(Moves!$B$2:'Moves'!$B$177, SUM(HEX2DEC("89"),1), 1)</f>
        <v>Tackle</v>
      </c>
      <c r="F317" s="41">
        <v>1</v>
      </c>
      <c r="G317" s="12" t="str">
        <f>VLOOKUP(F317, TMHM!$B$10:$C1519, 2, FALSE)</f>
        <v>Focus Punch</v>
      </c>
      <c r="H317" s="13">
        <v>4</v>
      </c>
      <c r="I317" s="14" t="str">
        <f>VLOOKUP(H317, TMHM!$B$2:$C$7, 2, FALSE)</f>
        <v>Strength</v>
      </c>
      <c r="J317" s="30"/>
    </row>
    <row r="318" spans="1:10" x14ac:dyDescent="0.2">
      <c r="A318" s="120"/>
      <c r="B318" s="43">
        <f>HEX2DEC("08")</f>
        <v>8</v>
      </c>
      <c r="C318" s="23" t="str">
        <f t="array" ref="C318">INDEX(Moves!$B$2:'Moves'!$B$177, SUM(HEX2DEC("A5"),1), 1)</f>
        <v>Tickle</v>
      </c>
      <c r="D318" s="43">
        <f t="shared" si="29"/>
        <v>1</v>
      </c>
      <c r="E318" s="23" t="str">
        <f t="array" ref="E318">INDEX(Moves!$B$2:'Moves'!$B$177, SUM(HEX2DEC("91"),1), 1)</f>
        <v>Horn Attack</v>
      </c>
      <c r="F318" s="11">
        <v>6</v>
      </c>
      <c r="G318" s="20" t="str">
        <f>VLOOKUP(F318, TMHM!$B$10:$C1519, 2, FALSE)</f>
        <v>Toxic</v>
      </c>
      <c r="H318" s="21"/>
      <c r="I318" s="25"/>
      <c r="J318" s="30"/>
    </row>
    <row r="319" spans="1:10" x14ac:dyDescent="0.2">
      <c r="A319" s="120"/>
      <c r="B319" s="43">
        <f>HEX2DEC("0C")</f>
        <v>12</v>
      </c>
      <c r="C319" s="17" t="str">
        <f t="array" ref="C319">INDEX(Moves!$B$2:'Moves'!$B$177, SUM(HEX2DEC("51"),1), 1)</f>
        <v>Double Kick</v>
      </c>
      <c r="D319" s="43">
        <f t="shared" si="29"/>
        <v>1</v>
      </c>
      <c r="E319" s="17" t="str">
        <f t="array" ref="E319">INDEX(Moves!$B$2:'Moves'!$B$177, SUM(HEX2DEC("51"),1), 1)</f>
        <v>Double Kick</v>
      </c>
      <c r="F319" s="11">
        <v>7</v>
      </c>
      <c r="G319" s="20" t="str">
        <f>VLOOKUP(F319, TMHM!$B$10:$C1519, 2, FALSE)</f>
        <v>Secret Power</v>
      </c>
      <c r="H319" s="21"/>
      <c r="I319" s="25"/>
      <c r="J319" s="30"/>
    </row>
    <row r="320" spans="1:10" x14ac:dyDescent="0.2">
      <c r="A320" s="120"/>
      <c r="B320" s="43">
        <f>HEX2DEC("14")</f>
        <v>20</v>
      </c>
      <c r="C320" s="51" t="str">
        <f t="array" ref="C320">INDEX(Moves!$B$2:'Moves'!$B$177, SUM(HEX2DEC("A4"),1), 1)</f>
        <v>Tail Whip</v>
      </c>
      <c r="D320" s="43">
        <f t="shared" si="29"/>
        <v>1</v>
      </c>
      <c r="E320" s="51" t="str">
        <f t="array" ref="E320">INDEX(Moves!$B$2:'Moves'!$B$177, SUM(HEX2DEC("43"),1), 1)</f>
        <v>Poison Sting</v>
      </c>
      <c r="F320" s="11">
        <v>8</v>
      </c>
      <c r="G320" s="20" t="str">
        <f>VLOOKUP(F320, TMHM!$B$10:$C1519, 2, FALSE)</f>
        <v>Charm</v>
      </c>
      <c r="H320" s="21"/>
      <c r="I320" s="25"/>
      <c r="J320" s="30"/>
    </row>
    <row r="321" spans="1:10" x14ac:dyDescent="0.2">
      <c r="A321" s="120"/>
      <c r="B321" s="48">
        <f>HEX2DEC("17")</f>
        <v>23</v>
      </c>
      <c r="C321" s="23" t="str">
        <f t="array" ref="C321">INDEX(Moves!$B$2:'Moves'!$B$177, SUM(HEX2DEC("92"),1), 1)</f>
        <v>Crush Claw</v>
      </c>
      <c r="D321" s="48">
        <f>HEX2DEC("17")</f>
        <v>23</v>
      </c>
      <c r="E321" s="23" t="s">
        <v>82</v>
      </c>
      <c r="F321" s="11">
        <v>10</v>
      </c>
      <c r="G321" s="20" t="str">
        <f>VLOOKUP(F321, TMHM!$B$10:$C1519, 2, FALSE)</f>
        <v>Bite</v>
      </c>
      <c r="H321" s="21"/>
      <c r="I321" s="25"/>
      <c r="J321" s="30"/>
    </row>
    <row r="322" spans="1:10" x14ac:dyDescent="0.2">
      <c r="A322" s="120"/>
      <c r="B322" s="73"/>
      <c r="C322" s="74"/>
      <c r="D322" s="73"/>
      <c r="E322" s="74"/>
      <c r="F322" s="11">
        <v>15</v>
      </c>
      <c r="G322" s="20" t="str">
        <f>VLOOKUP(F322, TMHM!$B$10:$C1519, 2, FALSE)</f>
        <v>Hyper Beam</v>
      </c>
      <c r="H322" s="21"/>
      <c r="I322" s="25"/>
      <c r="J322" s="30"/>
    </row>
    <row r="323" spans="1:10" x14ac:dyDescent="0.2">
      <c r="A323" s="120"/>
      <c r="B323" s="73"/>
      <c r="C323" s="74"/>
      <c r="D323" s="73"/>
      <c r="E323" s="74"/>
      <c r="F323" s="11">
        <v>20</v>
      </c>
      <c r="G323" s="20" t="str">
        <f>VLOOKUP(F323, TMHM!$B$10:$C1519, 2, FALSE)</f>
        <v>Iron Defense</v>
      </c>
      <c r="H323" s="21"/>
      <c r="I323" s="25"/>
      <c r="J323" s="30"/>
    </row>
    <row r="324" spans="1:10" x14ac:dyDescent="0.2">
      <c r="A324" s="120"/>
      <c r="B324" s="73"/>
      <c r="C324" s="74"/>
      <c r="D324" s="73"/>
      <c r="E324" s="74"/>
      <c r="F324" s="11">
        <v>26</v>
      </c>
      <c r="G324" s="20" t="str">
        <f>VLOOKUP(F324, TMHM!$B$10:$C1519, 2, FALSE)</f>
        <v>Earthquake</v>
      </c>
      <c r="H324" s="21"/>
      <c r="I324" s="25"/>
      <c r="J324" s="30"/>
    </row>
    <row r="325" spans="1:10" x14ac:dyDescent="0.2">
      <c r="A325" s="120"/>
      <c r="B325" s="73"/>
      <c r="C325" s="74"/>
      <c r="D325" s="73"/>
      <c r="E325" s="74"/>
      <c r="F325" s="11">
        <v>28</v>
      </c>
      <c r="G325" s="20" t="str">
        <f>VLOOKUP(F325, TMHM!$B$10:$C1519, 2, FALSE)</f>
        <v>Dig</v>
      </c>
      <c r="H325" s="21"/>
      <c r="I325" s="25"/>
      <c r="J325" s="30"/>
    </row>
    <row r="326" spans="1:10" x14ac:dyDescent="0.2">
      <c r="A326" s="120"/>
      <c r="B326" s="73"/>
      <c r="C326" s="74"/>
      <c r="D326" s="73"/>
      <c r="E326" s="74"/>
      <c r="F326" s="11">
        <v>35</v>
      </c>
      <c r="G326" s="20" t="str">
        <f>VLOOKUP(F326, TMHM!$B$10:$C1519, 2, FALSE)</f>
        <v>Harden</v>
      </c>
      <c r="H326" s="21"/>
      <c r="I326" s="25"/>
      <c r="J326" s="30"/>
    </row>
    <row r="327" spans="1:10" x14ac:dyDescent="0.2">
      <c r="A327" s="120"/>
      <c r="B327" s="73"/>
      <c r="C327" s="74"/>
      <c r="D327" s="73"/>
      <c r="E327" s="74"/>
      <c r="F327" s="11">
        <v>36</v>
      </c>
      <c r="G327" s="20" t="str">
        <f>VLOOKUP(F327, TMHM!$B$10:$C1519, 2, FALSE)</f>
        <v>Sludge Bomb</v>
      </c>
      <c r="H327" s="21"/>
      <c r="I327" s="25"/>
      <c r="J327" s="30"/>
    </row>
    <row r="328" spans="1:10" x14ac:dyDescent="0.2">
      <c r="A328" s="121" t="s">
        <v>83</v>
      </c>
      <c r="B328" s="61">
        <f>HEX2DEC("00")</f>
        <v>0</v>
      </c>
      <c r="C328" s="62" t="str">
        <f t="array" ref="C328">INDEX(Moves!$B$2:'Moves'!$B$177, SUM(HEX2DEC("89"),1), 1)</f>
        <v>Tackle</v>
      </c>
      <c r="D328" s="61">
        <f t="shared" ref="D328:D329" si="30">HEX2DEC("01")</f>
        <v>1</v>
      </c>
      <c r="E328" s="62" t="s">
        <v>84</v>
      </c>
      <c r="F328" s="41">
        <v>5</v>
      </c>
      <c r="G328" s="12" t="str">
        <f>VLOOKUP(F328, TMHM!$B$10:$C1519, 2, FALSE)</f>
        <v>Roar</v>
      </c>
      <c r="H328" s="13">
        <v>5</v>
      </c>
      <c r="I328" s="14" t="str">
        <f>VLOOKUP(H328, TMHM!$B$2:$C$7, 2, FALSE)</f>
        <v>Flash</v>
      </c>
      <c r="J328" s="30"/>
    </row>
    <row r="329" spans="1:10" x14ac:dyDescent="0.2">
      <c r="A329" s="120"/>
      <c r="B329" s="43">
        <f>HEX2DEC("02")</f>
        <v>2</v>
      </c>
      <c r="C329" s="17" t="str">
        <f t="array" ref="C329">INDEX(Moves!$B$2:'Moves'!$B$177, SUM(HEX2DEC("A0"),1), 1)</f>
        <v>Growl</v>
      </c>
      <c r="D329" s="43">
        <f t="shared" si="30"/>
        <v>1</v>
      </c>
      <c r="E329" s="17" t="str">
        <f t="array" ref="E329">INDEX(Moves!$B$2:'Moves'!$B$177, SUM(HEX2DEC("A0"),1), 1)</f>
        <v>Growl</v>
      </c>
      <c r="F329" s="11">
        <v>7</v>
      </c>
      <c r="G329" s="20" t="str">
        <f>VLOOKUP(F329, TMHM!$B$10:$C1519, 2, FALSE)</f>
        <v>Secret Power</v>
      </c>
      <c r="H329" s="21"/>
      <c r="I329" s="25"/>
      <c r="J329" s="30"/>
    </row>
    <row r="330" spans="1:10" x14ac:dyDescent="0.2">
      <c r="A330" s="120"/>
      <c r="B330" s="50">
        <f>HEX2DEC("04")</f>
        <v>4</v>
      </c>
      <c r="C330" s="51" t="str">
        <f t="array" ref="C330">INDEX(Moves!$B$2:'Moves'!$B$177, SUM(HEX2DEC("A1"),1), 1)</f>
        <v>Charm</v>
      </c>
      <c r="D330" s="50">
        <f>HEX2DEC("04")</f>
        <v>4</v>
      </c>
      <c r="E330" s="51" t="str">
        <f t="array" ref="E330">INDEX(Moves!$B$2:'Moves'!$B$177, SUM(HEX2DEC("AA"),1), 1)</f>
        <v>Encore</v>
      </c>
      <c r="F330" s="11">
        <v>8</v>
      </c>
      <c r="G330" s="20" t="str">
        <f>VLOOKUP(F330, TMHM!$B$10:$C1519, 2, FALSE)</f>
        <v>Charm</v>
      </c>
      <c r="H330" s="21"/>
      <c r="I330" s="25"/>
      <c r="J330" s="30"/>
    </row>
    <row r="331" spans="1:10" x14ac:dyDescent="0.2">
      <c r="A331" s="120"/>
      <c r="B331" s="16">
        <f>HEX2DEC("08")</f>
        <v>8</v>
      </c>
      <c r="C331" s="17" t="str">
        <f t="array" ref="C331">INDEX(Moves!$B$2:'Moves'!$B$177, SUM(HEX2DEC("9C"),1), 1)</f>
        <v>Sing</v>
      </c>
      <c r="D331" s="16">
        <f>HEX2DEC("08")</f>
        <v>8</v>
      </c>
      <c r="E331" s="17" t="str">
        <f t="array" ref="E331">INDEX(Moves!$B$2:'Moves'!$B$177, SUM(HEX2DEC("9C"),1), 1)</f>
        <v>Sing</v>
      </c>
      <c r="F331" s="11">
        <v>9</v>
      </c>
      <c r="G331" s="20" t="str">
        <f>VLOOKUP(F331, TMHM!$B$10:$C1519, 2, FALSE)</f>
        <v>Snore</v>
      </c>
      <c r="H331" s="21"/>
      <c r="I331" s="25"/>
      <c r="J331" s="30"/>
    </row>
    <row r="332" spans="1:10" x14ac:dyDescent="0.2">
      <c r="A332" s="120"/>
      <c r="B332" s="48">
        <f>HEX2DEC("0D")</f>
        <v>13</v>
      </c>
      <c r="C332" s="23" t="str">
        <f t="array" ref="C332">INDEX(Moves!$B$2:'Moves'!$B$177, SUM(HEX2DEC("89"),1), 1)</f>
        <v>Tackle</v>
      </c>
      <c r="D332" s="48">
        <f>HEX2DEC("0D")</f>
        <v>13</v>
      </c>
      <c r="E332" s="23" t="s">
        <v>85</v>
      </c>
      <c r="F332" s="11">
        <v>10</v>
      </c>
      <c r="G332" s="20" t="str">
        <f>VLOOKUP(F332, TMHM!$B$10:$C1519, 2, FALSE)</f>
        <v>Bite</v>
      </c>
      <c r="H332" s="21"/>
      <c r="I332" s="25"/>
      <c r="J332" s="30"/>
    </row>
    <row r="333" spans="1:10" x14ac:dyDescent="0.2">
      <c r="A333" s="120"/>
      <c r="B333" s="48">
        <f>HEX2DEC("13")</f>
        <v>19</v>
      </c>
      <c r="C333" s="23" t="str">
        <f t="array" ref="C333">INDEX(Moves!$B$2:'Moves'!$B$177, SUM(HEX2DEC("A8"),1), 1)</f>
        <v>Double Team</v>
      </c>
      <c r="D333" s="48">
        <f>HEX2DEC("13")</f>
        <v>19</v>
      </c>
      <c r="E333" s="23" t="s">
        <v>86</v>
      </c>
      <c r="F333" s="11">
        <v>15</v>
      </c>
      <c r="G333" s="20" t="str">
        <f>VLOOKUP(F333, TMHM!$B$10:$C1519, 2, FALSE)</f>
        <v>Hyper Beam</v>
      </c>
      <c r="H333" s="21"/>
      <c r="I333" s="25"/>
      <c r="J333" s="30"/>
    </row>
    <row r="334" spans="1:10" x14ac:dyDescent="0.2">
      <c r="A334" s="120"/>
      <c r="B334" s="16">
        <f>HEX2DEC("1A")</f>
        <v>26</v>
      </c>
      <c r="C334" s="17" t="str">
        <f t="array" ref="C334">INDEX(Moves!$B$2:'Moves'!$B$177, SUM(HEX2DEC("A2"),1), 1)</f>
        <v>Defense Curl</v>
      </c>
      <c r="D334" s="16">
        <f>HEX2DEC("1A")</f>
        <v>26</v>
      </c>
      <c r="E334" s="17" t="str">
        <f t="array" ref="E334">INDEX(Moves!$B$2:'Moves'!$B$177, SUM(HEX2DEC("A2"),1), 1)</f>
        <v>Defense Curl</v>
      </c>
      <c r="F334" s="11">
        <v>17</v>
      </c>
      <c r="G334" s="20" t="str">
        <f>VLOOKUP(F334, TMHM!$B$10:$C1519, 2, FALSE)</f>
        <v>SmokeScreen</v>
      </c>
      <c r="H334" s="21"/>
      <c r="I334" s="25"/>
      <c r="J334" s="30"/>
    </row>
    <row r="335" spans="1:10" x14ac:dyDescent="0.2">
      <c r="A335" s="120"/>
      <c r="B335" s="48">
        <f>HEX2DEC("22")</f>
        <v>34</v>
      </c>
      <c r="C335" s="23" t="str">
        <f t="array" ref="C335">INDEX(Moves!$B$2:'Moves'!$B$177, SUM(HEX2DEC("A4"),1), 1)</f>
        <v>Tail Whip</v>
      </c>
      <c r="D335" s="48">
        <f>HEX2DEC("22")</f>
        <v>34</v>
      </c>
      <c r="E335" s="23" t="s">
        <v>87</v>
      </c>
      <c r="F335" s="11"/>
      <c r="H335" s="21"/>
      <c r="I335" s="25"/>
      <c r="J335" s="30"/>
    </row>
    <row r="336" spans="1:10" x14ac:dyDescent="0.2">
      <c r="A336" s="120"/>
      <c r="B336" s="48">
        <f>HEX2DEC("2B")</f>
        <v>43</v>
      </c>
      <c r="C336" s="23" t="str">
        <f t="array" ref="C336">INDEX(Moves!$B$2:'Moves'!$B$177, SUM(HEX2DEC("AA"),1), 1)</f>
        <v>Encore</v>
      </c>
      <c r="D336" s="48">
        <f>HEX2DEC("2B")</f>
        <v>43</v>
      </c>
      <c r="E336" s="23" t="s">
        <v>88</v>
      </c>
      <c r="F336" s="11"/>
      <c r="H336" s="21"/>
      <c r="I336" s="25"/>
      <c r="J336" s="30"/>
    </row>
    <row r="337" spans="1:10" x14ac:dyDescent="0.2">
      <c r="A337" s="120"/>
      <c r="B337" s="48">
        <f>HEX2DEC("35")</f>
        <v>53</v>
      </c>
      <c r="C337" s="23" t="str">
        <f t="array" ref="C337">INDEX(Moves!$B$2:'Moves'!$B$177, SUM(HEX2DEC("90"),1), 1)</f>
        <v>Swift</v>
      </c>
      <c r="D337" s="48">
        <f>HEX2DEC("35")</f>
        <v>53</v>
      </c>
      <c r="E337" s="23" t="s">
        <v>68</v>
      </c>
      <c r="F337" s="11"/>
      <c r="H337" s="21"/>
      <c r="I337" s="25"/>
      <c r="J337" s="30"/>
    </row>
    <row r="338" spans="1:10" x14ac:dyDescent="0.2">
      <c r="A338" s="121" t="s">
        <v>89</v>
      </c>
      <c r="B338" s="70">
        <f>HEX2DEC("00")</f>
        <v>0</v>
      </c>
      <c r="C338" s="71" t="str">
        <f t="array" ref="C338">INDEX(Moves!$B$2:'Moves'!$B$177, SUM(HEX2DEC("9C"),1), 1)</f>
        <v>Sing</v>
      </c>
      <c r="D338" s="70">
        <f t="shared" ref="D338:D341" si="31">HEX2DEC("01")</f>
        <v>1</v>
      </c>
      <c r="E338" s="71" t="s">
        <v>90</v>
      </c>
      <c r="F338" s="41">
        <v>5</v>
      </c>
      <c r="G338" s="12" t="str">
        <f>VLOOKUP(F338, TMHM!$B$10:$C1519, 2, FALSE)</f>
        <v>Roar</v>
      </c>
      <c r="H338" s="13">
        <v>5</v>
      </c>
      <c r="I338" s="14" t="str">
        <f>VLOOKUP(H338, TMHM!$B$2:$C$7, 2, FALSE)</f>
        <v>Flash</v>
      </c>
      <c r="J338" s="30"/>
    </row>
    <row r="339" spans="1:10" x14ac:dyDescent="0.2">
      <c r="A339" s="120"/>
      <c r="B339" s="43">
        <f>HEX2DEC("0D")</f>
        <v>13</v>
      </c>
      <c r="C339" s="23" t="str">
        <f t="array" ref="C339">INDEX(Moves!$B$2:'Moves'!$B$177, SUM(HEX2DEC("89"),1), 1)</f>
        <v>Tackle</v>
      </c>
      <c r="D339" s="43">
        <f t="shared" si="31"/>
        <v>1</v>
      </c>
      <c r="E339" s="23" t="s">
        <v>85</v>
      </c>
      <c r="F339" s="11">
        <v>7</v>
      </c>
      <c r="G339" s="20" t="str">
        <f>VLOOKUP(F339, TMHM!$B$10:$C1519, 2, FALSE)</f>
        <v>Secret Power</v>
      </c>
      <c r="H339" s="21"/>
      <c r="I339" s="25"/>
      <c r="J339" s="30"/>
    </row>
    <row r="340" spans="1:10" x14ac:dyDescent="0.2">
      <c r="A340" s="120"/>
      <c r="B340" s="43">
        <f>HEX2DEC("22")</f>
        <v>34</v>
      </c>
      <c r="C340" s="23" t="str">
        <f t="array" ref="C340">INDEX(Moves!$B$2:'Moves'!$B$177, SUM(HEX2DEC("A4"),1), 1)</f>
        <v>Tail Whip</v>
      </c>
      <c r="D340" s="43">
        <f t="shared" si="31"/>
        <v>1</v>
      </c>
      <c r="E340" s="23" t="s">
        <v>87</v>
      </c>
      <c r="F340" s="11">
        <v>8</v>
      </c>
      <c r="G340" s="20" t="str">
        <f>VLOOKUP(F340, TMHM!$B$10:$C1519, 2, FALSE)</f>
        <v>Charm</v>
      </c>
      <c r="H340" s="21"/>
      <c r="I340" s="25"/>
      <c r="J340" s="30"/>
    </row>
    <row r="341" spans="1:10" x14ac:dyDescent="0.2">
      <c r="A341" s="120"/>
      <c r="B341" s="43">
        <f>HEX2DEC("2B")</f>
        <v>43</v>
      </c>
      <c r="C341" s="23" t="str">
        <f t="array" ref="C341">INDEX(Moves!$B$2:'Moves'!$B$177, SUM(HEX2DEC("AA"),1), 1)</f>
        <v>Encore</v>
      </c>
      <c r="D341" s="43">
        <f t="shared" si="31"/>
        <v>1</v>
      </c>
      <c r="E341" s="23" t="s">
        <v>88</v>
      </c>
      <c r="F341" s="11">
        <v>9</v>
      </c>
      <c r="G341" s="20" t="str">
        <f>VLOOKUP(F341, TMHM!$B$10:$C1519, 2, FALSE)</f>
        <v>Snore</v>
      </c>
      <c r="H341" s="21"/>
      <c r="I341" s="25"/>
      <c r="J341" s="30"/>
    </row>
    <row r="342" spans="1:10" x14ac:dyDescent="0.2">
      <c r="A342" s="120"/>
      <c r="B342" s="67">
        <f>HEX2DEC("35")</f>
        <v>53</v>
      </c>
      <c r="C342" s="68" t="str">
        <f t="array" ref="C342">INDEX(Moves!$B$2:'Moves'!$B$177, SUM(HEX2DEC("90"),1), 1)</f>
        <v>Swift</v>
      </c>
      <c r="D342" s="67"/>
      <c r="E342" s="68"/>
      <c r="F342" s="11">
        <v>10</v>
      </c>
      <c r="G342" s="20" t="str">
        <f>VLOOKUP(F342, TMHM!$B$10:$C1519, 2, FALSE)</f>
        <v>Bite</v>
      </c>
      <c r="H342" s="21"/>
      <c r="I342" s="25"/>
      <c r="J342" s="30"/>
    </row>
    <row r="343" spans="1:10" x14ac:dyDescent="0.2">
      <c r="A343" s="120"/>
      <c r="B343" s="73"/>
      <c r="C343" s="74"/>
      <c r="D343" s="73"/>
      <c r="E343" s="74"/>
      <c r="F343" s="11">
        <v>15</v>
      </c>
      <c r="G343" s="20" t="str">
        <f>VLOOKUP(F343, TMHM!$B$10:$C1519, 2, FALSE)</f>
        <v>Hyper Beam</v>
      </c>
      <c r="H343" s="21"/>
      <c r="I343" s="25"/>
      <c r="J343" s="30"/>
    </row>
    <row r="344" spans="1:10" x14ac:dyDescent="0.2">
      <c r="A344" s="120"/>
      <c r="B344" s="73"/>
      <c r="C344" s="74"/>
      <c r="D344" s="73"/>
      <c r="E344" s="74"/>
      <c r="F344" s="11">
        <v>17</v>
      </c>
      <c r="G344" s="20" t="str">
        <f>VLOOKUP(F344, TMHM!$B$10:$C1519, 2, FALSE)</f>
        <v>SmokeScreen</v>
      </c>
      <c r="H344" s="21"/>
      <c r="I344" s="25"/>
      <c r="J344" s="30"/>
    </row>
    <row r="345" spans="1:10" x14ac:dyDescent="0.2">
      <c r="A345" s="121" t="s">
        <v>91</v>
      </c>
      <c r="B345" s="70">
        <f>HEX2DEC("00")</f>
        <v>0</v>
      </c>
      <c r="C345" s="71" t="str">
        <f t="array" ref="C345">INDEX(Moves!$B$2:'Moves'!$B$177, SUM(HEX2DEC("00"),1), 1)</f>
        <v>Ember</v>
      </c>
      <c r="D345" s="70">
        <f t="shared" ref="D345:D346" si="32">HEX2DEC("01")</f>
        <v>1</v>
      </c>
      <c r="E345" s="71" t="str">
        <f t="array" ref="E345">INDEX(Moves!$B$2:'Moves'!$B$177, SUM(HEX2DEC("00"),1), 1)</f>
        <v>Ember</v>
      </c>
      <c r="F345" s="41">
        <v>1</v>
      </c>
      <c r="G345" s="12" t="str">
        <f>VLOOKUP(F345, TMHM!$B$10:$C1519, 2, FALSE)</f>
        <v>Focus Punch</v>
      </c>
      <c r="H345" s="13">
        <v>5</v>
      </c>
      <c r="I345" s="14" t="str">
        <f>VLOOKUP(H345, TMHM!$B$2:$C$7, 2, FALSE)</f>
        <v>Flash</v>
      </c>
      <c r="J345" s="30"/>
    </row>
    <row r="346" spans="1:10" x14ac:dyDescent="0.2">
      <c r="A346" s="120"/>
      <c r="B346" s="43">
        <f>HEX2DEC("02")</f>
        <v>2</v>
      </c>
      <c r="C346" s="17" t="str">
        <f t="array" ref="C346">INDEX(Moves!$B$2:'Moves'!$B$177, SUM(HEX2DEC("A4"),1), 1)</f>
        <v>Tail Whip</v>
      </c>
      <c r="D346" s="43">
        <f t="shared" si="32"/>
        <v>1</v>
      </c>
      <c r="E346" s="17" t="str">
        <f t="array" ref="E346">INDEX(Moves!$B$2:'Moves'!$B$177, SUM(HEX2DEC("A4"),1), 1)</f>
        <v>Tail Whip</v>
      </c>
      <c r="F346" s="11">
        <v>2</v>
      </c>
      <c r="G346" s="20" t="str">
        <f>VLOOKUP(F346, TMHM!$B$10:$C1519, 2, FALSE)</f>
        <v>Dragon Claw</v>
      </c>
      <c r="H346" s="21"/>
      <c r="I346" s="25"/>
      <c r="J346" s="30"/>
    </row>
    <row r="347" spans="1:10" x14ac:dyDescent="0.2">
      <c r="A347" s="120"/>
      <c r="B347" s="73">
        <f>HEX2DEC("07")</f>
        <v>7</v>
      </c>
      <c r="C347" s="17" t="str">
        <f t="array" ref="C347">INDEX(Moves!$B$2:'Moves'!$B$177, SUM(HEX2DEC("8C"),1), 1)</f>
        <v>Quick Attack</v>
      </c>
      <c r="D347" s="73">
        <f>HEX2DEC("07")</f>
        <v>7</v>
      </c>
      <c r="E347" s="17" t="str">
        <f t="array" ref="E347">INDEX(Moves!$B$2:'Moves'!$B$177, SUM(HEX2DEC("8C"),1), 1)</f>
        <v>Quick Attack</v>
      </c>
      <c r="F347" s="11">
        <v>5</v>
      </c>
      <c r="G347" s="20" t="str">
        <f>VLOOKUP(F347, TMHM!$B$10:$C1519, 2, FALSE)</f>
        <v>Roar</v>
      </c>
      <c r="H347" s="21"/>
      <c r="I347" s="25"/>
      <c r="J347" s="30"/>
    </row>
    <row r="348" spans="1:10" x14ac:dyDescent="0.2">
      <c r="A348" s="120"/>
      <c r="B348" s="73">
        <f>HEX2DEC("0D")</f>
        <v>13</v>
      </c>
      <c r="C348" s="17" t="str">
        <f t="array" ref="C348">INDEX(Moves!$B$2:'Moves'!$B$177, SUM(HEX2DEC("AB"),1), 1)</f>
        <v>Roar</v>
      </c>
      <c r="D348" s="73">
        <f>HEX2DEC("0D")</f>
        <v>13</v>
      </c>
      <c r="E348" s="17" t="str">
        <f t="array" ref="E348">INDEX(Moves!$B$2:'Moves'!$B$177, SUM(HEX2DEC("AB"),1), 1)</f>
        <v>Roar</v>
      </c>
      <c r="F348" s="11">
        <v>21</v>
      </c>
      <c r="G348" s="20" t="str">
        <f>VLOOKUP(F348, TMHM!$B$10:$C1519, 2, FALSE)</f>
        <v>Recover</v>
      </c>
      <c r="H348" s="21"/>
      <c r="I348" s="25"/>
      <c r="J348" s="30"/>
    </row>
    <row r="349" spans="1:10" x14ac:dyDescent="0.2">
      <c r="A349" s="120"/>
      <c r="B349" s="50">
        <f>HEX2DEC("13")</f>
        <v>19</v>
      </c>
      <c r="C349" s="51" t="str">
        <f t="array" ref="C349">INDEX(Moves!$B$2:'Moves'!$B$177, SUM(HEX2DEC("90"),1), 1)</f>
        <v>Swift</v>
      </c>
      <c r="D349" s="50">
        <f>HEX2DEC("13")</f>
        <v>19</v>
      </c>
      <c r="E349" s="51" t="str">
        <f t="array" ref="E349">INDEX(Moves!$B$2:'Moves'!$B$177, SUM(HEX2DEC("77"),1), 1)</f>
        <v>Confuse Ray</v>
      </c>
      <c r="F349" s="11">
        <v>27</v>
      </c>
      <c r="G349" s="20" t="str">
        <f>VLOOKUP(F349, TMHM!$B$10:$C1519, 2, FALSE)</f>
        <v>Fire Punch</v>
      </c>
      <c r="H349" s="21"/>
      <c r="I349" s="25"/>
      <c r="J349" s="30"/>
    </row>
    <row r="350" spans="1:10" x14ac:dyDescent="0.2">
      <c r="A350" s="120"/>
      <c r="B350" s="48">
        <f>HEX2DEC("19")</f>
        <v>25</v>
      </c>
      <c r="C350" s="23" t="str">
        <f t="array" ref="C350">INDEX(Moves!$B$2:'Moves'!$B$177, SUM(HEX2DEC("A6"),1), 1)</f>
        <v>SmokeScreen</v>
      </c>
      <c r="D350" s="48">
        <f>HEX2DEC("19")</f>
        <v>25</v>
      </c>
      <c r="E350" s="23" t="s">
        <v>44</v>
      </c>
      <c r="F350" s="11">
        <v>38</v>
      </c>
      <c r="G350" s="20" t="str">
        <f>VLOOKUP(F350, TMHM!$B$10:$C1519, 2, FALSE)</f>
        <v>Fire Blast</v>
      </c>
      <c r="H350" s="21"/>
      <c r="I350" s="25"/>
      <c r="J350" s="30"/>
    </row>
    <row r="351" spans="1:10" x14ac:dyDescent="0.2">
      <c r="A351" s="120"/>
      <c r="B351" s="50">
        <f>HEX2DEC("1F")</f>
        <v>31</v>
      </c>
      <c r="C351" s="51" t="str">
        <f t="array" ref="C351">INDEX(Moves!$B$2:'Moves'!$B$177, SUM(HEX2DEC("02"),1), 1)</f>
        <v>Fire Punch</v>
      </c>
      <c r="D351" s="50">
        <f>HEX2DEC("1F")</f>
        <v>31</v>
      </c>
      <c r="E351" s="51" t="str">
        <f t="array" ref="E351">INDEX(Moves!$B$2:'Moves'!$B$177, SUM(HEX2DEC("03"),1), 1)</f>
        <v>Flamethrower</v>
      </c>
      <c r="F351" s="11"/>
      <c r="H351" s="21"/>
      <c r="I351" s="25"/>
      <c r="J351" s="30"/>
    </row>
    <row r="352" spans="1:10" x14ac:dyDescent="0.2">
      <c r="A352" s="120"/>
      <c r="B352" s="48">
        <f>HEX2DEC("25")</f>
        <v>37</v>
      </c>
      <c r="C352" s="23" t="str">
        <f t="array" ref="C352">INDEX(Moves!$B$2:'Moves'!$B$177, SUM(HEX2DEC("03"),1), 1)</f>
        <v>Flamethrower</v>
      </c>
      <c r="D352" s="48">
        <f>HEX2DEC("25")</f>
        <v>37</v>
      </c>
      <c r="E352" s="23" t="s">
        <v>30</v>
      </c>
      <c r="F352" s="11"/>
      <c r="H352" s="21"/>
      <c r="I352" s="25"/>
      <c r="J352" s="30"/>
    </row>
    <row r="353" spans="1:10" x14ac:dyDescent="0.2">
      <c r="A353" s="121" t="s">
        <v>92</v>
      </c>
      <c r="B353" s="70">
        <f>HEX2DEC("00")</f>
        <v>0</v>
      </c>
      <c r="C353" s="71" t="str">
        <f t="array" ref="C353">INDEX(Moves!$B$2:'Moves'!$B$177, SUM(HEX2DEC("00"),1), 1)</f>
        <v>Ember</v>
      </c>
      <c r="D353" s="70">
        <f t="shared" ref="D353:D356" si="33">HEX2DEC("01")</f>
        <v>1</v>
      </c>
      <c r="E353" s="71" t="str">
        <f t="array" ref="E353">INDEX(Moves!$B$2:'Moves'!$B$177, SUM(HEX2DEC("00"),1), 1)</f>
        <v>Ember</v>
      </c>
      <c r="F353" s="41">
        <v>1</v>
      </c>
      <c r="G353" s="12" t="str">
        <f>VLOOKUP(F353, TMHM!$B$10:$C1519, 2, FALSE)</f>
        <v>Focus Punch</v>
      </c>
      <c r="H353" s="13">
        <v>5</v>
      </c>
      <c r="I353" s="14" t="str">
        <f>VLOOKUP(H353, TMHM!$B$2:$C$7, 2, FALSE)</f>
        <v>Flash</v>
      </c>
      <c r="J353" s="30"/>
    </row>
    <row r="354" spans="1:10" x14ac:dyDescent="0.2">
      <c r="A354" s="120"/>
      <c r="B354" s="43">
        <f>HEX2DEC("07")</f>
        <v>7</v>
      </c>
      <c r="C354" s="17" t="str">
        <f t="array" ref="C354">INDEX(Moves!$B$2:'Moves'!$B$177, SUM(HEX2DEC("8C"),1), 1)</f>
        <v>Quick Attack</v>
      </c>
      <c r="D354" s="43">
        <f t="shared" si="33"/>
        <v>1</v>
      </c>
      <c r="E354" s="17" t="str">
        <f t="array" ref="E354">INDEX(Moves!$B$2:'Moves'!$B$177, SUM(HEX2DEC("8C"),1), 1)</f>
        <v>Quick Attack</v>
      </c>
      <c r="F354" s="11">
        <v>2</v>
      </c>
      <c r="G354" s="20" t="str">
        <f>VLOOKUP(F354, TMHM!$B$10:$C1519, 2, FALSE)</f>
        <v>Dragon Claw</v>
      </c>
      <c r="H354" s="21"/>
      <c r="I354" s="25"/>
      <c r="J354" s="30"/>
    </row>
    <row r="355" spans="1:10" x14ac:dyDescent="0.2">
      <c r="A355" s="120"/>
      <c r="B355" s="43">
        <f>HEX2DEC("13")</f>
        <v>19</v>
      </c>
      <c r="C355" s="51" t="str">
        <f t="array" ref="C355">INDEX(Moves!$B$2:'Moves'!$B$177, SUM(HEX2DEC("90"),1), 1)</f>
        <v>Swift</v>
      </c>
      <c r="D355" s="43">
        <f t="shared" si="33"/>
        <v>1</v>
      </c>
      <c r="E355" s="51" t="str">
        <f t="array" ref="E355">INDEX(Moves!$B$2:'Moves'!$B$177, SUM(HEX2DEC("77"),1), 1)</f>
        <v>Confuse Ray</v>
      </c>
      <c r="F355" s="11">
        <v>5</v>
      </c>
      <c r="G355" s="20" t="str">
        <f>VLOOKUP(F355, TMHM!$B$10:$C1519, 2, FALSE)</f>
        <v>Roar</v>
      </c>
      <c r="H355" s="21"/>
      <c r="I355" s="25"/>
      <c r="J355" s="30"/>
    </row>
    <row r="356" spans="1:10" x14ac:dyDescent="0.2">
      <c r="A356" s="120"/>
      <c r="B356" s="43">
        <f>HEX2DEC("19")</f>
        <v>25</v>
      </c>
      <c r="C356" s="23" t="str">
        <f t="array" ref="C356">INDEX(Moves!$B$2:'Moves'!$B$177, SUM(HEX2DEC("A6"),1), 1)</f>
        <v>SmokeScreen</v>
      </c>
      <c r="D356" s="43">
        <f t="shared" si="33"/>
        <v>1</v>
      </c>
      <c r="E356" s="23" t="s">
        <v>44</v>
      </c>
      <c r="F356" s="11">
        <v>21</v>
      </c>
      <c r="G356" s="20" t="str">
        <f>VLOOKUP(F356, TMHM!$B$10:$C1519, 2, FALSE)</f>
        <v>Recover</v>
      </c>
      <c r="H356" s="21"/>
      <c r="I356" s="25"/>
      <c r="J356" s="30"/>
    </row>
    <row r="357" spans="1:10" x14ac:dyDescent="0.2">
      <c r="A357" s="120"/>
      <c r="B357" s="48">
        <f>HEX2DEC("2B")</f>
        <v>43</v>
      </c>
      <c r="C357" s="23" t="str">
        <f t="array" ref="C357">INDEX(Moves!$B$2:'Moves'!$B$177, SUM(HEX2DEC("03"),1), 1)</f>
        <v>Flamethrower</v>
      </c>
      <c r="D357" s="48">
        <f>HEX2DEC("2B")</f>
        <v>43</v>
      </c>
      <c r="E357" s="23" t="s">
        <v>30</v>
      </c>
      <c r="F357" s="11">
        <v>27</v>
      </c>
      <c r="G357" s="20" t="str">
        <f>VLOOKUP(F357, TMHM!$B$10:$C1519, 2, FALSE)</f>
        <v>Fire Punch</v>
      </c>
      <c r="H357" s="21"/>
      <c r="I357" s="25"/>
      <c r="J357" s="30"/>
    </row>
    <row r="358" spans="1:10" x14ac:dyDescent="0.2">
      <c r="A358" s="120"/>
      <c r="B358" s="73"/>
      <c r="C358" s="74"/>
      <c r="D358" s="73"/>
      <c r="E358" s="74"/>
      <c r="F358" s="11">
        <v>38</v>
      </c>
      <c r="G358" s="20" t="str">
        <f>VLOOKUP(F358, TMHM!$B$10:$C1519, 2, FALSE)</f>
        <v>Fire Blast</v>
      </c>
      <c r="H358" s="21"/>
      <c r="I358" s="25"/>
      <c r="J358" s="30"/>
    </row>
    <row r="359" spans="1:10" x14ac:dyDescent="0.2">
      <c r="A359" s="121" t="s">
        <v>93</v>
      </c>
      <c r="B359" s="70">
        <f>HEX2DEC("00")</f>
        <v>0</v>
      </c>
      <c r="C359" s="71" t="str">
        <f t="array" ref="C359">INDEX(Moves!$B$2:'Moves'!$B$177, SUM(HEX2DEC("9C"),1), 1)</f>
        <v>Sing</v>
      </c>
      <c r="D359" s="70">
        <f>HEX2DEC("01")</f>
        <v>1</v>
      </c>
      <c r="E359" s="71" t="str">
        <f t="array" ref="E359">INDEX(Moves!$B$2:'Moves'!$B$177, SUM(HEX2DEC("9C"),1), 1)</f>
        <v>Sing</v>
      </c>
      <c r="F359" s="41">
        <v>5</v>
      </c>
      <c r="G359" s="12" t="str">
        <f>VLOOKUP(F359, TMHM!$B$10:$C1519, 2, FALSE)</f>
        <v>Roar</v>
      </c>
      <c r="H359" s="13">
        <v>5</v>
      </c>
      <c r="I359" s="14" t="str">
        <f>VLOOKUP(H359, TMHM!$B$2:$C$7, 2, FALSE)</f>
        <v>Flash</v>
      </c>
      <c r="J359" s="30"/>
    </row>
    <row r="360" spans="1:10" x14ac:dyDescent="0.2">
      <c r="A360" s="120"/>
      <c r="B360" s="73">
        <f>HEX2DEC("04")</f>
        <v>4</v>
      </c>
      <c r="C360" s="17" t="str">
        <f t="array" ref="C360">INDEX(Moves!$B$2:'Moves'!$B$177, SUM(HEX2DEC("A2"),1), 1)</f>
        <v>Defense Curl</v>
      </c>
      <c r="D360" s="73">
        <f>HEX2DEC("04")</f>
        <v>4</v>
      </c>
      <c r="E360" s="17" t="str">
        <f t="array" ref="E360">INDEX(Moves!$B$2:'Moves'!$B$177, SUM(HEX2DEC("A2"),1), 1)</f>
        <v>Defense Curl</v>
      </c>
      <c r="F360" s="11">
        <v>7</v>
      </c>
      <c r="G360" s="20" t="str">
        <f>VLOOKUP(F360, TMHM!$B$10:$C1519, 2, FALSE)</f>
        <v>Secret Power</v>
      </c>
      <c r="H360" s="21"/>
      <c r="I360" s="25"/>
      <c r="J360" s="30"/>
    </row>
    <row r="361" spans="1:10" x14ac:dyDescent="0.2">
      <c r="A361" s="120"/>
      <c r="B361" s="48">
        <f>HEX2DEC("09")</f>
        <v>9</v>
      </c>
      <c r="C361" s="23" t="str">
        <f t="array" ref="C361">INDEX(Moves!$B$2:'Moves'!$B$177, SUM(HEX2DEC("89"),1), 1)</f>
        <v>Tackle</v>
      </c>
      <c r="D361" s="48">
        <f>HEX2DEC("09")</f>
        <v>9</v>
      </c>
      <c r="E361" s="23" t="s">
        <v>84</v>
      </c>
      <c r="F361" s="11">
        <v>8</v>
      </c>
      <c r="G361" s="20" t="str">
        <f>VLOOKUP(F361, TMHM!$B$10:$C1519, 2, FALSE)</f>
        <v>Charm</v>
      </c>
      <c r="H361" s="21"/>
      <c r="I361" s="25"/>
      <c r="J361" s="30"/>
    </row>
    <row r="362" spans="1:10" x14ac:dyDescent="0.2">
      <c r="A362" s="120"/>
      <c r="B362" s="48">
        <f>HEX2DEC("0E")</f>
        <v>14</v>
      </c>
      <c r="C362" s="23" t="str">
        <f t="array" ref="C362">INDEX(Moves!$B$2:'Moves'!$B$177, SUM(HEX2DEC("A5"),1), 1)</f>
        <v>Tickle</v>
      </c>
      <c r="D362" s="48">
        <f>HEX2DEC("0E")</f>
        <v>14</v>
      </c>
      <c r="E362" s="23" t="s">
        <v>94</v>
      </c>
      <c r="F362" s="11">
        <v>9</v>
      </c>
      <c r="G362" s="20" t="str">
        <f>VLOOKUP(F362, TMHM!$B$10:$C1519, 2, FALSE)</f>
        <v>Snore</v>
      </c>
      <c r="H362" s="21"/>
      <c r="I362" s="25"/>
      <c r="J362" s="30"/>
    </row>
    <row r="363" spans="1:10" x14ac:dyDescent="0.2">
      <c r="A363" s="120"/>
      <c r="B363" s="48">
        <f>HEX2DEC("13")</f>
        <v>19</v>
      </c>
      <c r="C363" s="23" t="str">
        <f t="array" ref="C363">INDEX(Moves!$B$2:'Moves'!$B$177, SUM(HEX2DEC("A1"),1), 1)</f>
        <v>Charm</v>
      </c>
      <c r="D363" s="48">
        <f>HEX2DEC("13")</f>
        <v>19</v>
      </c>
      <c r="E363" s="23" t="s">
        <v>95</v>
      </c>
      <c r="F363" s="11">
        <v>10</v>
      </c>
      <c r="G363" s="20" t="str">
        <f>VLOOKUP(F363, TMHM!$B$10:$C1519, 2, FALSE)</f>
        <v>Bite</v>
      </c>
      <c r="H363" s="21"/>
      <c r="I363" s="25"/>
      <c r="J363" s="30"/>
    </row>
    <row r="364" spans="1:10" x14ac:dyDescent="0.2">
      <c r="A364" s="120"/>
      <c r="B364" s="48">
        <f>HEX2DEC("18")</f>
        <v>24</v>
      </c>
      <c r="C364" s="23" t="str">
        <f t="array" ref="C364">INDEX(Moves!$B$2:'Moves'!$B$177, SUM(HEX2DEC("8C"),1), 1)</f>
        <v>Quick Attack</v>
      </c>
      <c r="D364" s="48">
        <f>HEX2DEC("18")</f>
        <v>24</v>
      </c>
      <c r="E364" s="23" t="s">
        <v>85</v>
      </c>
      <c r="F364" s="11">
        <v>15</v>
      </c>
      <c r="G364" s="20" t="str">
        <f>VLOOKUP(F364, TMHM!$B$10:$C1519, 2, FALSE)</f>
        <v>Hyper Beam</v>
      </c>
      <c r="H364" s="21"/>
      <c r="I364" s="25"/>
      <c r="J364" s="30"/>
    </row>
    <row r="365" spans="1:10" x14ac:dyDescent="0.2">
      <c r="A365" s="120"/>
      <c r="B365" s="73">
        <f>HEX2DEC("1D")</f>
        <v>29</v>
      </c>
      <c r="C365" s="17" t="str">
        <f t="array" ref="C365">INDEX(Moves!$B$2:'Moves'!$B$177, SUM(HEX2DEC("6E"),1), 1)</f>
        <v>Rest</v>
      </c>
      <c r="D365" s="73">
        <f>HEX2DEC("1D")</f>
        <v>29</v>
      </c>
      <c r="E365" s="17" t="str">
        <f t="array" ref="E365">INDEX(Moves!$B$2:'Moves'!$B$177, SUM(HEX2DEC("6E"),1), 1)</f>
        <v>Rest</v>
      </c>
      <c r="F365" s="11">
        <v>17</v>
      </c>
      <c r="G365" s="20" t="str">
        <f>VLOOKUP(F365, TMHM!$B$10:$C1519, 2, FALSE)</f>
        <v>SmokeScreen</v>
      </c>
      <c r="H365" s="21"/>
      <c r="I365" s="25"/>
      <c r="J365" s="30"/>
    </row>
    <row r="366" spans="1:10" x14ac:dyDescent="0.2">
      <c r="A366" s="120"/>
      <c r="B366" s="48">
        <f>HEX2DEC("22")</f>
        <v>34</v>
      </c>
      <c r="C366" s="23" t="str">
        <f t="array" ref="C366">INDEX(Moves!$B$2:'Moves'!$B$177, SUM(HEX2DEC("A4"),1), 1)</f>
        <v>Tail Whip</v>
      </c>
      <c r="D366" s="48">
        <f>HEX2DEC("22")</f>
        <v>34</v>
      </c>
      <c r="E366" s="23" t="s">
        <v>77</v>
      </c>
      <c r="F366" s="11"/>
      <c r="H366" s="21"/>
      <c r="I366" s="25"/>
      <c r="J366" s="30"/>
    </row>
    <row r="367" spans="1:10" x14ac:dyDescent="0.2">
      <c r="A367" s="120"/>
      <c r="B367" s="48">
        <f>HEX2DEC("27")</f>
        <v>39</v>
      </c>
      <c r="C367" s="23" t="str">
        <f t="array" ref="C367">INDEX(Moves!$B$2:'Moves'!$B$177, SUM(HEX2DEC("96"),1), 1)</f>
        <v>Double-Edge</v>
      </c>
      <c r="D367" s="48">
        <f>HEX2DEC("27")</f>
        <v>39</v>
      </c>
      <c r="E367" s="23" t="str">
        <f t="array" ref="E367">INDEX(Moves!$B$2:'Moves'!$B$177, SUM(HEX2DEC("96"),1), 1)</f>
        <v>Double-Edge</v>
      </c>
      <c r="F367" s="11"/>
      <c r="H367" s="21"/>
      <c r="I367" s="25"/>
      <c r="J367" s="30"/>
    </row>
    <row r="368" spans="1:10" x14ac:dyDescent="0.2">
      <c r="A368" s="121" t="s">
        <v>96</v>
      </c>
      <c r="B368" s="70">
        <f>HEX2DEC("00")</f>
        <v>0</v>
      </c>
      <c r="C368" s="71" t="str">
        <f t="array" ref="C368">INDEX(Moves!$B$2:'Moves'!$B$177, SUM(HEX2DEC("9C"),1), 1)</f>
        <v>Sing</v>
      </c>
      <c r="D368" s="70">
        <f>HEX2DEC("01")</f>
        <v>1</v>
      </c>
      <c r="E368" s="71" t="str">
        <f t="array" ref="E368">INDEX(Moves!$B$2:'Moves'!$B$177, SUM(HEX2DEC("9C"),1), 1)</f>
        <v>Sing</v>
      </c>
      <c r="F368" s="41">
        <v>5</v>
      </c>
      <c r="G368" s="12" t="str">
        <f>VLOOKUP(F368, TMHM!$B$10:$C1519, 2, FALSE)</f>
        <v>Roar</v>
      </c>
      <c r="H368" s="13">
        <v>5</v>
      </c>
      <c r="I368" s="14" t="str">
        <f>VLOOKUP(H368, TMHM!$B$2:$C$7, 2, FALSE)</f>
        <v>Flash</v>
      </c>
      <c r="J368" s="30"/>
    </row>
    <row r="369" spans="1:10" x14ac:dyDescent="0.2">
      <c r="A369" s="120"/>
      <c r="B369" s="48">
        <f>HEX2DEC("09")</f>
        <v>9</v>
      </c>
      <c r="C369" s="23" t="str">
        <f t="array" ref="C369">INDEX(Moves!$B$2:'Moves'!$B$177, SUM(HEX2DEC("89"),1), 1)</f>
        <v>Tackle</v>
      </c>
      <c r="D369" s="48">
        <f>HEX2DEC("09")</f>
        <v>9</v>
      </c>
      <c r="E369" s="23" t="s">
        <v>94</v>
      </c>
      <c r="F369" s="11">
        <v>7</v>
      </c>
      <c r="G369" s="20" t="str">
        <f>VLOOKUP(F369, TMHM!$B$10:$C1519, 2, FALSE)</f>
        <v>Secret Power</v>
      </c>
      <c r="H369" s="21"/>
      <c r="I369" s="25"/>
      <c r="J369" s="30"/>
    </row>
    <row r="370" spans="1:10" x14ac:dyDescent="0.2">
      <c r="A370" s="120"/>
      <c r="B370" s="50">
        <f>HEX2DEC("13")</f>
        <v>19</v>
      </c>
      <c r="C370" s="51" t="str">
        <f t="array" ref="C370">INDEX(Moves!$B$2:'Moves'!$B$177, SUM(HEX2DEC("A1"),1), 1)</f>
        <v>Charm</v>
      </c>
      <c r="D370" s="50">
        <f>HEX2DEC("13")</f>
        <v>19</v>
      </c>
      <c r="E370" s="51" t="str">
        <f t="array" ref="E370">INDEX(Moves!$B$2:'Moves'!$B$177, SUM(HEX2DEC("A2"),1), 1)</f>
        <v>Defense Curl</v>
      </c>
      <c r="F370" s="11">
        <v>8</v>
      </c>
      <c r="G370" s="20" t="str">
        <f>VLOOKUP(F370, TMHM!$B$10:$C1519, 2, FALSE)</f>
        <v>Charm</v>
      </c>
      <c r="H370" s="21"/>
      <c r="I370" s="25"/>
      <c r="J370" s="30" t="s">
        <v>97</v>
      </c>
    </row>
    <row r="371" spans="1:10" x14ac:dyDescent="0.2">
      <c r="A371" s="120"/>
      <c r="B371" s="48">
        <f>HEX2DEC("18")</f>
        <v>24</v>
      </c>
      <c r="C371" s="23" t="str">
        <f t="array" ref="C371">INDEX(Moves!$B$2:'Moves'!$B$177, SUM(HEX2DEC("8C"),1), 1)</f>
        <v>Quick Attack</v>
      </c>
      <c r="D371" s="48">
        <f>HEX2DEC("18")</f>
        <v>24</v>
      </c>
      <c r="E371" s="23" t="s">
        <v>85</v>
      </c>
      <c r="F371" s="11">
        <v>9</v>
      </c>
      <c r="G371" s="20" t="str">
        <f>VLOOKUP(F371, TMHM!$B$10:$C1519, 2, FALSE)</f>
        <v>Snore</v>
      </c>
      <c r="H371" s="21"/>
      <c r="I371" s="25"/>
      <c r="J371" s="30"/>
    </row>
    <row r="372" spans="1:10" x14ac:dyDescent="0.2">
      <c r="A372" s="120"/>
      <c r="B372" s="73"/>
      <c r="C372" s="74"/>
      <c r="D372" s="73"/>
      <c r="E372" s="74"/>
      <c r="F372" s="11">
        <v>10</v>
      </c>
      <c r="G372" s="20" t="str">
        <f>VLOOKUP(F372, TMHM!$B$10:$C1519, 2, FALSE)</f>
        <v>Bite</v>
      </c>
      <c r="H372" s="21"/>
      <c r="I372" s="25"/>
      <c r="J372" s="30"/>
    </row>
    <row r="373" spans="1:10" x14ac:dyDescent="0.2">
      <c r="A373" s="120"/>
      <c r="B373" s="73"/>
      <c r="C373" s="74"/>
      <c r="D373" s="73"/>
      <c r="E373" s="74"/>
      <c r="F373" s="11">
        <v>15</v>
      </c>
      <c r="G373" s="20" t="str">
        <f>VLOOKUP(F373, TMHM!$B$10:$C1519, 2, FALSE)</f>
        <v>Hyper Beam</v>
      </c>
      <c r="H373" s="21"/>
      <c r="I373" s="25"/>
      <c r="J373" s="30"/>
    </row>
    <row r="374" spans="1:10" x14ac:dyDescent="0.2">
      <c r="A374" s="120"/>
      <c r="B374" s="73"/>
      <c r="C374" s="74"/>
      <c r="D374" s="73"/>
      <c r="E374" s="74"/>
      <c r="F374" s="11">
        <v>17</v>
      </c>
      <c r="G374" s="20" t="str">
        <f>VLOOKUP(F374, TMHM!$B$10:$C1519, 2, FALSE)</f>
        <v>SmokeScreen</v>
      </c>
      <c r="H374" s="21"/>
      <c r="I374" s="25"/>
      <c r="J374" s="30"/>
    </row>
    <row r="375" spans="1:10" x14ac:dyDescent="0.2">
      <c r="A375" s="121" t="s">
        <v>98</v>
      </c>
      <c r="B375" s="70">
        <f>HEX2DEC("00")</f>
        <v>0</v>
      </c>
      <c r="C375" s="71" t="str">
        <f t="array" ref="C375">INDEX(Moves!$B$2:'Moves'!$B$177, SUM(HEX2DEC("3C"),1), 1)</f>
        <v>Leech Life</v>
      </c>
      <c r="D375" s="70">
        <f>HEX2DEC("01")</f>
        <v>1</v>
      </c>
      <c r="E375" s="71" t="str">
        <f t="array" ref="E375">INDEX(Moves!$B$2:'Moves'!$B$177, SUM(HEX2DEC("3C"),1), 1)</f>
        <v>Leech Life</v>
      </c>
      <c r="F375" s="41">
        <v>6</v>
      </c>
      <c r="G375" s="12" t="str">
        <f>VLOOKUP(F375, TMHM!$B$10:$C1519, 2, FALSE)</f>
        <v>Toxic</v>
      </c>
      <c r="H375" s="13"/>
      <c r="I375" s="14"/>
      <c r="J375" s="30"/>
    </row>
    <row r="376" spans="1:10" x14ac:dyDescent="0.2">
      <c r="A376" s="120"/>
      <c r="B376" s="16">
        <f>HEX2DEC("06")</f>
        <v>6</v>
      </c>
      <c r="C376" s="17" t="str">
        <f t="array" ref="C376">INDEX(Moves!$B$2:'Moves'!$B$177, SUM(HEX2DEC("9E"),1), 1)</f>
        <v>Supersonic</v>
      </c>
      <c r="D376" s="16">
        <f>HEX2DEC("06")</f>
        <v>6</v>
      </c>
      <c r="E376" s="17" t="str">
        <f t="array" ref="E376">INDEX(Moves!$B$2:'Moves'!$B$177, SUM(HEX2DEC("9E"),1), 1)</f>
        <v>Supersonic</v>
      </c>
      <c r="F376" s="11">
        <v>12</v>
      </c>
      <c r="G376" s="20" t="str">
        <f>VLOOKUP(F376, TMHM!$B$10:$C1519, 2, FALSE)</f>
        <v>Steel Wing</v>
      </c>
      <c r="H376" s="21"/>
      <c r="I376" s="25"/>
      <c r="J376" s="30"/>
    </row>
    <row r="377" spans="1:10" x14ac:dyDescent="0.2">
      <c r="A377" s="120"/>
      <c r="B377" s="16">
        <f>HEX2DEC("0C")</f>
        <v>12</v>
      </c>
      <c r="C377" s="17" t="str">
        <f t="array" ref="C377">INDEX(Moves!$B$2:'Moves'!$B$177, SUM(HEX2DEC("80"),1), 1)</f>
        <v>Bite</v>
      </c>
      <c r="D377" s="16">
        <f>HEX2DEC("0C")</f>
        <v>12</v>
      </c>
      <c r="E377" s="17" t="str">
        <f t="array" ref="E377">INDEX(Moves!$B$2:'Moves'!$B$177, SUM(HEX2DEC("80"),1), 1)</f>
        <v>Bite</v>
      </c>
      <c r="F377" s="11">
        <v>30</v>
      </c>
      <c r="G377" s="20" t="str">
        <f>VLOOKUP(F377, TMHM!$B$10:$C1519, 2, FALSE)</f>
        <v>Shadow Ball</v>
      </c>
      <c r="H377" s="21"/>
      <c r="I377" s="25"/>
      <c r="J377" s="30"/>
    </row>
    <row r="378" spans="1:10" x14ac:dyDescent="0.2">
      <c r="A378" s="120"/>
      <c r="B378" s="50">
        <f>HEX2DEC("13")</f>
        <v>19</v>
      </c>
      <c r="C378" s="51" t="str">
        <f t="array" ref="C378">INDEX(Moves!$B$2:'Moves'!$B$177, SUM(HEX2DEC("47"),1), 1)</f>
        <v>Poison Fang</v>
      </c>
      <c r="D378" s="50">
        <f>HEX2DEC("13")</f>
        <v>19</v>
      </c>
      <c r="E378" s="51" t="str">
        <f t="array" ref="E378">INDEX(Moves!$B$2:'Moves'!$B$177, SUM(HEX2DEC("77"),1), 1)</f>
        <v>Confuse Ray</v>
      </c>
      <c r="F378" s="11">
        <v>36</v>
      </c>
      <c r="G378" s="20" t="str">
        <f>VLOOKUP(F378, TMHM!$B$10:$C1519, 2, FALSE)</f>
        <v>Sludge Bomb</v>
      </c>
      <c r="H378" s="21"/>
      <c r="I378" s="25"/>
      <c r="J378" s="30"/>
    </row>
    <row r="379" spans="1:10" x14ac:dyDescent="0.2">
      <c r="A379" s="120"/>
      <c r="B379" s="16">
        <f>HEX2DEC("1B")</f>
        <v>27</v>
      </c>
      <c r="C379" s="17" t="str">
        <f t="array" ref="C379">INDEX(Moves!$B$2:'Moves'!$B$177, SUM(HEX2DEC("5E"),1), 1)</f>
        <v>Wing Attack</v>
      </c>
      <c r="D379" s="16">
        <f>HEX2DEC("1B")</f>
        <v>27</v>
      </c>
      <c r="E379" s="17" t="str">
        <f t="array" ref="E379">INDEX(Moves!$B$2:'Moves'!$B$177, SUM(HEX2DEC("5E"),1), 1)</f>
        <v>Wing Attack</v>
      </c>
      <c r="F379" s="11"/>
      <c r="H379" s="21"/>
      <c r="I379" s="25"/>
      <c r="J379" s="30"/>
    </row>
    <row r="380" spans="1:10" x14ac:dyDescent="0.2">
      <c r="A380" s="120"/>
      <c r="B380" s="48">
        <f>HEX2DEC("24")</f>
        <v>36</v>
      </c>
      <c r="C380" s="23" t="str">
        <f t="array" ref="C380">INDEX(Moves!$B$2:'Moves'!$B$177, SUM(HEX2DEC("75"),1), 1)</f>
        <v>Shadow Ball</v>
      </c>
      <c r="D380" s="48">
        <f>HEX2DEC("24")</f>
        <v>36</v>
      </c>
      <c r="E380" s="23" t="s">
        <v>99</v>
      </c>
      <c r="F380" s="11"/>
      <c r="H380" s="21"/>
      <c r="I380" s="25"/>
      <c r="J380" s="30"/>
    </row>
    <row r="381" spans="1:10" x14ac:dyDescent="0.2">
      <c r="A381" s="120"/>
      <c r="B381" s="48">
        <f>HEX2DEC("2E")</f>
        <v>46</v>
      </c>
      <c r="C381" s="23" t="str">
        <f t="array" ref="C381">INDEX(Moves!$B$2:'Moves'!$B$177, SUM(HEX2DEC("4A"),1), 1)</f>
        <v>Poison Gas</v>
      </c>
      <c r="D381" s="48">
        <f>HEX2DEC("2E")</f>
        <v>46</v>
      </c>
      <c r="E381" s="23" t="s">
        <v>64</v>
      </c>
      <c r="F381" s="11"/>
      <c r="H381" s="21"/>
      <c r="I381" s="25"/>
      <c r="J381" s="30"/>
    </row>
    <row r="382" spans="1:10" x14ac:dyDescent="0.2">
      <c r="A382" s="121" t="s">
        <v>100</v>
      </c>
      <c r="B382" s="79"/>
      <c r="C382" s="80"/>
      <c r="D382" s="79">
        <f t="shared" ref="D382:D383" si="34">HEX2DEC("01")</f>
        <v>1</v>
      </c>
      <c r="E382" s="80" t="s">
        <v>63</v>
      </c>
      <c r="F382" s="41">
        <v>6</v>
      </c>
      <c r="G382" s="12" t="str">
        <f>VLOOKUP(F382, TMHM!$B$10:$C1519, 2, FALSE)</f>
        <v>Toxic</v>
      </c>
      <c r="H382" s="13"/>
      <c r="I382" s="14"/>
      <c r="J382" s="30"/>
    </row>
    <row r="383" spans="1:10" x14ac:dyDescent="0.2">
      <c r="A383" s="120"/>
      <c r="B383" s="16">
        <f>HEX2DEC("00")</f>
        <v>0</v>
      </c>
      <c r="C383" s="17" t="str">
        <f t="array" ref="C383">INDEX(Moves!$B$2:'Moves'!$B$177, SUM(HEX2DEC("3C"),1), 1)</f>
        <v>Leech Life</v>
      </c>
      <c r="D383" s="16">
        <f t="shared" si="34"/>
        <v>1</v>
      </c>
      <c r="E383" s="17" t="str">
        <f t="array" ref="E383">INDEX(Moves!$B$2:'Moves'!$B$177, SUM(HEX2DEC("3C"),1), 1)</f>
        <v>Leech Life</v>
      </c>
      <c r="F383" s="11">
        <v>12</v>
      </c>
      <c r="G383" s="20" t="str">
        <f>VLOOKUP(F383, TMHM!$B$10:$C1519, 2, FALSE)</f>
        <v>Steel Wing</v>
      </c>
      <c r="H383" s="21"/>
      <c r="I383" s="25"/>
      <c r="J383" s="30"/>
    </row>
    <row r="384" spans="1:10" x14ac:dyDescent="0.2">
      <c r="A384" s="120"/>
      <c r="B384" s="16">
        <f>HEX2DEC("06")</f>
        <v>6</v>
      </c>
      <c r="C384" s="17" t="str">
        <f t="array" ref="C384">INDEX(Moves!$B$2:'Moves'!$B$177, SUM(HEX2DEC("9E"),1), 1)</f>
        <v>Supersonic</v>
      </c>
      <c r="D384" s="16">
        <f>HEX2DEC("06")</f>
        <v>6</v>
      </c>
      <c r="E384" s="17" t="str">
        <f t="array" ref="E384">INDEX(Moves!$B$2:'Moves'!$B$177, SUM(HEX2DEC("9E"),1), 1)</f>
        <v>Supersonic</v>
      </c>
      <c r="F384" s="11">
        <v>30</v>
      </c>
      <c r="G384" s="20" t="str">
        <f>VLOOKUP(F384, TMHM!$B$10:$C1519, 2, FALSE)</f>
        <v>Shadow Ball</v>
      </c>
      <c r="H384" s="21"/>
      <c r="I384" s="25"/>
      <c r="J384" s="30"/>
    </row>
    <row r="385" spans="1:10" x14ac:dyDescent="0.2">
      <c r="A385" s="120"/>
      <c r="B385" s="16">
        <f>HEX2DEC("0C")</f>
        <v>12</v>
      </c>
      <c r="C385" s="17" t="str">
        <f t="array" ref="C385">INDEX(Moves!$B$2:'Moves'!$B$177, SUM(HEX2DEC("80"),1), 1)</f>
        <v>Bite</v>
      </c>
      <c r="D385" s="16">
        <f>HEX2DEC("0C")</f>
        <v>12</v>
      </c>
      <c r="E385" s="17" t="str">
        <f t="array" ref="E385">INDEX(Moves!$B$2:'Moves'!$B$177, SUM(HEX2DEC("80"),1), 1)</f>
        <v>Bite</v>
      </c>
      <c r="F385" s="11">
        <v>36</v>
      </c>
      <c r="G385" s="20" t="str">
        <f>VLOOKUP(F385, TMHM!$B$10:$C1519, 2, FALSE)</f>
        <v>Sludge Bomb</v>
      </c>
      <c r="H385" s="21"/>
      <c r="I385" s="25"/>
      <c r="J385" s="30"/>
    </row>
    <row r="386" spans="1:10" x14ac:dyDescent="0.2">
      <c r="A386" s="120"/>
      <c r="B386" s="50">
        <f>HEX2DEC("13")</f>
        <v>19</v>
      </c>
      <c r="C386" s="51" t="str">
        <f t="array" ref="C386">INDEX(Moves!$B$2:'Moves'!$B$177, SUM(HEX2DEC("47"),1), 1)</f>
        <v>Poison Fang</v>
      </c>
      <c r="D386" s="50">
        <f>HEX2DEC("13")</f>
        <v>19</v>
      </c>
      <c r="E386" s="51" t="str">
        <f t="array" ref="E386">INDEX(Moves!$B$2:'Moves'!$B$177, SUM(HEX2DEC("77"),1), 1)</f>
        <v>Confuse Ray</v>
      </c>
      <c r="F386" s="11"/>
      <c r="H386" s="21"/>
      <c r="I386" s="25"/>
      <c r="J386" s="30"/>
    </row>
    <row r="387" spans="1:10" x14ac:dyDescent="0.2">
      <c r="A387" s="120"/>
      <c r="B387" s="16">
        <f>HEX2DEC("1E")</f>
        <v>30</v>
      </c>
      <c r="C387" s="17" t="str">
        <f t="array" ref="C387">INDEX(Moves!$B$2:'Moves'!$B$177, SUM(HEX2DEC("5E"),1), 1)</f>
        <v>Wing Attack</v>
      </c>
      <c r="D387" s="16">
        <f>HEX2DEC("1B")</f>
        <v>27</v>
      </c>
      <c r="E387" s="17" t="str">
        <f t="array" ref="E387">INDEX(Moves!$B$2:'Moves'!$B$177, SUM(HEX2DEC("5E"),1), 1)</f>
        <v>Wing Attack</v>
      </c>
      <c r="F387" s="11"/>
      <c r="H387" s="21"/>
      <c r="I387" s="25"/>
      <c r="J387" s="30"/>
    </row>
    <row r="388" spans="1:10" x14ac:dyDescent="0.2">
      <c r="A388" s="120"/>
      <c r="B388" s="48">
        <f>HEX2DEC("2A")</f>
        <v>42</v>
      </c>
      <c r="C388" s="23" t="str">
        <f t="array" ref="C388">INDEX(Moves!$B$2:'Moves'!$B$177, SUM(HEX2DEC("75"),1), 1)</f>
        <v>Shadow Ball</v>
      </c>
      <c r="D388" s="48">
        <f>HEX2DEC("24")</f>
        <v>36</v>
      </c>
      <c r="E388" s="23" t="s">
        <v>99</v>
      </c>
      <c r="F388" s="11"/>
      <c r="H388" s="21"/>
      <c r="I388" s="25"/>
      <c r="J388" s="30"/>
    </row>
    <row r="389" spans="1:10" x14ac:dyDescent="0.2">
      <c r="A389" s="120"/>
      <c r="B389" s="48">
        <f>HEX2DEC("37")</f>
        <v>55</v>
      </c>
      <c r="C389" s="23" t="str">
        <f t="array" ref="C389">INDEX(Moves!$B$2:'Moves'!$B$177, SUM(HEX2DEC("4A"),1), 1)</f>
        <v>Poison Gas</v>
      </c>
      <c r="D389" s="48">
        <f>HEX2DEC("2E")</f>
        <v>46</v>
      </c>
      <c r="E389" s="23" t="s">
        <v>64</v>
      </c>
      <c r="F389" s="11"/>
      <c r="H389" s="21"/>
      <c r="I389" s="25"/>
      <c r="J389" s="30"/>
    </row>
    <row r="390" spans="1:10" x14ac:dyDescent="0.2">
      <c r="A390" s="121" t="s">
        <v>101</v>
      </c>
      <c r="B390" s="70">
        <f>HEX2DEC("00")</f>
        <v>0</v>
      </c>
      <c r="C390" s="71" t="str">
        <f t="array" ref="C390">INDEX(Moves!$B$2:'Moves'!$B$177, SUM(HEX2DEC("1C"),1), 1)</f>
        <v>Absorb</v>
      </c>
      <c r="D390" s="70">
        <f>HEX2DEC("01")</f>
        <v>1</v>
      </c>
      <c r="E390" s="71" t="str">
        <f t="array" ref="E390">INDEX(Moves!$B$2:'Moves'!$B$177, SUM(HEX2DEC("1C"),1), 1)</f>
        <v>Absorb</v>
      </c>
      <c r="F390" s="41">
        <v>1</v>
      </c>
      <c r="G390" s="12" t="str">
        <f>VLOOKUP(F390, TMHM!$B$10:$C1519, 2, FALSE)</f>
        <v>Focus Punch</v>
      </c>
      <c r="H390" s="13">
        <v>1</v>
      </c>
      <c r="I390" s="14" t="str">
        <f>VLOOKUP(H390, TMHM!$B$2:$C$7, 2, FALSE)</f>
        <v>Cut</v>
      </c>
      <c r="J390" s="30"/>
    </row>
    <row r="391" spans="1:10" x14ac:dyDescent="0.2">
      <c r="A391" s="120"/>
      <c r="B391" s="48">
        <f>HEX2DEC("07")</f>
        <v>7</v>
      </c>
      <c r="C391" s="23" t="str">
        <f t="array" ref="C391">INDEX(Moves!$B$2:'Moves'!$B$177, SUM(HEX2DEC("88"),1), 1)</f>
        <v>SonicBoom</v>
      </c>
      <c r="D391" s="48">
        <f>HEX2DEC("07")</f>
        <v>7</v>
      </c>
      <c r="E391" s="23" t="s">
        <v>17</v>
      </c>
      <c r="F391" s="11">
        <v>6</v>
      </c>
      <c r="G391" s="20" t="str">
        <f>VLOOKUP(F391, TMHM!$B$10:$C1519, 2, FALSE)</f>
        <v>Toxic</v>
      </c>
      <c r="H391" s="21"/>
      <c r="I391" s="25"/>
      <c r="J391" s="30"/>
    </row>
    <row r="392" spans="1:10" x14ac:dyDescent="0.2">
      <c r="A392" s="120"/>
      <c r="B392" s="16">
        <f>HEX2DEC("0E")</f>
        <v>14</v>
      </c>
      <c r="C392" s="17" t="str">
        <f t="array" ref="C392">INDEX(Moves!$B$2:'Moves'!$B$177, SUM(HEX2DEC("4B"),1), 1)</f>
        <v>PoisonPowder</v>
      </c>
      <c r="D392" s="16">
        <f>HEX2DEC("0E")</f>
        <v>14</v>
      </c>
      <c r="E392" s="17" t="str">
        <f t="array" ref="E392">INDEX(Moves!$B$2:'Moves'!$B$177, SUM(HEX2DEC("4B"),1), 1)</f>
        <v>PoisonPowder</v>
      </c>
      <c r="F392" s="11">
        <v>7</v>
      </c>
      <c r="G392" s="20" t="str">
        <f>VLOOKUP(F392, TMHM!$B$10:$C1519, 2, FALSE)</f>
        <v>Secret Power</v>
      </c>
      <c r="H392" s="21"/>
      <c r="I392" s="25"/>
      <c r="J392" s="30"/>
    </row>
    <row r="393" spans="1:10" x14ac:dyDescent="0.2">
      <c r="A393" s="120"/>
      <c r="B393" s="16">
        <f>HEX2DEC("10")</f>
        <v>16</v>
      </c>
      <c r="C393" s="17" t="str">
        <f t="array" ref="C393">INDEX(Moves!$B$2:'Moves'!$B$177, SUM(HEX2DEC("28"),1), 1)</f>
        <v>Stun Spore</v>
      </c>
      <c r="D393" s="16">
        <f>HEX2DEC("10")</f>
        <v>16</v>
      </c>
      <c r="E393" s="17" t="str">
        <f t="array" ref="E393">INDEX(Moves!$B$2:'Moves'!$B$177, SUM(HEX2DEC("28"),1), 1)</f>
        <v>Stun Spore</v>
      </c>
      <c r="F393" s="11">
        <v>17</v>
      </c>
      <c r="G393" s="20" t="str">
        <f>VLOOKUP(F393, TMHM!$B$10:$C1519, 2, FALSE)</f>
        <v>SmokeScreen</v>
      </c>
      <c r="H393" s="21"/>
      <c r="I393" s="25"/>
      <c r="J393" s="30"/>
    </row>
    <row r="394" spans="1:10" x14ac:dyDescent="0.2">
      <c r="A394" s="120"/>
      <c r="B394" s="16">
        <f>HEX2DEC("12")</f>
        <v>18</v>
      </c>
      <c r="C394" s="17" t="str">
        <f t="array" ref="C394">INDEX(Moves!$B$2:'Moves'!$B$177, SUM(HEX2DEC("26"),1), 1)</f>
        <v>Sleep Powder</v>
      </c>
      <c r="D394" s="16">
        <f>HEX2DEC("12")</f>
        <v>18</v>
      </c>
      <c r="E394" s="17" t="str">
        <f t="array" ref="E394">INDEX(Moves!$B$2:'Moves'!$B$177, SUM(HEX2DEC("26"),1), 1)</f>
        <v>Sleep Powder</v>
      </c>
      <c r="F394" s="11">
        <v>19</v>
      </c>
      <c r="G394" s="20" t="str">
        <f>VLOOKUP(F394, TMHM!$B$10:$C1519, 2, FALSE)</f>
        <v>Giga Drain</v>
      </c>
      <c r="H394" s="21"/>
      <c r="I394" s="25"/>
      <c r="J394" s="30"/>
    </row>
    <row r="395" spans="1:10" x14ac:dyDescent="0.2">
      <c r="A395" s="120"/>
      <c r="B395" s="16">
        <f>HEX2DEC("17")</f>
        <v>23</v>
      </c>
      <c r="C395" s="17" t="str">
        <f t="array" ref="C395">INDEX(Moves!$B$2:'Moves'!$B$177, SUM(HEX2DEC("45"),1), 1)</f>
        <v>Acid</v>
      </c>
      <c r="D395" s="16">
        <f>HEX2DEC("17")</f>
        <v>23</v>
      </c>
      <c r="E395" s="17" t="str">
        <f t="array" ref="E395">INDEX(Moves!$B$2:'Moves'!$B$177, SUM(HEX2DEC("45"),1), 1)</f>
        <v>Acid</v>
      </c>
      <c r="F395" s="11">
        <v>21</v>
      </c>
      <c r="G395" s="20" t="str">
        <f>VLOOKUP(F395, TMHM!$B$10:$C1519, 2, FALSE)</f>
        <v>Recover</v>
      </c>
      <c r="H395" s="21"/>
      <c r="I395" s="25"/>
      <c r="J395" s="30"/>
    </row>
    <row r="396" spans="1:10" x14ac:dyDescent="0.2">
      <c r="A396" s="120"/>
      <c r="B396" s="48">
        <f>HEX2DEC("20")</f>
        <v>32</v>
      </c>
      <c r="C396" s="23" t="str">
        <f t="array" ref="C396">INDEX(Moves!$B$2:'Moves'!$B$177, SUM(HEX2DEC("70"),1), 1)</f>
        <v>Calm Mind</v>
      </c>
      <c r="D396" s="48">
        <f>HEX2DEC("20")</f>
        <v>32</v>
      </c>
      <c r="E396" s="23" t="s">
        <v>88</v>
      </c>
      <c r="F396" s="11">
        <v>22</v>
      </c>
      <c r="G396" s="20" t="str">
        <f>VLOOKUP(F396, TMHM!$B$10:$C1519, 2, FALSE)</f>
        <v>SolarBeam</v>
      </c>
      <c r="H396" s="21"/>
      <c r="I396" s="25"/>
      <c r="J396" s="30"/>
    </row>
    <row r="397" spans="1:10" x14ac:dyDescent="0.2">
      <c r="A397" s="120"/>
      <c r="B397" s="48">
        <f>HEX2DEC("27")</f>
        <v>39</v>
      </c>
      <c r="C397" s="23" t="str">
        <f t="array" ref="C397">INDEX(Moves!$B$2:'Moves'!$B$177, SUM(HEX2DEC("21"),1), 1)</f>
        <v>Magical Leaf</v>
      </c>
      <c r="D397" s="48">
        <f>HEX2DEC("27")</f>
        <v>39</v>
      </c>
      <c r="E397" s="23" t="s">
        <v>102</v>
      </c>
      <c r="F397" s="11">
        <v>33</v>
      </c>
      <c r="G397" s="20" t="str">
        <f>VLOOKUP(F397, TMHM!$B$10:$C1519, 2, FALSE)</f>
        <v>Razor Leaf</v>
      </c>
      <c r="H397" s="21"/>
      <c r="I397" s="25"/>
      <c r="J397" s="30"/>
    </row>
    <row r="398" spans="1:10" x14ac:dyDescent="0.2">
      <c r="A398" s="121" t="s">
        <v>103</v>
      </c>
      <c r="B398" s="70">
        <f>HEX2DEC("00")</f>
        <v>0</v>
      </c>
      <c r="C398" s="71" t="str">
        <f t="array" ref="C398">INDEX(Moves!$B$2:'Moves'!$B$177, SUM(HEX2DEC("1C"),1), 1)</f>
        <v>Absorb</v>
      </c>
      <c r="D398" s="70">
        <f t="shared" ref="D398:D400" si="35">HEX2DEC("01")</f>
        <v>1</v>
      </c>
      <c r="E398" s="71" t="str">
        <f t="array" ref="E398">INDEX(Moves!$B$2:'Moves'!$B$177, SUM(HEX2DEC("1C"),1), 1)</f>
        <v>Absorb</v>
      </c>
      <c r="F398" s="41">
        <v>1</v>
      </c>
      <c r="G398" s="12" t="str">
        <f>VLOOKUP(F398, TMHM!$B$10:$C1519, 2, FALSE)</f>
        <v>Focus Punch</v>
      </c>
      <c r="H398" s="13">
        <v>1</v>
      </c>
      <c r="I398" s="14" t="str">
        <f>VLOOKUP(H398, TMHM!$B$2:$C$7, 2, FALSE)</f>
        <v>Cut</v>
      </c>
      <c r="J398" s="30"/>
    </row>
    <row r="399" spans="1:10" x14ac:dyDescent="0.2">
      <c r="A399" s="120"/>
      <c r="B399" s="34"/>
      <c r="C399" s="35"/>
      <c r="D399" s="34">
        <f t="shared" si="35"/>
        <v>1</v>
      </c>
      <c r="E399" s="35" t="s">
        <v>17</v>
      </c>
      <c r="F399" s="11">
        <v>6</v>
      </c>
      <c r="G399" s="20" t="str">
        <f>VLOOKUP(F399, TMHM!$B$10:$C1519, 2, FALSE)</f>
        <v>Toxic</v>
      </c>
      <c r="H399" s="21"/>
      <c r="I399" s="25"/>
      <c r="J399" s="30"/>
    </row>
    <row r="400" spans="1:10" x14ac:dyDescent="0.2">
      <c r="A400" s="120"/>
      <c r="B400" s="34"/>
      <c r="C400" s="35"/>
      <c r="D400" s="34">
        <f t="shared" si="35"/>
        <v>1</v>
      </c>
      <c r="E400" s="35" t="str">
        <f t="array" ref="E400">INDEX(Moves!$B$2:'Moves'!$B$177, SUM(HEX2DEC("4B"),1), 1)</f>
        <v>PoisonPowder</v>
      </c>
      <c r="F400" s="11">
        <v>7</v>
      </c>
      <c r="G400" s="20" t="str">
        <f>VLOOKUP(F400, TMHM!$B$10:$C1519, 2, FALSE)</f>
        <v>Secret Power</v>
      </c>
      <c r="H400" s="21"/>
      <c r="I400" s="25"/>
      <c r="J400" s="30"/>
    </row>
    <row r="401" spans="1:10" x14ac:dyDescent="0.2">
      <c r="A401" s="120"/>
      <c r="B401" s="48">
        <f>HEX2DEC("07")</f>
        <v>7</v>
      </c>
      <c r="C401" s="23" t="str">
        <f t="array" ref="C401">INDEX(Moves!$B$2:'Moves'!$B$177, SUM(HEX2DEC("88"),1), 1)</f>
        <v>SonicBoom</v>
      </c>
      <c r="D401" s="48">
        <f>HEX2DEC("07")</f>
        <v>7</v>
      </c>
      <c r="E401" s="23" t="s">
        <v>17</v>
      </c>
      <c r="F401" s="11">
        <v>17</v>
      </c>
      <c r="G401" s="20" t="str">
        <f>VLOOKUP(F401, TMHM!$B$10:$C1519, 2, FALSE)</f>
        <v>SmokeScreen</v>
      </c>
      <c r="H401" s="21"/>
      <c r="I401" s="25"/>
      <c r="J401" s="30"/>
    </row>
    <row r="402" spans="1:10" x14ac:dyDescent="0.2">
      <c r="A402" s="120"/>
      <c r="B402" s="16">
        <f>HEX2DEC("0E")</f>
        <v>14</v>
      </c>
      <c r="C402" s="17" t="str">
        <f t="array" ref="C402">INDEX(Moves!$B$2:'Moves'!$B$177, SUM(HEX2DEC("4B"),1), 1)</f>
        <v>PoisonPowder</v>
      </c>
      <c r="D402" s="16">
        <f>HEX2DEC("0E")</f>
        <v>14</v>
      </c>
      <c r="E402" s="17" t="str">
        <f t="array" ref="E402">INDEX(Moves!$B$2:'Moves'!$B$177, SUM(HEX2DEC("4B"),1), 1)</f>
        <v>PoisonPowder</v>
      </c>
      <c r="F402" s="11">
        <v>19</v>
      </c>
      <c r="G402" s="20" t="str">
        <f>VLOOKUP(F402, TMHM!$B$10:$C1519, 2, FALSE)</f>
        <v>Giga Drain</v>
      </c>
      <c r="H402" s="21"/>
      <c r="I402" s="25"/>
      <c r="J402" s="30"/>
    </row>
    <row r="403" spans="1:10" x14ac:dyDescent="0.2">
      <c r="A403" s="120"/>
      <c r="B403" s="16">
        <f>HEX2DEC("10")</f>
        <v>16</v>
      </c>
      <c r="C403" s="17" t="str">
        <f t="array" ref="C403">INDEX(Moves!$B$2:'Moves'!$B$177, SUM(HEX2DEC("28"),1), 1)</f>
        <v>Stun Spore</v>
      </c>
      <c r="D403" s="16">
        <f>HEX2DEC("10")</f>
        <v>16</v>
      </c>
      <c r="E403" s="17" t="str">
        <f t="array" ref="E403">INDEX(Moves!$B$2:'Moves'!$B$177, SUM(HEX2DEC("28"),1), 1)</f>
        <v>Stun Spore</v>
      </c>
      <c r="F403" s="11">
        <v>21</v>
      </c>
      <c r="G403" s="20" t="str">
        <f>VLOOKUP(F403, TMHM!$B$10:$C1519, 2, FALSE)</f>
        <v>Recover</v>
      </c>
      <c r="H403" s="21"/>
      <c r="I403" s="25"/>
      <c r="J403" s="30"/>
    </row>
    <row r="404" spans="1:10" x14ac:dyDescent="0.2">
      <c r="A404" s="120"/>
      <c r="B404" s="16">
        <f>HEX2DEC("12")</f>
        <v>18</v>
      </c>
      <c r="C404" s="17" t="str">
        <f t="array" ref="C404">INDEX(Moves!$B$2:'Moves'!$B$177, SUM(HEX2DEC("26"),1), 1)</f>
        <v>Sleep Powder</v>
      </c>
      <c r="D404" s="16">
        <f>HEX2DEC("12")</f>
        <v>18</v>
      </c>
      <c r="E404" s="17" t="str">
        <f t="array" ref="E404">INDEX(Moves!$B$2:'Moves'!$B$177, SUM(HEX2DEC("26"),1), 1)</f>
        <v>Sleep Powder</v>
      </c>
      <c r="F404" s="11">
        <v>22</v>
      </c>
      <c r="G404" s="20" t="str">
        <f>VLOOKUP(F404, TMHM!$B$10:$C1519, 2, FALSE)</f>
        <v>SolarBeam</v>
      </c>
      <c r="H404" s="21"/>
      <c r="I404" s="25"/>
      <c r="J404" s="30"/>
    </row>
    <row r="405" spans="1:10" x14ac:dyDescent="0.2">
      <c r="A405" s="120"/>
      <c r="B405" s="16">
        <f>HEX2DEC("18")</f>
        <v>24</v>
      </c>
      <c r="C405" s="17" t="str">
        <f t="array" ref="C405">INDEX(Moves!$B$2:'Moves'!$B$177, SUM(HEX2DEC("45"),1), 1)</f>
        <v>Acid</v>
      </c>
      <c r="D405" s="16">
        <f>HEX2DEC("18")</f>
        <v>24</v>
      </c>
      <c r="E405" s="17" t="str">
        <f t="array" ref="E405">INDEX(Moves!$B$2:'Moves'!$B$177, SUM(HEX2DEC("45"),1), 1)</f>
        <v>Acid</v>
      </c>
      <c r="F405" s="11">
        <v>33</v>
      </c>
      <c r="G405" s="20" t="str">
        <f>VLOOKUP(F405, TMHM!$B$10:$C1519, 2, FALSE)</f>
        <v>Razor Leaf</v>
      </c>
      <c r="H405" s="21"/>
      <c r="I405" s="25"/>
      <c r="J405" s="30"/>
    </row>
    <row r="406" spans="1:10" x14ac:dyDescent="0.2">
      <c r="A406" s="120"/>
      <c r="B406" s="48">
        <f>HEX2DEC("23")</f>
        <v>35</v>
      </c>
      <c r="C406" s="23" t="str">
        <f t="array" ref="C406">INDEX(Moves!$B$2:'Moves'!$B$177, SUM(HEX2DEC("70"),1), 1)</f>
        <v>Calm Mind</v>
      </c>
      <c r="D406" s="48">
        <f>HEX2DEC("23")</f>
        <v>35</v>
      </c>
      <c r="E406" s="23" t="str">
        <f t="array" ref="E406">INDEX(Moves!$B$2:'Moves'!$B$177, SUM(HEX2DEC("70"),1), 1)</f>
        <v>Calm Mind</v>
      </c>
      <c r="F406" s="11"/>
      <c r="H406" s="21"/>
      <c r="I406" s="25"/>
      <c r="J406" s="30"/>
    </row>
    <row r="407" spans="1:10" x14ac:dyDescent="0.2">
      <c r="A407" s="120"/>
      <c r="B407" s="48">
        <f>HEX2DEC("2C")</f>
        <v>44</v>
      </c>
      <c r="C407" s="23" t="str">
        <f t="array" ref="C407">INDEX(Moves!$B$2:'Moves'!$B$177, SUM(HEX2DEC("21"),1), 1)</f>
        <v>Magical Leaf</v>
      </c>
      <c r="D407" s="48">
        <f>HEX2DEC("2C")</f>
        <v>44</v>
      </c>
      <c r="E407" s="23" t="str">
        <f t="array" ref="E407">INDEX(Moves!$B$2:'Moves'!$B$177, SUM(HEX2DEC("21"),1), 1)</f>
        <v>Magical Leaf</v>
      </c>
      <c r="F407" s="11"/>
      <c r="H407" s="21"/>
      <c r="I407" s="25"/>
      <c r="J407" s="30"/>
    </row>
    <row r="408" spans="1:10" x14ac:dyDescent="0.2">
      <c r="A408" s="121" t="s">
        <v>104</v>
      </c>
      <c r="B408" s="70">
        <f>HEX2DEC("00")</f>
        <v>0</v>
      </c>
      <c r="C408" s="71" t="str">
        <f t="array" ref="C408">INDEX(Moves!$B$2:'Moves'!$B$177, SUM(HEX2DEC("1C"),1), 1)</f>
        <v>Absorb</v>
      </c>
      <c r="D408" s="70">
        <f t="shared" ref="D408:D411" si="36">HEX2DEC("01")</f>
        <v>1</v>
      </c>
      <c r="E408" s="71" t="str">
        <f t="array" ref="E408">INDEX(Moves!$B$2:'Moves'!$B$177, SUM(HEX2DEC("1C"),1), 1)</f>
        <v>Absorb</v>
      </c>
      <c r="F408" s="41">
        <v>1</v>
      </c>
      <c r="G408" s="12" t="str">
        <f>VLOOKUP(F408, TMHM!$B$10:$C1519, 2, FALSE)</f>
        <v>Focus Punch</v>
      </c>
      <c r="H408" s="13">
        <v>1</v>
      </c>
      <c r="I408" s="14" t="str">
        <f>VLOOKUP(H408, TMHM!$B$2:$C$7, 2, FALSE)</f>
        <v>Cut</v>
      </c>
      <c r="J408" s="30"/>
    </row>
    <row r="409" spans="1:10" x14ac:dyDescent="0.2">
      <c r="A409" s="120"/>
      <c r="B409" s="43">
        <f>HEX2DEC("0E")</f>
        <v>14</v>
      </c>
      <c r="C409" s="23" t="str">
        <f t="array" ref="C409">INDEX(Moves!$B$2:'Moves'!$B$177, SUM(HEX2DEC("4B"),1), 1)</f>
        <v>PoisonPowder</v>
      </c>
      <c r="D409" s="43">
        <f t="shared" si="36"/>
        <v>1</v>
      </c>
      <c r="E409" s="23" t="s">
        <v>17</v>
      </c>
      <c r="F409" s="11">
        <v>6</v>
      </c>
      <c r="G409" s="20" t="str">
        <f>VLOOKUP(F409, TMHM!$B$10:$C1519, 2, FALSE)</f>
        <v>Toxic</v>
      </c>
      <c r="H409" s="21"/>
      <c r="I409" s="25"/>
      <c r="J409" s="30"/>
    </row>
    <row r="410" spans="1:10" x14ac:dyDescent="0.2">
      <c r="A410" s="120"/>
      <c r="B410" s="16">
        <f>HEX2DEC("10")</f>
        <v>16</v>
      </c>
      <c r="C410" s="17" t="str">
        <f t="array" ref="C410">INDEX(Moves!$B$2:'Moves'!$B$177, SUM(HEX2DEC("28"),1), 1)</f>
        <v>Stun Spore</v>
      </c>
      <c r="D410" s="16">
        <f t="shared" si="36"/>
        <v>1</v>
      </c>
      <c r="E410" s="17" t="str">
        <f t="array" ref="E410">INDEX(Moves!$B$2:'Moves'!$B$177, SUM(HEX2DEC("28"),1), 1)</f>
        <v>Stun Spore</v>
      </c>
      <c r="F410" s="11">
        <v>7</v>
      </c>
      <c r="G410" s="20" t="str">
        <f>VLOOKUP(F410, TMHM!$B$10:$C1519, 2, FALSE)</f>
        <v>Secret Power</v>
      </c>
      <c r="H410" s="21"/>
      <c r="I410" s="25"/>
      <c r="J410" s="30"/>
    </row>
    <row r="411" spans="1:10" x14ac:dyDescent="0.2">
      <c r="A411" s="120"/>
      <c r="B411" s="43">
        <f>HEX2DEC("18")</f>
        <v>24</v>
      </c>
      <c r="C411" s="23" t="str">
        <f t="array" ref="C411">INDEX(Moves!$B$2:'Moves'!$B$177, SUM(HEX2DEC("45"),1), 1)</f>
        <v>Acid</v>
      </c>
      <c r="D411" s="43">
        <f t="shared" si="36"/>
        <v>1</v>
      </c>
      <c r="E411" s="23" t="s">
        <v>102</v>
      </c>
      <c r="F411" s="11">
        <v>17</v>
      </c>
      <c r="G411" s="20" t="str">
        <f>VLOOKUP(F411, TMHM!$B$10:$C1519, 2, FALSE)</f>
        <v>SmokeScreen</v>
      </c>
      <c r="H411" s="21"/>
      <c r="I411" s="25"/>
      <c r="J411" s="30"/>
    </row>
    <row r="412" spans="1:10" x14ac:dyDescent="0.2">
      <c r="A412" s="120"/>
      <c r="B412" s="67">
        <f>HEX2DEC("2C")</f>
        <v>44</v>
      </c>
      <c r="C412" s="68" t="str">
        <f t="array" ref="C412">INDEX(Moves!$B$2:'Moves'!$B$177, SUM(HEX2DEC("21"),1), 1)</f>
        <v>Magical Leaf</v>
      </c>
      <c r="D412" s="67"/>
      <c r="E412" s="68"/>
      <c r="F412" s="11">
        <v>19</v>
      </c>
      <c r="G412" s="20" t="str">
        <f>VLOOKUP(F412, TMHM!$B$10:$C1519, 2, FALSE)</f>
        <v>Giga Drain</v>
      </c>
      <c r="H412" s="21"/>
      <c r="I412" s="25"/>
      <c r="J412" s="30"/>
    </row>
    <row r="413" spans="1:10" x14ac:dyDescent="0.2">
      <c r="A413" s="120"/>
      <c r="B413" s="73"/>
      <c r="C413" s="74"/>
      <c r="D413" s="73"/>
      <c r="E413" s="74"/>
      <c r="F413" s="11">
        <v>21</v>
      </c>
      <c r="G413" s="20" t="str">
        <f>VLOOKUP(F413, TMHM!$B$10:$C1519, 2, FALSE)</f>
        <v>Recover</v>
      </c>
      <c r="H413" s="21"/>
      <c r="I413" s="25"/>
      <c r="J413" s="30"/>
    </row>
    <row r="414" spans="1:10" x14ac:dyDescent="0.2">
      <c r="A414" s="120"/>
      <c r="B414" s="73"/>
      <c r="C414" s="74"/>
      <c r="D414" s="73"/>
      <c r="E414" s="74"/>
      <c r="F414" s="11">
        <v>22</v>
      </c>
      <c r="G414" s="20" t="str">
        <f>VLOOKUP(F414, TMHM!$B$10:$C1519, 2, FALSE)</f>
        <v>SolarBeam</v>
      </c>
      <c r="H414" s="21"/>
      <c r="I414" s="25"/>
      <c r="J414" s="30"/>
    </row>
    <row r="415" spans="1:10" x14ac:dyDescent="0.2">
      <c r="A415" s="120"/>
      <c r="B415" s="73"/>
      <c r="C415" s="74"/>
      <c r="D415" s="73"/>
      <c r="E415" s="74"/>
      <c r="F415" s="11">
        <v>33</v>
      </c>
      <c r="G415" s="20" t="str">
        <f>VLOOKUP(F415, TMHM!$B$10:$C1519, 2, FALSE)</f>
        <v>Razor Leaf</v>
      </c>
      <c r="H415" s="21"/>
      <c r="I415" s="25"/>
      <c r="J415" s="30"/>
    </row>
    <row r="416" spans="1:10" x14ac:dyDescent="0.2">
      <c r="A416" s="121" t="s">
        <v>105</v>
      </c>
      <c r="B416" s="64">
        <f>HEX2DEC("00")</f>
        <v>0</v>
      </c>
      <c r="C416" s="65" t="str">
        <f t="array" ref="C416">INDEX(Moves!$B$2:'Moves'!$B$177, SUM(HEX2DEC("A5"),1), 1)</f>
        <v>Tickle</v>
      </c>
      <c r="D416" s="64">
        <f>HEX2DEC("01")</f>
        <v>1</v>
      </c>
      <c r="E416" s="65" t="str">
        <f t="array" ref="E416">INDEX(Moves!$B$2:'Moves'!$B$177, SUM(HEX2DEC("8B"),1), 1)</f>
        <v>Scratch</v>
      </c>
      <c r="F416" s="41">
        <v>1</v>
      </c>
      <c r="G416" s="12" t="str">
        <f>VLOOKUP(F416, TMHM!$B$10:$C1519, 2, FALSE)</f>
        <v>Focus Punch</v>
      </c>
      <c r="H416" s="13">
        <v>1</v>
      </c>
      <c r="I416" s="14" t="str">
        <f>VLOOKUP(H416, TMHM!$B$2:$C$7, 2, FALSE)</f>
        <v>Cut</v>
      </c>
      <c r="J416" s="30"/>
    </row>
    <row r="417" spans="1:10" x14ac:dyDescent="0.2">
      <c r="A417" s="120"/>
      <c r="B417" s="16">
        <f>HEX2DEC("07")</f>
        <v>7</v>
      </c>
      <c r="C417" s="17" t="str">
        <f t="array" ref="C417">INDEX(Moves!$B$2:'Moves'!$B$177, SUM(HEX2DEC("28"),1), 1)</f>
        <v>Stun Spore</v>
      </c>
      <c r="D417" s="16">
        <f>HEX2DEC("07")</f>
        <v>7</v>
      </c>
      <c r="E417" s="17" t="str">
        <f t="array" ref="E417">INDEX(Moves!$B$2:'Moves'!$B$177, SUM(HEX2DEC("28"),1), 1)</f>
        <v>Stun Spore</v>
      </c>
      <c r="F417" s="11">
        <v>6</v>
      </c>
      <c r="G417" s="20" t="str">
        <f>VLOOKUP(F417, TMHM!$B$10:$C1519, 2, FALSE)</f>
        <v>Toxic</v>
      </c>
      <c r="H417" s="21"/>
      <c r="I417" s="25"/>
      <c r="J417" s="30"/>
    </row>
    <row r="418" spans="1:10" x14ac:dyDescent="0.2">
      <c r="A418" s="120"/>
      <c r="B418" s="16">
        <f>HEX2DEC("0D")</f>
        <v>13</v>
      </c>
      <c r="C418" s="17" t="str">
        <f t="array" ref="C418">INDEX(Moves!$B$2:'Moves'!$B$177, SUM(HEX2DEC("4B"),1), 1)</f>
        <v>PoisonPowder</v>
      </c>
      <c r="D418" s="16">
        <f>HEX2DEC("0D")</f>
        <v>13</v>
      </c>
      <c r="E418" s="17" t="str">
        <f t="array" ref="E418">INDEX(Moves!$B$2:'Moves'!$B$177, SUM(HEX2DEC("4B"),1), 1)</f>
        <v>PoisonPowder</v>
      </c>
      <c r="F418" s="11">
        <v>7</v>
      </c>
      <c r="G418" s="20" t="str">
        <f>VLOOKUP(F418, TMHM!$B$10:$C1519, 2, FALSE)</f>
        <v>Secret Power</v>
      </c>
      <c r="H418" s="21"/>
      <c r="I418" s="25"/>
      <c r="J418" s="30"/>
    </row>
    <row r="419" spans="1:10" x14ac:dyDescent="0.2">
      <c r="A419" s="120"/>
      <c r="B419" s="16">
        <f>HEX2DEC("13")</f>
        <v>19</v>
      </c>
      <c r="C419" s="17" t="str">
        <f t="array" ref="C419">INDEX(Moves!$B$2:'Moves'!$B$177, SUM(HEX2DEC("3C"),1), 1)</f>
        <v>Leech Life</v>
      </c>
      <c r="D419" s="16">
        <f>HEX2DEC("13")</f>
        <v>19</v>
      </c>
      <c r="E419" s="17" t="str">
        <f t="array" ref="E419">INDEX(Moves!$B$2:'Moves'!$B$177, SUM(HEX2DEC("3C"),1), 1)</f>
        <v>Leech Life</v>
      </c>
      <c r="F419" s="11">
        <v>17</v>
      </c>
      <c r="G419" s="20" t="str">
        <f>VLOOKUP(F419, TMHM!$B$10:$C1519, 2, FALSE)</f>
        <v>SmokeScreen</v>
      </c>
      <c r="H419" s="21"/>
      <c r="I419" s="25"/>
      <c r="J419" s="30"/>
    </row>
    <row r="420" spans="1:10" x14ac:dyDescent="0.2">
      <c r="A420" s="120"/>
      <c r="B420" s="16">
        <f>HEX2DEC("19")</f>
        <v>25</v>
      </c>
      <c r="C420" s="17" t="str">
        <f t="array" ref="C420">INDEX(Moves!$B$2:'Moves'!$B$177, SUM(HEX2DEC("27"),1), 1)</f>
        <v>Spore</v>
      </c>
      <c r="D420" s="16">
        <f>HEX2DEC("19")</f>
        <v>25</v>
      </c>
      <c r="E420" s="17" t="str">
        <f t="array" ref="E420">INDEX(Moves!$B$2:'Moves'!$B$177, SUM(HEX2DEC("27"),1), 1)</f>
        <v>Spore</v>
      </c>
      <c r="F420" s="11">
        <v>19</v>
      </c>
      <c r="G420" s="20" t="str">
        <f>VLOOKUP(F420, TMHM!$B$10:$C1519, 2, FALSE)</f>
        <v>Giga Drain</v>
      </c>
      <c r="H420" s="21"/>
      <c r="I420" s="25"/>
      <c r="J420" s="30"/>
    </row>
    <row r="421" spans="1:10" x14ac:dyDescent="0.2">
      <c r="A421" s="120"/>
      <c r="B421" s="48">
        <f>HEX2DEC("1F")</f>
        <v>31</v>
      </c>
      <c r="C421" s="23" t="str">
        <f t="array" ref="C421">INDEX(Moves!$B$2:'Moves'!$B$177, SUM(HEX2DEC("4F"),1), 1)</f>
        <v>Karate Chop</v>
      </c>
      <c r="D421" s="48">
        <f>HEX2DEC("1F")</f>
        <v>31</v>
      </c>
      <c r="E421" s="23" t="s">
        <v>28</v>
      </c>
      <c r="F421" s="11">
        <v>21</v>
      </c>
      <c r="G421" s="20" t="str">
        <f>VLOOKUP(F421, TMHM!$B$10:$C1519, 2, FALSE)</f>
        <v>Recover</v>
      </c>
      <c r="H421" s="21"/>
      <c r="I421" s="25"/>
      <c r="J421" s="30"/>
    </row>
    <row r="422" spans="1:10" x14ac:dyDescent="0.2">
      <c r="A422" s="120"/>
      <c r="B422" s="48">
        <f>HEX2DEC("25")</f>
        <v>37</v>
      </c>
      <c r="C422" s="23" t="str">
        <f t="array" ref="C422">INDEX(Moves!$B$2:'Moves'!$B$177, SUM(HEX2DEC("A0"),1), 1)</f>
        <v>Growl</v>
      </c>
      <c r="D422" s="48">
        <f>HEX2DEC("25")</f>
        <v>37</v>
      </c>
      <c r="E422" s="23" t="s">
        <v>19</v>
      </c>
      <c r="F422" s="11">
        <v>22</v>
      </c>
      <c r="G422" s="20" t="str">
        <f>VLOOKUP(F422, TMHM!$B$10:$C1519, 2, FALSE)</f>
        <v>SolarBeam</v>
      </c>
      <c r="H422" s="21"/>
      <c r="I422" s="25"/>
      <c r="J422" s="30"/>
    </row>
    <row r="423" spans="1:10" x14ac:dyDescent="0.2">
      <c r="A423" s="120"/>
      <c r="B423" s="16">
        <f>HEX2DEC("2B")</f>
        <v>43</v>
      </c>
      <c r="C423" s="17" t="str">
        <f t="array" ref="C423">INDEX(Moves!$B$2:'Moves'!$B$177, SUM(HEX2DEC("1E"),1), 1)</f>
        <v>Giga Drain</v>
      </c>
      <c r="D423" s="16">
        <f>HEX2DEC("2B")</f>
        <v>43</v>
      </c>
      <c r="E423" s="17" t="str">
        <f t="array" ref="E423">INDEX(Moves!$B$2:'Moves'!$B$177, SUM(HEX2DEC("1E"),1), 1)</f>
        <v>Giga Drain</v>
      </c>
      <c r="F423" s="11">
        <v>33</v>
      </c>
      <c r="G423" s="20" t="str">
        <f>VLOOKUP(F423, TMHM!$B$10:$C1519, 2, FALSE)</f>
        <v>Razor Leaf</v>
      </c>
      <c r="H423" s="21"/>
      <c r="I423" s="25"/>
      <c r="J423" s="30"/>
    </row>
    <row r="424" spans="1:10" x14ac:dyDescent="0.2">
      <c r="A424" s="121" t="s">
        <v>106</v>
      </c>
      <c r="B424" s="64">
        <f>HEX2DEC("00")</f>
        <v>0</v>
      </c>
      <c r="C424" s="65" t="str">
        <f t="array" ref="C424">INDEX(Moves!$B$2:'Moves'!$B$177, SUM(HEX2DEC("A5"),1), 1)</f>
        <v>Tickle</v>
      </c>
      <c r="D424" s="64">
        <f t="shared" ref="D424:D426" si="37">HEX2DEC("01")</f>
        <v>1</v>
      </c>
      <c r="E424" s="65" t="str">
        <f t="array" ref="E424">INDEX(Moves!$B$2:'Moves'!$B$177, SUM(HEX2DEC("8B"),1), 1)</f>
        <v>Scratch</v>
      </c>
      <c r="F424" s="41">
        <v>1</v>
      </c>
      <c r="G424" s="12" t="str">
        <f>VLOOKUP(F424, TMHM!$B$10:$C1519, 2, FALSE)</f>
        <v>Focus Punch</v>
      </c>
      <c r="H424" s="13">
        <v>1</v>
      </c>
      <c r="I424" s="14" t="str">
        <f>VLOOKUP(H424, TMHM!$B$2:$C$7, 2, FALSE)</f>
        <v>Cut</v>
      </c>
      <c r="J424" s="30"/>
    </row>
    <row r="425" spans="1:10" x14ac:dyDescent="0.2">
      <c r="A425" s="120"/>
      <c r="B425" s="34"/>
      <c r="C425" s="35"/>
      <c r="D425" s="34">
        <f t="shared" si="37"/>
        <v>1</v>
      </c>
      <c r="E425" s="35" t="str">
        <f t="array" ref="E425">INDEX(Moves!$B$2:'Moves'!$B$177, SUM(HEX2DEC("28"),1), 1)</f>
        <v>Stun Spore</v>
      </c>
      <c r="F425" s="11">
        <v>6</v>
      </c>
      <c r="G425" s="20" t="str">
        <f>VLOOKUP(F425, TMHM!$B$10:$C1519, 2, FALSE)</f>
        <v>Toxic</v>
      </c>
      <c r="H425" s="21"/>
      <c r="I425" s="25"/>
      <c r="J425" s="30"/>
    </row>
    <row r="426" spans="1:10" x14ac:dyDescent="0.2">
      <c r="A426" s="120"/>
      <c r="B426" s="34"/>
      <c r="C426" s="35"/>
      <c r="D426" s="34">
        <f t="shared" si="37"/>
        <v>1</v>
      </c>
      <c r="E426" s="35" t="str">
        <f t="array" ref="E426">INDEX(Moves!$B$2:'Moves'!$B$177, SUM(HEX2DEC("4B"),1), 1)</f>
        <v>PoisonPowder</v>
      </c>
      <c r="F426" s="11">
        <v>7</v>
      </c>
      <c r="G426" s="20" t="str">
        <f>VLOOKUP(F426, TMHM!$B$10:$C1519, 2, FALSE)</f>
        <v>Secret Power</v>
      </c>
      <c r="H426" s="21"/>
      <c r="I426" s="25"/>
      <c r="J426" s="30"/>
    </row>
    <row r="427" spans="1:10" x14ac:dyDescent="0.2">
      <c r="A427" s="120"/>
      <c r="B427" s="16">
        <f>HEX2DEC("07")</f>
        <v>7</v>
      </c>
      <c r="C427" s="17" t="str">
        <f t="array" ref="C427">INDEX(Moves!$B$2:'Moves'!$B$177, SUM(HEX2DEC("28"),1), 1)</f>
        <v>Stun Spore</v>
      </c>
      <c r="D427" s="16">
        <f>HEX2DEC("07")</f>
        <v>7</v>
      </c>
      <c r="E427" s="17" t="str">
        <f t="array" ref="E427">INDEX(Moves!$B$2:'Moves'!$B$177, SUM(HEX2DEC("28"),1), 1)</f>
        <v>Stun Spore</v>
      </c>
      <c r="F427" s="11">
        <v>17</v>
      </c>
      <c r="G427" s="20" t="str">
        <f>VLOOKUP(F427, TMHM!$B$10:$C1519, 2, FALSE)</f>
        <v>SmokeScreen</v>
      </c>
      <c r="H427" s="21"/>
      <c r="I427" s="25"/>
      <c r="J427" s="30"/>
    </row>
    <row r="428" spans="1:10" x14ac:dyDescent="0.2">
      <c r="A428" s="120"/>
      <c r="B428" s="16">
        <f>HEX2DEC("0D")</f>
        <v>13</v>
      </c>
      <c r="C428" s="17" t="str">
        <f t="array" ref="C428">INDEX(Moves!$B$2:'Moves'!$B$177, SUM(HEX2DEC("4B"),1), 1)</f>
        <v>PoisonPowder</v>
      </c>
      <c r="D428" s="16">
        <f>HEX2DEC("0D")</f>
        <v>13</v>
      </c>
      <c r="E428" s="17" t="str">
        <f t="array" ref="E428">INDEX(Moves!$B$2:'Moves'!$B$177, SUM(HEX2DEC("4B"),1), 1)</f>
        <v>PoisonPowder</v>
      </c>
      <c r="F428" s="11">
        <v>19</v>
      </c>
      <c r="G428" s="20" t="str">
        <f>VLOOKUP(F428, TMHM!$B$10:$C1519, 2, FALSE)</f>
        <v>Giga Drain</v>
      </c>
      <c r="H428" s="21"/>
      <c r="I428" s="25"/>
      <c r="J428" s="30"/>
    </row>
    <row r="429" spans="1:10" x14ac:dyDescent="0.2">
      <c r="A429" s="120"/>
      <c r="B429" s="16">
        <f>HEX2DEC("13")</f>
        <v>19</v>
      </c>
      <c r="C429" s="17" t="str">
        <f t="array" ref="C429">INDEX(Moves!$B$2:'Moves'!$B$177, SUM(HEX2DEC("3C"),1), 1)</f>
        <v>Leech Life</v>
      </c>
      <c r="D429" s="16">
        <f>HEX2DEC("13")</f>
        <v>19</v>
      </c>
      <c r="E429" s="17" t="str">
        <f t="array" ref="E429">INDEX(Moves!$B$2:'Moves'!$B$177, SUM(HEX2DEC("3C"),1), 1)</f>
        <v>Leech Life</v>
      </c>
      <c r="F429" s="11">
        <v>21</v>
      </c>
      <c r="G429" s="20" t="str">
        <f>VLOOKUP(F429, TMHM!$B$10:$C1519, 2, FALSE)</f>
        <v>Recover</v>
      </c>
      <c r="H429" s="21"/>
      <c r="I429" s="25"/>
      <c r="J429" s="30"/>
    </row>
    <row r="430" spans="1:10" x14ac:dyDescent="0.2">
      <c r="A430" s="120"/>
      <c r="B430" s="16">
        <f>HEX2DEC("1C")</f>
        <v>28</v>
      </c>
      <c r="C430" s="17" t="str">
        <f t="array" ref="C430">INDEX(Moves!$B$2:'Moves'!$B$177, SUM(HEX2DEC("27"),1), 1)</f>
        <v>Spore</v>
      </c>
      <c r="D430" s="16">
        <f>HEX2DEC("19")</f>
        <v>25</v>
      </c>
      <c r="E430" s="17" t="str">
        <f t="array" ref="E430">INDEX(Moves!$B$2:'Moves'!$B$177, SUM(HEX2DEC("27"),1), 1)</f>
        <v>Spore</v>
      </c>
      <c r="F430" s="11">
        <v>22</v>
      </c>
      <c r="G430" s="20" t="str">
        <f>VLOOKUP(F430, TMHM!$B$10:$C1519, 2, FALSE)</f>
        <v>SolarBeam</v>
      </c>
      <c r="H430" s="21"/>
      <c r="I430" s="25"/>
      <c r="J430" s="30"/>
    </row>
    <row r="431" spans="1:10" x14ac:dyDescent="0.2">
      <c r="A431" s="120"/>
      <c r="B431" s="48">
        <f>HEX2DEC("25")</f>
        <v>37</v>
      </c>
      <c r="C431" s="23" t="str">
        <f t="array" ref="C431">INDEX(Moves!$B$2:'Moves'!$B$177, SUM(HEX2DEC("4F"),1), 1)</f>
        <v>Karate Chop</v>
      </c>
      <c r="D431" s="48">
        <f>HEX2DEC("25")</f>
        <v>37</v>
      </c>
      <c r="E431" s="23" t="s">
        <v>28</v>
      </c>
      <c r="F431" s="11">
        <v>33</v>
      </c>
      <c r="G431" s="20" t="str">
        <f>VLOOKUP(F431, TMHM!$B$10:$C1519, 2, FALSE)</f>
        <v>Razor Leaf</v>
      </c>
      <c r="H431" s="21"/>
      <c r="I431" s="25"/>
      <c r="J431" s="30"/>
    </row>
    <row r="432" spans="1:10" x14ac:dyDescent="0.2">
      <c r="A432" s="120"/>
      <c r="B432" s="48">
        <f>HEX2DEC("2E")</f>
        <v>46</v>
      </c>
      <c r="C432" s="23" t="str">
        <f t="array" ref="C432">INDEX(Moves!$B$2:'Moves'!$B$177, SUM(HEX2DEC("A0"),1), 1)</f>
        <v>Growl</v>
      </c>
      <c r="D432" s="48">
        <f>HEX2DEC("2E")</f>
        <v>46</v>
      </c>
      <c r="E432" s="23" t="s">
        <v>19</v>
      </c>
      <c r="F432" s="11"/>
      <c r="H432" s="21"/>
      <c r="I432" s="25"/>
      <c r="J432" s="30"/>
    </row>
    <row r="433" spans="1:10" x14ac:dyDescent="0.2">
      <c r="A433" s="120"/>
      <c r="B433" s="16">
        <f>HEX2DEC("37")</f>
        <v>55</v>
      </c>
      <c r="C433" s="17" t="str">
        <f t="array" ref="C433">INDEX(Moves!$B$2:'Moves'!$B$177, SUM(HEX2DEC("1E"),1), 1)</f>
        <v>Giga Drain</v>
      </c>
      <c r="D433" s="16">
        <f>HEX2DEC("37")</f>
        <v>55</v>
      </c>
      <c r="E433" s="17" t="str">
        <f t="array" ref="E433">INDEX(Moves!$B$2:'Moves'!$B$177, SUM(HEX2DEC("1E"),1), 1)</f>
        <v>Giga Drain</v>
      </c>
      <c r="F433" s="11"/>
      <c r="H433" s="21"/>
      <c r="I433" s="25"/>
      <c r="J433" s="30"/>
    </row>
    <row r="434" spans="1:10" x14ac:dyDescent="0.2">
      <c r="A434" s="121" t="s">
        <v>107</v>
      </c>
      <c r="B434" s="70">
        <f>HEX2DEC("00")</f>
        <v>0</v>
      </c>
      <c r="C434" s="71" t="str">
        <f t="array" ref="C434">INDEX(Moves!$B$2:'Moves'!$B$177, SUM(HEX2DEC("89"),1), 1)</f>
        <v>Tackle</v>
      </c>
      <c r="D434" s="70">
        <f t="shared" ref="D434:D436" si="38">HEX2DEC("01")</f>
        <v>1</v>
      </c>
      <c r="E434" s="71" t="str">
        <f t="array" ref="E434">INDEX(Moves!$B$2:'Moves'!$B$177, SUM(HEX2DEC("89"),1), 1)</f>
        <v>Tackle</v>
      </c>
      <c r="F434" s="41">
        <v>4</v>
      </c>
      <c r="G434" s="12" t="str">
        <f>VLOOKUP(F434, TMHM!$B$10:$C1519, 2, FALSE)</f>
        <v>Calm Mind</v>
      </c>
      <c r="H434" s="13">
        <v>5</v>
      </c>
      <c r="I434" s="14" t="str">
        <f>VLOOKUP(H434, TMHM!$B$2:$C$7, 2, FALSE)</f>
        <v>Flash</v>
      </c>
      <c r="J434" s="30"/>
    </row>
    <row r="435" spans="1:10" x14ac:dyDescent="0.2">
      <c r="A435" s="120"/>
      <c r="B435" s="43">
        <f>HEX2DEC("02")</f>
        <v>2</v>
      </c>
      <c r="C435" s="23" t="str">
        <f t="array" ref="C435">INDEX(Moves!$B$2:'Moves'!$B$177, SUM(HEX2DEC("A0"),1), 1)</f>
        <v>Growl</v>
      </c>
      <c r="D435" s="43">
        <f t="shared" si="38"/>
        <v>1</v>
      </c>
      <c r="E435" s="23" t="s">
        <v>94</v>
      </c>
      <c r="F435" s="11">
        <v>5</v>
      </c>
      <c r="G435" s="20" t="str">
        <f>VLOOKUP(F435, TMHM!$B$10:$C1519, 2, FALSE)</f>
        <v>Roar</v>
      </c>
      <c r="H435" s="21"/>
      <c r="I435" s="25"/>
      <c r="J435" s="30"/>
    </row>
    <row r="436" spans="1:10" x14ac:dyDescent="0.2">
      <c r="A436" s="120"/>
      <c r="B436" s="43">
        <f>HEX2DEC("04")</f>
        <v>4</v>
      </c>
      <c r="C436" s="23" t="str">
        <f t="array" ref="C436">INDEX(Moves!$B$2:'Moves'!$B$177, SUM(HEX2DEC("A2"),1), 1)</f>
        <v>Defense Curl</v>
      </c>
      <c r="D436" s="43">
        <f t="shared" si="38"/>
        <v>1</v>
      </c>
      <c r="E436" s="23" t="s">
        <v>108</v>
      </c>
      <c r="F436" s="11">
        <v>6</v>
      </c>
      <c r="G436" s="20" t="str">
        <f>VLOOKUP(F436, TMHM!$B$10:$C1519, 2, FALSE)</f>
        <v>Toxic</v>
      </c>
      <c r="H436" s="21"/>
      <c r="I436" s="25"/>
      <c r="J436" s="30"/>
    </row>
    <row r="437" spans="1:10" x14ac:dyDescent="0.2">
      <c r="A437" s="120"/>
      <c r="B437" s="16">
        <f>HEX2DEC("09")</f>
        <v>9</v>
      </c>
      <c r="C437" s="17" t="str">
        <f t="array" ref="C437">INDEX(Moves!$B$2:'Moves'!$B$177, SUM(HEX2DEC("9E"),1), 1)</f>
        <v>Supersonic</v>
      </c>
      <c r="D437" s="16">
        <f>HEX2DEC("09")</f>
        <v>9</v>
      </c>
      <c r="E437" s="17" t="str">
        <f t="array" ref="E437">INDEX(Moves!$B$2:'Moves'!$B$177, SUM(HEX2DEC("9E"),1), 1)</f>
        <v>Supersonic</v>
      </c>
      <c r="F437" s="11">
        <v>10</v>
      </c>
      <c r="G437" s="20" t="str">
        <f>VLOOKUP(F437, TMHM!$B$10:$C1519, 2, FALSE)</f>
        <v>Bite</v>
      </c>
      <c r="H437" s="21"/>
      <c r="I437" s="25"/>
      <c r="J437" s="30"/>
    </row>
    <row r="438" spans="1:10" x14ac:dyDescent="0.2">
      <c r="A438" s="120"/>
      <c r="B438" s="16">
        <f>HEX2DEC("11")</f>
        <v>17</v>
      </c>
      <c r="C438" s="17" t="str">
        <f t="array" ref="C438">INDEX(Moves!$B$2:'Moves'!$B$177, SUM(HEX2DEC("65"),1), 1)</f>
        <v>Confusion</v>
      </c>
      <c r="D438" s="16">
        <f>HEX2DEC("11")</f>
        <v>17</v>
      </c>
      <c r="E438" s="17" t="str">
        <f t="array" ref="E438">INDEX(Moves!$B$2:'Moves'!$B$177, SUM(HEX2DEC("65"),1), 1)</f>
        <v>Confusion</v>
      </c>
      <c r="F438" s="11">
        <v>17</v>
      </c>
      <c r="G438" s="20" t="str">
        <f>VLOOKUP(F438, TMHM!$B$10:$C1519, 2, FALSE)</f>
        <v>SmokeScreen</v>
      </c>
      <c r="H438" s="21"/>
      <c r="I438" s="25"/>
      <c r="J438" s="30"/>
    </row>
    <row r="439" spans="1:10" x14ac:dyDescent="0.2">
      <c r="A439" s="120"/>
      <c r="B439" s="16">
        <f>HEX2DEC("14")</f>
        <v>20</v>
      </c>
      <c r="C439" s="17" t="str">
        <f t="array" ref="C439">INDEX(Moves!$B$2:'Moves'!$B$177, SUM(HEX2DEC("4B"),1), 1)</f>
        <v>PoisonPowder</v>
      </c>
      <c r="D439" s="16">
        <f>HEX2DEC("14")</f>
        <v>20</v>
      </c>
      <c r="E439" s="17" t="str">
        <f t="array" ref="E439">INDEX(Moves!$B$2:'Moves'!$B$177, SUM(HEX2DEC("4B"),1), 1)</f>
        <v>PoisonPowder</v>
      </c>
      <c r="F439" s="11">
        <v>29</v>
      </c>
      <c r="G439" s="20" t="str">
        <f>VLOOKUP(F439, TMHM!$B$10:$C1519, 2, FALSE)</f>
        <v>Psychic</v>
      </c>
      <c r="H439" s="21"/>
      <c r="I439" s="25"/>
      <c r="J439" s="30"/>
    </row>
    <row r="440" spans="1:10" x14ac:dyDescent="0.2">
      <c r="A440" s="120"/>
      <c r="B440" s="16">
        <f>HEX2DEC("19")</f>
        <v>25</v>
      </c>
      <c r="C440" s="17" t="str">
        <f t="array" ref="C440">INDEX(Moves!$B$2:'Moves'!$B$177, SUM(HEX2DEC("3C"),1), 1)</f>
        <v>Leech Life</v>
      </c>
      <c r="D440" s="16">
        <f>HEX2DEC("19")</f>
        <v>25</v>
      </c>
      <c r="E440" s="17" t="str">
        <f t="array" ref="E440">INDEX(Moves!$B$2:'Moves'!$B$177, SUM(HEX2DEC("3C"),1), 1)</f>
        <v>Leech Life</v>
      </c>
      <c r="F440" s="11">
        <v>32</v>
      </c>
      <c r="G440" s="20" t="str">
        <f>VLOOKUP(F440, TMHM!$B$10:$C1519, 2, FALSE)</f>
        <v>Double Team</v>
      </c>
      <c r="H440" s="21"/>
      <c r="I440" s="25"/>
      <c r="J440" s="30"/>
    </row>
    <row r="441" spans="1:10" x14ac:dyDescent="0.2">
      <c r="A441" s="120"/>
      <c r="B441" s="16">
        <f>HEX2DEC("1C")</f>
        <v>28</v>
      </c>
      <c r="C441" s="17" t="str">
        <f t="array" ref="C441">INDEX(Moves!$B$2:'Moves'!$B$177, SUM(HEX2DEC("28"),1), 1)</f>
        <v>Stun Spore</v>
      </c>
      <c r="D441" s="16">
        <f>HEX2DEC("1C")</f>
        <v>28</v>
      </c>
      <c r="E441" s="17" t="str">
        <f t="array" ref="E441">INDEX(Moves!$B$2:'Moves'!$B$177, SUM(HEX2DEC("28"),1), 1)</f>
        <v>Stun Spore</v>
      </c>
      <c r="F441" s="11">
        <v>40</v>
      </c>
      <c r="G441" s="20" t="str">
        <f>VLOOKUP(F441, TMHM!$B$10:$C1519, 2, FALSE)</f>
        <v>Psychic</v>
      </c>
      <c r="H441" s="21"/>
      <c r="I441" s="25"/>
      <c r="J441" s="30"/>
    </row>
    <row r="442" spans="1:10" x14ac:dyDescent="0.2">
      <c r="A442" s="120"/>
      <c r="B442" s="16">
        <f>HEX2DEC("21")</f>
        <v>33</v>
      </c>
      <c r="C442" s="17" t="str">
        <f t="array" ref="C442">INDEX(Moves!$B$2:'Moves'!$B$177, SUM(HEX2DEC("66"),1), 1)</f>
        <v>Psybeam</v>
      </c>
      <c r="D442" s="16">
        <f>HEX2DEC("21")</f>
        <v>33</v>
      </c>
      <c r="E442" s="17" t="str">
        <f t="array" ref="E442">INDEX(Moves!$B$2:'Moves'!$B$177, SUM(HEX2DEC("66"),1), 1)</f>
        <v>Psybeam</v>
      </c>
      <c r="F442" s="11"/>
      <c r="H442" s="21"/>
      <c r="I442" s="25"/>
      <c r="J442" s="30"/>
    </row>
    <row r="443" spans="1:10" x14ac:dyDescent="0.2">
      <c r="A443" s="120"/>
      <c r="B443" s="50">
        <f>HEX2DEC("24")</f>
        <v>36</v>
      </c>
      <c r="C443" s="51" t="str">
        <f t="array" ref="C443">INDEX(Moves!$B$2:'Moves'!$B$177, SUM(HEX2DEC("6D"),1), 1)</f>
        <v>Hypnosis</v>
      </c>
      <c r="D443" s="50">
        <f>HEX2DEC("24")</f>
        <v>36</v>
      </c>
      <c r="E443" s="51" t="str">
        <f t="array" ref="E443">INDEX(Moves!$B$2:'Moves'!$B$177, SUM(HEX2DEC("26"),1), 1)</f>
        <v>Sleep Powder</v>
      </c>
      <c r="F443" s="11"/>
      <c r="H443" s="21"/>
      <c r="I443" s="25"/>
      <c r="J443" s="30"/>
    </row>
    <row r="444" spans="1:10" x14ac:dyDescent="0.2">
      <c r="A444" s="120"/>
      <c r="B444" s="16">
        <f>HEX2DEC("29")</f>
        <v>41</v>
      </c>
      <c r="C444" s="17" t="str">
        <f t="array" ref="C444">INDEX(Moves!$B$2:'Moves'!$B$177, SUM(HEX2DEC("6A"),1), 1)</f>
        <v>Psychic</v>
      </c>
      <c r="D444" s="16">
        <f>HEX2DEC("29")</f>
        <v>41</v>
      </c>
      <c r="E444" s="17" t="str">
        <f t="array" ref="E444">INDEX(Moves!$B$2:'Moves'!$B$177, SUM(HEX2DEC("6A"),1), 1)</f>
        <v>Psychic</v>
      </c>
      <c r="F444" s="11"/>
      <c r="H444" s="21"/>
      <c r="I444" s="25"/>
      <c r="J444" s="30"/>
    </row>
    <row r="445" spans="1:10" x14ac:dyDescent="0.2">
      <c r="A445" s="121" t="s">
        <v>109</v>
      </c>
      <c r="B445" s="70">
        <f>HEX2DEC("00")</f>
        <v>0</v>
      </c>
      <c r="C445" s="71" t="str">
        <f t="array" ref="C445">INDEX(Moves!$B$2:'Moves'!$B$177, SUM(HEX2DEC("89"),1), 1)</f>
        <v>Tackle</v>
      </c>
      <c r="D445" s="70">
        <f t="shared" ref="D445:D448" si="39">HEX2DEC("01")</f>
        <v>1</v>
      </c>
      <c r="E445" s="71" t="str">
        <f t="array" ref="E445">INDEX(Moves!$B$2:'Moves'!$B$177, SUM(HEX2DEC("89"),1), 1)</f>
        <v>Tackle</v>
      </c>
      <c r="F445" s="41">
        <v>4</v>
      </c>
      <c r="G445" s="12" t="str">
        <f>VLOOKUP(F445, TMHM!$B$10:$C1519, 2, FALSE)</f>
        <v>Calm Mind</v>
      </c>
      <c r="H445" s="13">
        <v>5</v>
      </c>
      <c r="I445" s="14" t="str">
        <f>VLOOKUP(H445, TMHM!$B$2:$C$7, 2, FALSE)</f>
        <v>Flash</v>
      </c>
      <c r="J445" s="30"/>
    </row>
    <row r="446" spans="1:10" x14ac:dyDescent="0.2">
      <c r="A446" s="120"/>
      <c r="B446" s="43">
        <f>HEX2DEC("02")</f>
        <v>2</v>
      </c>
      <c r="C446" s="23" t="str">
        <f t="array" ref="C446">INDEX(Moves!$B$2:'Moves'!$B$177, SUM(HEX2DEC("A0"),1), 1)</f>
        <v>Growl</v>
      </c>
      <c r="D446" s="43">
        <f t="shared" si="39"/>
        <v>1</v>
      </c>
      <c r="E446" s="23" t="s">
        <v>94</v>
      </c>
      <c r="F446" s="11">
        <v>5</v>
      </c>
      <c r="G446" s="20" t="str">
        <f>VLOOKUP(F446, TMHM!$B$10:$C1519, 2, FALSE)</f>
        <v>Roar</v>
      </c>
      <c r="H446" s="21"/>
      <c r="I446" s="25"/>
      <c r="J446" s="30"/>
    </row>
    <row r="447" spans="1:10" x14ac:dyDescent="0.2">
      <c r="A447" s="120"/>
      <c r="B447" s="43">
        <f>HEX2DEC("04")</f>
        <v>4</v>
      </c>
      <c r="C447" s="23" t="str">
        <f t="array" ref="C447">INDEX(Moves!$B$2:'Moves'!$B$177, SUM(HEX2DEC("A2"),1), 1)</f>
        <v>Defense Curl</v>
      </c>
      <c r="D447" s="43">
        <f t="shared" si="39"/>
        <v>1</v>
      </c>
      <c r="E447" s="23" t="s">
        <v>108</v>
      </c>
      <c r="F447" s="11">
        <v>6</v>
      </c>
      <c r="G447" s="20" t="str">
        <f>VLOOKUP(F447, TMHM!$B$10:$C1519, 2, FALSE)</f>
        <v>Toxic</v>
      </c>
      <c r="H447" s="21"/>
      <c r="I447" s="25"/>
      <c r="J447" s="30"/>
    </row>
    <row r="448" spans="1:10" x14ac:dyDescent="0.2">
      <c r="A448" s="120"/>
      <c r="B448" s="34"/>
      <c r="C448" s="35"/>
      <c r="D448" s="34">
        <f t="shared" si="39"/>
        <v>1</v>
      </c>
      <c r="E448" s="35" t="str">
        <f t="array" ref="E448">INDEX(Moves!$B$2:'Moves'!$B$177, SUM(HEX2DEC("9E"),1), 1)</f>
        <v>Supersonic</v>
      </c>
      <c r="F448" s="11">
        <v>10</v>
      </c>
      <c r="G448" s="20" t="str">
        <f>VLOOKUP(F448, TMHM!$B$10:$C1519, 2, FALSE)</f>
        <v>Bite</v>
      </c>
      <c r="H448" s="21"/>
      <c r="I448" s="25"/>
      <c r="J448" s="30"/>
    </row>
    <row r="449" spans="1:10" x14ac:dyDescent="0.2">
      <c r="A449" s="120"/>
      <c r="B449" s="16">
        <f>HEX2DEC("09")</f>
        <v>9</v>
      </c>
      <c r="C449" s="17" t="str">
        <f t="array" ref="C449">INDEX(Moves!$B$2:'Moves'!$B$177, SUM(HEX2DEC("9E"),1), 1)</f>
        <v>Supersonic</v>
      </c>
      <c r="D449" s="16">
        <f>HEX2DEC("09")</f>
        <v>9</v>
      </c>
      <c r="E449" s="17" t="str">
        <f t="array" ref="E449">INDEX(Moves!$B$2:'Moves'!$B$177, SUM(HEX2DEC("9E"),1), 1)</f>
        <v>Supersonic</v>
      </c>
      <c r="F449" s="11">
        <v>17</v>
      </c>
      <c r="G449" s="20" t="str">
        <f>VLOOKUP(F449, TMHM!$B$10:$C1519, 2, FALSE)</f>
        <v>SmokeScreen</v>
      </c>
      <c r="H449" s="21"/>
      <c r="I449" s="25"/>
      <c r="J449" s="30"/>
    </row>
    <row r="450" spans="1:10" x14ac:dyDescent="0.2">
      <c r="A450" s="120"/>
      <c r="B450" s="16">
        <f>HEX2DEC("11")</f>
        <v>17</v>
      </c>
      <c r="C450" s="17" t="str">
        <f t="array" ref="C450">INDEX(Moves!$B$2:'Moves'!$B$177, SUM(HEX2DEC("65"),1), 1)</f>
        <v>Confusion</v>
      </c>
      <c r="D450" s="16">
        <f>HEX2DEC("11")</f>
        <v>17</v>
      </c>
      <c r="E450" s="17" t="str">
        <f t="array" ref="E450">INDEX(Moves!$B$2:'Moves'!$B$177, SUM(HEX2DEC("65"),1), 1)</f>
        <v>Confusion</v>
      </c>
      <c r="F450" s="11">
        <v>29</v>
      </c>
      <c r="G450" s="20" t="str">
        <f>VLOOKUP(F450, TMHM!$B$10:$C1519, 2, FALSE)</f>
        <v>Psychic</v>
      </c>
      <c r="H450" s="21"/>
      <c r="I450" s="25"/>
      <c r="J450" s="30"/>
    </row>
    <row r="451" spans="1:10" x14ac:dyDescent="0.2">
      <c r="A451" s="120"/>
      <c r="B451" s="16">
        <f>HEX2DEC("14")</f>
        <v>20</v>
      </c>
      <c r="C451" s="17" t="str">
        <f t="array" ref="C451">INDEX(Moves!$B$2:'Moves'!$B$177, SUM(HEX2DEC("4B"),1), 1)</f>
        <v>PoisonPowder</v>
      </c>
      <c r="D451" s="16">
        <f>HEX2DEC("14")</f>
        <v>20</v>
      </c>
      <c r="E451" s="17" t="str">
        <f t="array" ref="E451">INDEX(Moves!$B$2:'Moves'!$B$177, SUM(HEX2DEC("4B"),1), 1)</f>
        <v>PoisonPowder</v>
      </c>
      <c r="F451" s="11">
        <v>32</v>
      </c>
      <c r="G451" s="20" t="str">
        <f>VLOOKUP(F451, TMHM!$B$10:$C1519, 2, FALSE)</f>
        <v>Double Team</v>
      </c>
      <c r="H451" s="21"/>
      <c r="I451" s="25"/>
      <c r="J451" s="30"/>
    </row>
    <row r="452" spans="1:10" x14ac:dyDescent="0.2">
      <c r="A452" s="120"/>
      <c r="B452" s="16">
        <f>HEX2DEC("19")</f>
        <v>25</v>
      </c>
      <c r="C452" s="17" t="str">
        <f t="array" ref="C452">INDEX(Moves!$B$2:'Moves'!$B$177, SUM(HEX2DEC("3C"),1), 1)</f>
        <v>Leech Life</v>
      </c>
      <c r="D452" s="16">
        <f>HEX2DEC("19")</f>
        <v>25</v>
      </c>
      <c r="E452" s="17" t="str">
        <f t="array" ref="E452">INDEX(Moves!$B$2:'Moves'!$B$177, SUM(HEX2DEC("3C"),1), 1)</f>
        <v>Leech Life</v>
      </c>
      <c r="F452" s="11">
        <v>40</v>
      </c>
      <c r="G452" s="20" t="str">
        <f>VLOOKUP(F452, TMHM!$B$10:$C1519, 2, FALSE)</f>
        <v>Psychic</v>
      </c>
      <c r="H452" s="21"/>
      <c r="I452" s="25"/>
      <c r="J452" s="30"/>
    </row>
    <row r="453" spans="1:10" x14ac:dyDescent="0.2">
      <c r="A453" s="120"/>
      <c r="B453" s="16">
        <f>HEX2DEC("1C")</f>
        <v>28</v>
      </c>
      <c r="C453" s="17" t="str">
        <f t="array" ref="C453">INDEX(Moves!$B$2:'Moves'!$B$177, SUM(HEX2DEC("28"),1), 1)</f>
        <v>Stun Spore</v>
      </c>
      <c r="D453" s="16">
        <f>HEX2DEC("1C")</f>
        <v>28</v>
      </c>
      <c r="E453" s="17" t="str">
        <f t="array" ref="E453">INDEX(Moves!$B$2:'Moves'!$B$177, SUM(HEX2DEC("28"),1), 1)</f>
        <v>Stun Spore</v>
      </c>
      <c r="F453" s="11"/>
      <c r="H453" s="21"/>
      <c r="I453" s="25"/>
      <c r="J453" s="30"/>
    </row>
    <row r="454" spans="1:10" x14ac:dyDescent="0.2">
      <c r="A454" s="120"/>
      <c r="B454" s="16">
        <f>HEX2DEC("1F")</f>
        <v>31</v>
      </c>
      <c r="C454" s="17" t="str">
        <f t="array" ref="C454">INDEX(Moves!$B$2:'Moves'!$B$177, SUM(HEX2DEC("5C"),1), 1)</f>
        <v>Gust</v>
      </c>
      <c r="D454" s="16">
        <f>HEX2DEC("1F")</f>
        <v>31</v>
      </c>
      <c r="E454" s="17" t="str">
        <f t="array" ref="E454">INDEX(Moves!$B$2:'Moves'!$B$177, SUM(HEX2DEC("5C"),1), 1)</f>
        <v>Gust</v>
      </c>
      <c r="F454" s="11"/>
      <c r="H454" s="21"/>
      <c r="I454" s="25"/>
      <c r="J454" s="30"/>
    </row>
    <row r="455" spans="1:10" x14ac:dyDescent="0.2">
      <c r="A455" s="120"/>
      <c r="B455" s="16">
        <f>HEX2DEC("24")</f>
        <v>36</v>
      </c>
      <c r="C455" s="17" t="str">
        <f t="array" ref="C455">INDEX(Moves!$B$2:'Moves'!$B$177, SUM(HEX2DEC("66"),1), 1)</f>
        <v>Psybeam</v>
      </c>
      <c r="D455" s="16">
        <f>HEX2DEC("21")</f>
        <v>33</v>
      </c>
      <c r="E455" s="17" t="str">
        <f t="array" ref="E455">INDEX(Moves!$B$2:'Moves'!$B$177, SUM(HEX2DEC("66"),1), 1)</f>
        <v>Psybeam</v>
      </c>
      <c r="F455" s="11"/>
      <c r="H455" s="21"/>
      <c r="I455" s="25"/>
      <c r="J455" s="30"/>
    </row>
    <row r="456" spans="1:10" x14ac:dyDescent="0.2">
      <c r="A456" s="120"/>
      <c r="B456" s="50">
        <f>HEX2DEC("2A")</f>
        <v>42</v>
      </c>
      <c r="C456" s="51" t="str">
        <f t="array" ref="C456">INDEX(Moves!$B$2:'Moves'!$B$177, SUM(HEX2DEC("6D"),1), 1)</f>
        <v>Hypnosis</v>
      </c>
      <c r="D456" s="50">
        <f>HEX2DEC("24")</f>
        <v>36</v>
      </c>
      <c r="E456" s="51" t="str">
        <f t="array" ref="E456">INDEX(Moves!$B$2:'Moves'!$B$177, SUM(HEX2DEC("26"),1), 1)</f>
        <v>Sleep Powder</v>
      </c>
      <c r="F456" s="11"/>
      <c r="H456" s="21"/>
      <c r="I456" s="25"/>
      <c r="J456" s="30"/>
    </row>
    <row r="457" spans="1:10" x14ac:dyDescent="0.2">
      <c r="A457" s="120"/>
      <c r="B457" s="16">
        <f>HEX2DEC("34")</f>
        <v>52</v>
      </c>
      <c r="C457" s="17" t="str">
        <f t="array" ref="C457">INDEX(Moves!$B$2:'Moves'!$B$177, SUM(HEX2DEC("6A"),1), 1)</f>
        <v>Psychic</v>
      </c>
      <c r="D457" s="16">
        <f>HEX2DEC("29")</f>
        <v>41</v>
      </c>
      <c r="E457" s="17" t="str">
        <f t="array" ref="E457">INDEX(Moves!$B$2:'Moves'!$B$177, SUM(HEX2DEC("6A"),1), 1)</f>
        <v>Psychic</v>
      </c>
      <c r="F457" s="11"/>
      <c r="H457" s="21"/>
      <c r="I457" s="25"/>
      <c r="J457" s="30"/>
    </row>
    <row r="458" spans="1:10" x14ac:dyDescent="0.2">
      <c r="A458" s="121" t="s">
        <v>110</v>
      </c>
      <c r="B458" s="70">
        <f>HEX2DEC("00")</f>
        <v>0</v>
      </c>
      <c r="C458" s="71" t="str">
        <f t="array" ref="C458">INDEX(Moves!$B$2:'Moves'!$B$177, SUM(HEX2DEC("8B"),1), 1)</f>
        <v>Scratch</v>
      </c>
      <c r="D458" s="70">
        <f>HEX2DEC("01")</f>
        <v>1</v>
      </c>
      <c r="E458" s="71" t="str">
        <f t="array" ref="E458">INDEX(Moves!$B$2:'Moves'!$B$177, SUM(HEX2DEC("8B"),1), 1)</f>
        <v>Scratch</v>
      </c>
      <c r="F458" s="41">
        <v>1</v>
      </c>
      <c r="G458" s="12" t="str">
        <f>VLOOKUP(F458, TMHM!$B$10:$C1519, 2, FALSE)</f>
        <v>Focus Punch</v>
      </c>
      <c r="H458" s="13">
        <v>4</v>
      </c>
      <c r="I458" s="14" t="str">
        <f>VLOOKUP(H458, TMHM!$B$2:$C$7, 2, FALSE)</f>
        <v>Strength</v>
      </c>
      <c r="J458" s="30"/>
    </row>
    <row r="459" spans="1:10" x14ac:dyDescent="0.2">
      <c r="A459" s="120"/>
      <c r="B459" s="16">
        <f>HEX2DEC("05")</f>
        <v>5</v>
      </c>
      <c r="C459" s="17" t="str">
        <f t="array" ref="C459">INDEX(Moves!$B$2:'Moves'!$B$177, SUM(HEX2DEC("A0"),1), 1)</f>
        <v>Growl</v>
      </c>
      <c r="D459" s="16">
        <f>HEX2DEC("05")</f>
        <v>5</v>
      </c>
      <c r="E459" s="17" t="str">
        <f t="array" ref="E459">INDEX(Moves!$B$2:'Moves'!$B$177, SUM(HEX2DEC("A0"),1), 1)</f>
        <v>Growl</v>
      </c>
      <c r="F459" s="11">
        <v>7</v>
      </c>
      <c r="G459" s="20" t="str">
        <f>VLOOKUP(F459, TMHM!$B$10:$C1519, 2, FALSE)</f>
        <v>Secret Power</v>
      </c>
      <c r="H459" s="21"/>
      <c r="I459" s="25"/>
      <c r="J459" s="30"/>
    </row>
    <row r="460" spans="1:10" x14ac:dyDescent="0.2">
      <c r="A460" s="120"/>
      <c r="B460" s="48">
        <f>HEX2DEC("09")</f>
        <v>9</v>
      </c>
      <c r="C460" s="23" t="str">
        <f t="array" ref="C460">INDEX(Moves!$B$2:'Moves'!$B$177, SUM(HEX2DEC("A2"),1), 1)</f>
        <v>Defense Curl</v>
      </c>
      <c r="D460" s="48">
        <f>HEX2DEC("09")</f>
        <v>9</v>
      </c>
      <c r="E460" s="23" t="s">
        <v>111</v>
      </c>
      <c r="F460" s="11">
        <v>18</v>
      </c>
      <c r="G460" s="20" t="str">
        <f>VLOOKUP(F460, TMHM!$B$10:$C1519, 2, FALSE)</f>
        <v>AncientPower</v>
      </c>
      <c r="H460" s="21"/>
      <c r="I460" s="25"/>
      <c r="J460" s="30"/>
    </row>
    <row r="461" spans="1:10" x14ac:dyDescent="0.2">
      <c r="A461" s="120"/>
      <c r="B461" s="16">
        <f>HEX2DEC("11")</f>
        <v>17</v>
      </c>
      <c r="C461" s="17" t="str">
        <f t="array" ref="C461">INDEX(Moves!$B$2:'Moves'!$B$177, SUM(HEX2DEC("32"),1), 1)</f>
        <v>Dig</v>
      </c>
      <c r="D461" s="16">
        <f>HEX2DEC("11")</f>
        <v>17</v>
      </c>
      <c r="E461" s="17" t="str">
        <f t="array" ref="E461">INDEX(Moves!$B$2:'Moves'!$B$177, SUM(HEX2DEC("32"),1), 1)</f>
        <v>Dig</v>
      </c>
      <c r="F461" s="11">
        <v>23</v>
      </c>
      <c r="G461" s="20" t="str">
        <f>VLOOKUP(F461, TMHM!$B$10:$C1519, 2, FALSE)</f>
        <v>Iron Tail</v>
      </c>
      <c r="H461" s="21"/>
      <c r="I461" s="25"/>
      <c r="J461" s="30"/>
    </row>
    <row r="462" spans="1:10" x14ac:dyDescent="0.2">
      <c r="A462" s="120"/>
      <c r="B462" s="16">
        <f>HEX2DEC("19")</f>
        <v>25</v>
      </c>
      <c r="C462" s="17" t="str">
        <f t="array" ref="C462">INDEX(Moves!$B$2:'Moves'!$B$177, SUM(HEX2DEC("37"),1), 1)</f>
        <v>Sand Attack</v>
      </c>
      <c r="D462" s="16">
        <f>HEX2DEC("19")</f>
        <v>25</v>
      </c>
      <c r="E462" s="17" t="str">
        <f t="array" ref="E462">INDEX(Moves!$B$2:'Moves'!$B$177, SUM(HEX2DEC("37"),1), 1)</f>
        <v>Sand Attack</v>
      </c>
      <c r="F462" s="11">
        <v>26</v>
      </c>
      <c r="G462" s="20" t="str">
        <f>VLOOKUP(F462, TMHM!$B$10:$C1519, 2, FALSE)</f>
        <v>Earthquake</v>
      </c>
      <c r="H462" s="21"/>
      <c r="I462" s="25"/>
      <c r="J462" s="30"/>
    </row>
    <row r="463" spans="1:10" x14ac:dyDescent="0.2">
      <c r="A463" s="120"/>
      <c r="B463" s="48">
        <f>HEX2DEC("21")</f>
        <v>33</v>
      </c>
      <c r="C463" s="23" t="str">
        <f t="array" ref="C463">INDEX(Moves!$B$2:'Moves'!$B$177, SUM(HEX2DEC("4F"),1), 1)</f>
        <v>Karate Chop</v>
      </c>
      <c r="D463" s="48">
        <f>HEX2DEC("21")</f>
        <v>33</v>
      </c>
      <c r="E463" s="23" t="s">
        <v>28</v>
      </c>
      <c r="F463" s="11">
        <v>28</v>
      </c>
      <c r="G463" s="20" t="str">
        <f>VLOOKUP(F463, TMHM!$B$10:$C1519, 2, FALSE)</f>
        <v>Dig</v>
      </c>
      <c r="H463" s="21"/>
      <c r="I463" s="25"/>
      <c r="J463" s="30"/>
    </row>
    <row r="464" spans="1:10" x14ac:dyDescent="0.2">
      <c r="A464" s="120"/>
      <c r="B464" s="16">
        <f>HEX2DEC("29")</f>
        <v>41</v>
      </c>
      <c r="C464" s="17" t="str">
        <f t="array" ref="C464">INDEX(Moves!$B$2:'Moves'!$B$177, SUM(HEX2DEC("34"),1), 1)</f>
        <v>Earthquake</v>
      </c>
      <c r="D464" s="16">
        <f>HEX2DEC("29")</f>
        <v>41</v>
      </c>
      <c r="E464" s="17" t="str">
        <f t="array" ref="E464">INDEX(Moves!$B$2:'Moves'!$B$177, SUM(HEX2DEC("34"),1), 1)</f>
        <v>Earthquake</v>
      </c>
      <c r="F464" s="11">
        <v>35</v>
      </c>
      <c r="G464" s="20" t="str">
        <f>VLOOKUP(F464, TMHM!$B$10:$C1519, 2, FALSE)</f>
        <v>Harden</v>
      </c>
      <c r="H464" s="21"/>
      <c r="I464" s="25"/>
      <c r="J464" s="30"/>
    </row>
    <row r="465" spans="1:10" x14ac:dyDescent="0.2">
      <c r="A465" s="120"/>
      <c r="B465" s="16">
        <f>HEX2DEC("31")</f>
        <v>49</v>
      </c>
      <c r="C465" s="17" t="str">
        <f t="array" ref="C465">INDEX(Moves!$B$2:'Moves'!$B$177, SUM(HEX2DEC("36"),1), 1)</f>
        <v>Fissure</v>
      </c>
      <c r="D465" s="16">
        <f>HEX2DEC("31")</f>
        <v>49</v>
      </c>
      <c r="E465" s="17" t="str">
        <f t="array" ref="E465">INDEX(Moves!$B$2:'Moves'!$B$177, SUM(HEX2DEC("36"),1), 1)</f>
        <v>Fissure</v>
      </c>
      <c r="F465" s="11">
        <v>39</v>
      </c>
      <c r="G465" s="20" t="str">
        <f>VLOOKUP(F465, TMHM!$B$10:$C1519, 2, FALSE)</f>
        <v>Rock Tomb</v>
      </c>
      <c r="H465" s="21"/>
      <c r="I465" s="25"/>
      <c r="J465" s="30"/>
    </row>
    <row r="466" spans="1:10" x14ac:dyDescent="0.2">
      <c r="A466" s="121" t="s">
        <v>112</v>
      </c>
      <c r="B466" s="7">
        <f>HEX2DEC("00")</f>
        <v>0</v>
      </c>
      <c r="C466" s="33" t="str">
        <f t="array" ref="C466">INDEX(Moves!$B$2:'Moves'!$B$177, SUM(HEX2DEC("8B"),1), 1)</f>
        <v>Scratch</v>
      </c>
      <c r="D466" s="7">
        <f t="shared" ref="D466:D468" si="40">HEX2DEC("01")</f>
        <v>1</v>
      </c>
      <c r="E466" s="33" t="str">
        <f t="array" ref="E466">INDEX(Moves!$B$2:'Moves'!$B$177, SUM(HEX2DEC("8B"),1), 1)</f>
        <v>Scratch</v>
      </c>
      <c r="F466" s="41">
        <v>1</v>
      </c>
      <c r="G466" s="12" t="str">
        <f>VLOOKUP(F466, TMHM!$B$10:$C1519, 2, FALSE)</f>
        <v>Focus Punch</v>
      </c>
      <c r="H466" s="13">
        <v>4</v>
      </c>
      <c r="I466" s="14" t="str">
        <f>VLOOKUP(H466, TMHM!$B$2:$C$7, 2, FALSE)</f>
        <v>Strength</v>
      </c>
      <c r="J466" s="30"/>
    </row>
    <row r="467" spans="1:10" x14ac:dyDescent="0.2">
      <c r="A467" s="120"/>
      <c r="B467" s="34"/>
      <c r="C467" s="35"/>
      <c r="D467" s="34">
        <f t="shared" si="40"/>
        <v>1</v>
      </c>
      <c r="E467" s="35" t="str">
        <f t="array" ref="E467">INDEX(Moves!$B$2:'Moves'!$B$177, SUM(HEX2DEC("A0"),1), 1)</f>
        <v>Growl</v>
      </c>
      <c r="F467" s="11">
        <v>7</v>
      </c>
      <c r="G467" s="20" t="str">
        <f>VLOOKUP(F467, TMHM!$B$10:$C1519, 2, FALSE)</f>
        <v>Secret Power</v>
      </c>
      <c r="H467" s="21"/>
      <c r="I467" s="25"/>
      <c r="J467" s="30"/>
    </row>
    <row r="468" spans="1:10" x14ac:dyDescent="0.2">
      <c r="A468" s="120"/>
      <c r="B468" s="34"/>
      <c r="C468" s="35"/>
      <c r="D468" s="34">
        <f t="shared" si="40"/>
        <v>1</v>
      </c>
      <c r="E468" s="35" t="s">
        <v>111</v>
      </c>
      <c r="F468" s="11">
        <v>18</v>
      </c>
      <c r="G468" s="20" t="str">
        <f>VLOOKUP(F468, TMHM!$B$10:$C1519, 2, FALSE)</f>
        <v>AncientPower</v>
      </c>
      <c r="H468" s="21"/>
      <c r="I468" s="25"/>
      <c r="J468" s="30"/>
    </row>
    <row r="469" spans="1:10" x14ac:dyDescent="0.2">
      <c r="A469" s="120"/>
      <c r="B469" s="16">
        <f>HEX2DEC("05")</f>
        <v>5</v>
      </c>
      <c r="C469" s="17" t="str">
        <f t="array" ref="C469">INDEX(Moves!$B$2:'Moves'!$B$177, SUM(HEX2DEC("A0"),1), 1)</f>
        <v>Growl</v>
      </c>
      <c r="D469" s="16">
        <f>HEX2DEC("05")</f>
        <v>5</v>
      </c>
      <c r="E469" s="17" t="str">
        <f t="array" ref="E469">INDEX(Moves!$B$2:'Moves'!$B$177, SUM(HEX2DEC("A0"),1), 1)</f>
        <v>Growl</v>
      </c>
      <c r="F469" s="11">
        <v>23</v>
      </c>
      <c r="G469" s="20" t="str">
        <f>VLOOKUP(F469, TMHM!$B$10:$C1519, 2, FALSE)</f>
        <v>Iron Tail</v>
      </c>
      <c r="H469" s="21"/>
      <c r="I469" s="25"/>
      <c r="J469" s="30"/>
    </row>
    <row r="470" spans="1:10" x14ac:dyDescent="0.2">
      <c r="A470" s="120"/>
      <c r="B470" s="48">
        <f>HEX2DEC("09")</f>
        <v>9</v>
      </c>
      <c r="C470" s="23" t="str">
        <f t="array" ref="C470">INDEX(Moves!$B$2:'Moves'!$B$177, SUM(HEX2DEC("A2"),1), 1)</f>
        <v>Defense Curl</v>
      </c>
      <c r="D470" s="48">
        <f>HEX2DEC("09")</f>
        <v>9</v>
      </c>
      <c r="E470" s="23" t="s">
        <v>111</v>
      </c>
      <c r="F470" s="11">
        <v>26</v>
      </c>
      <c r="G470" s="20" t="str">
        <f>VLOOKUP(F470, TMHM!$B$10:$C1519, 2, FALSE)</f>
        <v>Earthquake</v>
      </c>
      <c r="H470" s="21"/>
      <c r="I470" s="25"/>
      <c r="J470" s="30"/>
    </row>
    <row r="471" spans="1:10" x14ac:dyDescent="0.2">
      <c r="A471" s="120"/>
      <c r="B471" s="16">
        <f>HEX2DEC("11")</f>
        <v>17</v>
      </c>
      <c r="C471" s="17" t="str">
        <f t="array" ref="C471">INDEX(Moves!$B$2:'Moves'!$B$177, SUM(HEX2DEC("32"),1), 1)</f>
        <v>Dig</v>
      </c>
      <c r="D471" s="16">
        <f>HEX2DEC("11")</f>
        <v>17</v>
      </c>
      <c r="E471" s="17" t="str">
        <f t="array" ref="E471">INDEX(Moves!$B$2:'Moves'!$B$177, SUM(HEX2DEC("32"),1), 1)</f>
        <v>Dig</v>
      </c>
      <c r="F471" s="11">
        <v>28</v>
      </c>
      <c r="G471" s="20" t="str">
        <f>VLOOKUP(F471, TMHM!$B$10:$C1519, 2, FALSE)</f>
        <v>Dig</v>
      </c>
      <c r="H471" s="21"/>
      <c r="I471" s="25"/>
      <c r="J471" s="30"/>
    </row>
    <row r="472" spans="1:10" x14ac:dyDescent="0.2">
      <c r="A472" s="120"/>
      <c r="B472" s="16">
        <f>HEX2DEC("19")</f>
        <v>25</v>
      </c>
      <c r="C472" s="17" t="str">
        <f t="array" ref="C472">INDEX(Moves!$B$2:'Moves'!$B$177, SUM(HEX2DEC("37"),1), 1)</f>
        <v>Sand Attack</v>
      </c>
      <c r="D472" s="16">
        <f>HEX2DEC("19")</f>
        <v>25</v>
      </c>
      <c r="E472" s="17" t="str">
        <f t="array" ref="E472">INDEX(Moves!$B$2:'Moves'!$B$177, SUM(HEX2DEC("37"),1), 1)</f>
        <v>Sand Attack</v>
      </c>
      <c r="F472" s="11">
        <v>35</v>
      </c>
      <c r="G472" s="20" t="str">
        <f>VLOOKUP(F472, TMHM!$B$10:$C1519, 2, FALSE)</f>
        <v>Harden</v>
      </c>
      <c r="H472" s="21"/>
      <c r="I472" s="25"/>
      <c r="J472" s="30"/>
    </row>
    <row r="473" spans="1:10" x14ac:dyDescent="0.2">
      <c r="A473" s="120"/>
      <c r="B473" s="48">
        <f>HEX2DEC("25")</f>
        <v>37</v>
      </c>
      <c r="C473" s="23" t="str">
        <f t="array" ref="C473">INDEX(Moves!$B$2:'Moves'!$B$177, SUM(HEX2DEC("4F"),1), 1)</f>
        <v>Karate Chop</v>
      </c>
      <c r="D473" s="48">
        <f>HEX2DEC("25")</f>
        <v>37</v>
      </c>
      <c r="E473" s="23" t="s">
        <v>28</v>
      </c>
      <c r="F473" s="11">
        <v>39</v>
      </c>
      <c r="G473" s="20" t="str">
        <f>VLOOKUP(F473, TMHM!$B$10:$C1519, 2, FALSE)</f>
        <v>Rock Tomb</v>
      </c>
      <c r="H473" s="21"/>
      <c r="I473" s="25"/>
      <c r="J473" s="30"/>
    </row>
    <row r="474" spans="1:10" x14ac:dyDescent="0.2">
      <c r="A474" s="120"/>
      <c r="B474" s="16">
        <f>HEX2DEC("31")</f>
        <v>49</v>
      </c>
      <c r="C474" s="17" t="str">
        <f t="array" ref="C474">INDEX(Moves!$B$2:'Moves'!$B$177, SUM(HEX2DEC("34"),1), 1)</f>
        <v>Earthquake</v>
      </c>
      <c r="D474" s="16">
        <f>HEX2DEC("31")</f>
        <v>49</v>
      </c>
      <c r="E474" s="17" t="str">
        <f t="array" ref="E474">INDEX(Moves!$B$2:'Moves'!$B$177, SUM(HEX2DEC("34"),1), 1)</f>
        <v>Earthquake</v>
      </c>
      <c r="F474" s="11"/>
      <c r="H474" s="21"/>
      <c r="I474" s="25"/>
      <c r="J474" s="30"/>
    </row>
    <row r="475" spans="1:10" x14ac:dyDescent="0.2">
      <c r="A475" s="120"/>
      <c r="B475" s="16">
        <f>HEX2DEC("3D")</f>
        <v>61</v>
      </c>
      <c r="C475" s="17" t="str">
        <f t="array" ref="C475">INDEX(Moves!$B$2:'Moves'!$B$177, SUM(HEX2DEC("36"),1), 1)</f>
        <v>Fissure</v>
      </c>
      <c r="D475" s="16">
        <f>HEX2DEC("3D")</f>
        <v>61</v>
      </c>
      <c r="E475" s="17" t="str">
        <f t="array" ref="E475">INDEX(Moves!$B$2:'Moves'!$B$177, SUM(HEX2DEC("36"),1), 1)</f>
        <v>Fissure</v>
      </c>
      <c r="F475" s="11"/>
      <c r="H475" s="21"/>
      <c r="I475" s="25"/>
      <c r="J475" s="30"/>
    </row>
    <row r="476" spans="1:10" x14ac:dyDescent="0.2">
      <c r="A476" s="121" t="s">
        <v>113</v>
      </c>
      <c r="B476" s="70">
        <f>HEX2DEC("00")</f>
        <v>0</v>
      </c>
      <c r="C476" s="71" t="str">
        <f t="array" ref="C476">INDEX(Moves!$B$2:'Moves'!$B$177, SUM(HEX2DEC("8B"),1), 1)</f>
        <v>Scratch</v>
      </c>
      <c r="D476" s="70">
        <f t="shared" ref="D476:D477" si="41">HEX2DEC("01")</f>
        <v>1</v>
      </c>
      <c r="E476" s="71" t="str">
        <f t="array" ref="E476">INDEX(Moves!$B$2:'Moves'!$B$177, SUM(HEX2DEC("8B"),1), 1)</f>
        <v>Scratch</v>
      </c>
      <c r="F476" s="41">
        <v>1</v>
      </c>
      <c r="G476" s="12" t="str">
        <f>VLOOKUP(F476, TMHM!$B$10:$C1519, 2, FALSE)</f>
        <v>Focus Punch</v>
      </c>
      <c r="H476" s="13">
        <v>1</v>
      </c>
      <c r="I476" s="14" t="str">
        <f>VLOOKUP(H476, TMHM!$B$2:$C$7, 2, FALSE)</f>
        <v>Cut</v>
      </c>
      <c r="J476" s="30"/>
    </row>
    <row r="477" spans="1:10" x14ac:dyDescent="0.2">
      <c r="A477" s="120"/>
      <c r="B477" s="43">
        <f>HEX2DEC("02")</f>
        <v>2</v>
      </c>
      <c r="C477" s="17" t="str">
        <f t="array" ref="C477">INDEX(Moves!$B$2:'Moves'!$B$177, SUM(HEX2DEC("A0"),1), 1)</f>
        <v>Growl</v>
      </c>
      <c r="D477" s="43">
        <f t="shared" si="41"/>
        <v>1</v>
      </c>
      <c r="E477" s="17" t="str">
        <f t="array" ref="E477">INDEX(Moves!$B$2:'Moves'!$B$177, SUM(HEX2DEC("A0"),1), 1)</f>
        <v>Growl</v>
      </c>
      <c r="F477" s="11">
        <v>5</v>
      </c>
      <c r="G477" s="20" t="str">
        <f>VLOOKUP(F477, TMHM!$B$10:$C1519, 2, FALSE)</f>
        <v>Roar</v>
      </c>
      <c r="H477" s="21">
        <v>5</v>
      </c>
      <c r="I477" s="20" t="str">
        <f>VLOOKUP(H477, TMHM!$B$2:$C$7, 2, FALSE)</f>
        <v>Flash</v>
      </c>
      <c r="J477" s="30"/>
    </row>
    <row r="478" spans="1:10" x14ac:dyDescent="0.2">
      <c r="A478" s="120"/>
      <c r="B478" s="16">
        <f>HEX2DEC("0B")</f>
        <v>11</v>
      </c>
      <c r="C478" s="17" t="str">
        <f t="array" ref="C478">INDEX(Moves!$B$2:'Moves'!$B$177, SUM(HEX2DEC("80"),1), 1)</f>
        <v>Bite</v>
      </c>
      <c r="D478" s="16">
        <f>HEX2DEC("0B")</f>
        <v>11</v>
      </c>
      <c r="E478" s="17" t="str">
        <f t="array" ref="E478">INDEX(Moves!$B$2:'Moves'!$B$177, SUM(HEX2DEC("80"),1), 1)</f>
        <v>Bite</v>
      </c>
      <c r="F478" s="11">
        <v>7</v>
      </c>
      <c r="G478" s="20" t="str">
        <f>VLOOKUP(F478, TMHM!$B$10:$C1519, 2, FALSE)</f>
        <v>Secret Power</v>
      </c>
      <c r="H478" s="21"/>
      <c r="I478" s="25"/>
      <c r="J478" s="30"/>
    </row>
    <row r="479" spans="1:10" x14ac:dyDescent="0.2">
      <c r="A479" s="120"/>
      <c r="B479" s="16">
        <f>HEX2DEC("14")</f>
        <v>20</v>
      </c>
      <c r="C479" s="17" t="str">
        <f t="array" ref="C479">INDEX(Moves!$B$2:'Moves'!$B$177, SUM(HEX2DEC("8D"),1), 1)</f>
        <v>Pay Day</v>
      </c>
      <c r="D479" s="16">
        <f>HEX2DEC("14")</f>
        <v>20</v>
      </c>
      <c r="E479" s="17" t="str">
        <f t="array" ref="E479">INDEX(Moves!$B$2:'Moves'!$B$177, SUM(HEX2DEC("8D"),1), 1)</f>
        <v>Pay Day</v>
      </c>
      <c r="F479" s="11">
        <v>8</v>
      </c>
      <c r="G479" s="20" t="str">
        <f>VLOOKUP(F479, TMHM!$B$10:$C1519, 2, FALSE)</f>
        <v>Charm</v>
      </c>
      <c r="H479" s="21"/>
      <c r="I479" s="25"/>
      <c r="J479" s="30"/>
    </row>
    <row r="480" spans="1:10" x14ac:dyDescent="0.2">
      <c r="A480" s="120"/>
      <c r="B480" s="48">
        <f>HEX2DEC("1C")</f>
        <v>28</v>
      </c>
      <c r="C480" s="23" t="str">
        <f t="array" ref="C480">INDEX(Moves!$B$2:'Moves'!$B$177, SUM(HEX2DEC("8C"),1), 1)</f>
        <v>Quick Attack</v>
      </c>
      <c r="D480" s="48">
        <f>HEX2DEC("1C")</f>
        <v>28</v>
      </c>
      <c r="E480" s="23" t="s">
        <v>114</v>
      </c>
      <c r="F480" s="11">
        <v>9</v>
      </c>
      <c r="G480" s="20" t="str">
        <f>VLOOKUP(F480, TMHM!$B$10:$C1519, 2, FALSE)</f>
        <v>Snore</v>
      </c>
      <c r="H480" s="21"/>
      <c r="I480" s="25"/>
      <c r="J480" s="30"/>
    </row>
    <row r="481" spans="1:10" x14ac:dyDescent="0.2">
      <c r="A481" s="120"/>
      <c r="B481" s="48">
        <f>HEX2DEC("23")</f>
        <v>35</v>
      </c>
      <c r="C481" s="23" t="str">
        <f t="array" ref="C481">INDEX(Moves!$B$2:'Moves'!$B$177, SUM(HEX2DEC("9E"),1), 1)</f>
        <v>Supersonic</v>
      </c>
      <c r="D481" s="48">
        <f>HEX2DEC("23")</f>
        <v>35</v>
      </c>
      <c r="E481" s="23" t="s">
        <v>63</v>
      </c>
      <c r="F481" s="11">
        <v>10</v>
      </c>
      <c r="G481" s="20" t="str">
        <f>VLOOKUP(F481, TMHM!$B$10:$C1519, 2, FALSE)</f>
        <v>Bite</v>
      </c>
      <c r="H481" s="21"/>
      <c r="I481" s="25"/>
      <c r="J481" s="30"/>
    </row>
    <row r="482" spans="1:10" x14ac:dyDescent="0.2">
      <c r="A482" s="120"/>
      <c r="B482" s="48">
        <f>HEX2DEC("29")</f>
        <v>41</v>
      </c>
      <c r="C482" s="23" t="str">
        <f t="array" ref="C482">INDEX(Moves!$B$2:'Moves'!$B$177, SUM(HEX2DEC("92"),1), 1)</f>
        <v>Crush Claw</v>
      </c>
      <c r="D482" s="48">
        <f>HEX2DEC("29")</f>
        <v>41</v>
      </c>
      <c r="E482" s="23" t="s">
        <v>71</v>
      </c>
      <c r="F482" s="11">
        <v>15</v>
      </c>
      <c r="G482" s="20" t="str">
        <f>VLOOKUP(F482, TMHM!$B$10:$C1519, 2, FALSE)</f>
        <v>Hyper Beam</v>
      </c>
      <c r="H482" s="21"/>
      <c r="I482" s="25"/>
      <c r="J482" s="30"/>
    </row>
    <row r="483" spans="1:10" x14ac:dyDescent="0.2">
      <c r="A483" s="120"/>
      <c r="B483" s="48">
        <f>HEX2DEC("2E")</f>
        <v>46</v>
      </c>
      <c r="C483" s="23" t="str">
        <f t="array" ref="C483">INDEX(Moves!$B$2:'Moves'!$B$177, SUM(HEX2DEC("AA"),1), 1)</f>
        <v>Encore</v>
      </c>
      <c r="D483" s="48">
        <f>HEX2DEC("2E")</f>
        <v>46</v>
      </c>
      <c r="E483" s="23" t="s">
        <v>28</v>
      </c>
      <c r="F483" s="11">
        <v>17</v>
      </c>
      <c r="G483" s="20" t="str">
        <f>VLOOKUP(F483, TMHM!$B$10:$C1519, 2, FALSE)</f>
        <v>SmokeScreen</v>
      </c>
      <c r="H483" s="21"/>
      <c r="I483" s="25"/>
      <c r="J483" s="30"/>
    </row>
    <row r="484" spans="1:10" x14ac:dyDescent="0.2">
      <c r="A484" s="121" t="s">
        <v>115</v>
      </c>
      <c r="B484" s="70">
        <f>HEX2DEC("00")</f>
        <v>0</v>
      </c>
      <c r="C484" s="71" t="str">
        <f t="array" ref="C484">INDEX(Moves!$B$2:'Moves'!$B$177, SUM(HEX2DEC("8B"),1), 1)</f>
        <v>Scratch</v>
      </c>
      <c r="D484" s="70">
        <f t="shared" ref="D484:D486" si="42">HEX2DEC("01")</f>
        <v>1</v>
      </c>
      <c r="E484" s="71" t="str">
        <f t="array" ref="E484">INDEX(Moves!$B$2:'Moves'!$B$177, SUM(HEX2DEC("8B"),1), 1)</f>
        <v>Scratch</v>
      </c>
      <c r="F484" s="41">
        <v>1</v>
      </c>
      <c r="G484" s="12" t="str">
        <f>VLOOKUP(F484, TMHM!$B$10:$C1519, 2, FALSE)</f>
        <v>Focus Punch</v>
      </c>
      <c r="H484" s="13">
        <v>1</v>
      </c>
      <c r="I484" s="14" t="str">
        <f>VLOOKUP(H484, TMHM!$B$2:$C$7, 2, FALSE)</f>
        <v>Cut</v>
      </c>
      <c r="J484" s="30"/>
    </row>
    <row r="485" spans="1:10" x14ac:dyDescent="0.2">
      <c r="A485" s="120"/>
      <c r="B485" s="43">
        <f>HEX2DEC("02")</f>
        <v>2</v>
      </c>
      <c r="C485" s="17" t="str">
        <f t="array" ref="C485">INDEX(Moves!$B$2:'Moves'!$B$177, SUM(HEX2DEC("A0"),1), 1)</f>
        <v>Growl</v>
      </c>
      <c r="D485" s="43">
        <f t="shared" si="42"/>
        <v>1</v>
      </c>
      <c r="E485" s="17" t="str">
        <f t="array" ref="E485">INDEX(Moves!$B$2:'Moves'!$B$177, SUM(HEX2DEC("A0"),1), 1)</f>
        <v>Growl</v>
      </c>
      <c r="F485" s="11">
        <v>5</v>
      </c>
      <c r="G485" s="20" t="str">
        <f>VLOOKUP(F485, TMHM!$B$10:$C1519, 2, FALSE)</f>
        <v>Roar</v>
      </c>
      <c r="H485" s="21">
        <v>5</v>
      </c>
      <c r="I485" s="20" t="str">
        <f>VLOOKUP(H485, TMHM!$B$2:$C$7, 2, FALSE)</f>
        <v>Flash</v>
      </c>
      <c r="J485" s="30"/>
    </row>
    <row r="486" spans="1:10" x14ac:dyDescent="0.2">
      <c r="A486" s="120"/>
      <c r="B486" s="34"/>
      <c r="C486" s="35"/>
      <c r="D486" s="34">
        <f t="shared" si="42"/>
        <v>1</v>
      </c>
      <c r="E486" s="35" t="str">
        <f t="array" ref="E486">INDEX(Moves!$B$2:'Moves'!$B$177, SUM(HEX2DEC("80"),1), 1)</f>
        <v>Bite</v>
      </c>
      <c r="F486" s="11">
        <v>7</v>
      </c>
      <c r="G486" s="20" t="str">
        <f>VLOOKUP(F486, TMHM!$B$10:$C1519, 2, FALSE)</f>
        <v>Secret Power</v>
      </c>
      <c r="H486" s="21"/>
      <c r="I486" s="25"/>
      <c r="J486" s="30"/>
    </row>
    <row r="487" spans="1:10" x14ac:dyDescent="0.2">
      <c r="A487" s="120"/>
      <c r="B487" s="16">
        <f>HEX2DEC("0B")</f>
        <v>11</v>
      </c>
      <c r="C487" s="17" t="str">
        <f t="array" ref="C487">INDEX(Moves!$B$2:'Moves'!$B$177, SUM(HEX2DEC("80"),1), 1)</f>
        <v>Bite</v>
      </c>
      <c r="D487" s="16">
        <f>HEX2DEC("0B")</f>
        <v>11</v>
      </c>
      <c r="E487" s="17" t="str">
        <f t="array" ref="E487">INDEX(Moves!$B$2:'Moves'!$B$177, SUM(HEX2DEC("80"),1), 1)</f>
        <v>Bite</v>
      </c>
      <c r="F487" s="11">
        <v>8</v>
      </c>
      <c r="G487" s="20" t="str">
        <f>VLOOKUP(F487, TMHM!$B$10:$C1519, 2, FALSE)</f>
        <v>Charm</v>
      </c>
      <c r="H487" s="21"/>
      <c r="I487" s="25"/>
      <c r="J487" s="30"/>
    </row>
    <row r="488" spans="1:10" x14ac:dyDescent="0.2">
      <c r="A488" s="120"/>
      <c r="B488" s="16">
        <f>HEX2DEC("14")</f>
        <v>20</v>
      </c>
      <c r="C488" s="17" t="str">
        <f t="array" ref="C488">INDEX(Moves!$B$2:'Moves'!$B$177, SUM(HEX2DEC("8D"),1), 1)</f>
        <v>Pay Day</v>
      </c>
      <c r="D488" s="16">
        <f>HEX2DEC("14")</f>
        <v>20</v>
      </c>
      <c r="E488" s="17" t="str">
        <f t="array" ref="E488">INDEX(Moves!$B$2:'Moves'!$B$177, SUM(HEX2DEC("8D"),1), 1)</f>
        <v>Pay Day</v>
      </c>
      <c r="F488" s="11">
        <v>9</v>
      </c>
      <c r="G488" s="20" t="str">
        <f>VLOOKUP(F488, TMHM!$B$10:$C1519, 2, FALSE)</f>
        <v>Snore</v>
      </c>
      <c r="H488" s="21"/>
      <c r="I488" s="25"/>
      <c r="J488" s="30"/>
    </row>
    <row r="489" spans="1:10" x14ac:dyDescent="0.2">
      <c r="A489" s="120"/>
      <c r="B489" s="48">
        <f>HEX2DEC("1D")</f>
        <v>29</v>
      </c>
      <c r="C489" s="23" t="str">
        <f t="array" ref="C489">INDEX(Moves!$B$2:'Moves'!$B$177, SUM(HEX2DEC("8C"),1), 1)</f>
        <v>Quick Attack</v>
      </c>
      <c r="D489" s="48">
        <f>HEX2DEC("1D")</f>
        <v>29</v>
      </c>
      <c r="E489" s="23" t="s">
        <v>114</v>
      </c>
      <c r="F489" s="11">
        <v>10</v>
      </c>
      <c r="G489" s="20" t="str">
        <f>VLOOKUP(F489, TMHM!$B$10:$C1519, 2, FALSE)</f>
        <v>Bite</v>
      </c>
      <c r="H489" s="21"/>
      <c r="I489" s="25"/>
      <c r="J489" s="30"/>
    </row>
    <row r="490" spans="1:10" x14ac:dyDescent="0.2">
      <c r="A490" s="120"/>
      <c r="B490" s="48">
        <f>HEX2DEC("26")</f>
        <v>38</v>
      </c>
      <c r="C490" s="23" t="str">
        <f t="array" ref="C490">INDEX(Moves!$B$2:'Moves'!$B$177, SUM(HEX2DEC("9E"),1), 1)</f>
        <v>Supersonic</v>
      </c>
      <c r="D490" s="48">
        <f>HEX2DEC("26")</f>
        <v>38</v>
      </c>
      <c r="E490" s="23" t="s">
        <v>63</v>
      </c>
      <c r="F490" s="11">
        <v>15</v>
      </c>
      <c r="G490" s="20" t="str">
        <f>VLOOKUP(F490, TMHM!$B$10:$C1519, 2, FALSE)</f>
        <v>Hyper Beam</v>
      </c>
      <c r="H490" s="21"/>
      <c r="I490" s="25"/>
      <c r="J490" s="30"/>
    </row>
    <row r="491" spans="1:10" x14ac:dyDescent="0.2">
      <c r="A491" s="120"/>
      <c r="B491" s="48">
        <f>HEX2DEC("2E")</f>
        <v>46</v>
      </c>
      <c r="C491" s="23" t="str">
        <f t="array" ref="C491">INDEX(Moves!$B$2:'Moves'!$B$177, SUM(HEX2DEC("92"),1), 1)</f>
        <v>Crush Claw</v>
      </c>
      <c r="D491" s="48">
        <f>HEX2DEC("2E")</f>
        <v>46</v>
      </c>
      <c r="E491" s="23" t="s">
        <v>71</v>
      </c>
      <c r="F491" s="11">
        <v>17</v>
      </c>
      <c r="G491" s="20" t="str">
        <f>VLOOKUP(F491, TMHM!$B$10:$C1519, 2, FALSE)</f>
        <v>SmokeScreen</v>
      </c>
      <c r="H491" s="21"/>
      <c r="I491" s="25"/>
      <c r="J491" s="30"/>
    </row>
    <row r="492" spans="1:10" x14ac:dyDescent="0.2">
      <c r="A492" s="120"/>
      <c r="B492" s="48">
        <f>HEX2DEC("35")</f>
        <v>53</v>
      </c>
      <c r="C492" s="23" t="str">
        <f t="array" ref="C492">INDEX(Moves!$B$2:'Moves'!$B$177, SUM(HEX2DEC("AA"),1), 1)</f>
        <v>Encore</v>
      </c>
      <c r="D492" s="48">
        <f>HEX2DEC("35")</f>
        <v>53</v>
      </c>
      <c r="E492" s="23" t="s">
        <v>28</v>
      </c>
      <c r="F492" s="11"/>
      <c r="H492" s="21"/>
      <c r="I492" s="25"/>
      <c r="J492" s="30"/>
    </row>
    <row r="493" spans="1:10" x14ac:dyDescent="0.2">
      <c r="A493" s="121" t="s">
        <v>116</v>
      </c>
      <c r="B493" s="64">
        <f>HEX2DEC("00")</f>
        <v>0</v>
      </c>
      <c r="C493" s="65" t="str">
        <f t="array" ref="C493">INDEX(Moves!$B$2:'Moves'!$B$177, SUM(HEX2DEC("A5"),1), 1)</f>
        <v>Tickle</v>
      </c>
      <c r="D493" s="64">
        <f>HEX2DEC("01")</f>
        <v>1</v>
      </c>
      <c r="E493" s="65" t="str">
        <f t="array" ref="E493">INDEX(Moves!$B$2:'Moves'!$B$177, SUM(HEX2DEC("8B"),1), 1)</f>
        <v>Scratch</v>
      </c>
      <c r="F493" s="41">
        <v>3</v>
      </c>
      <c r="G493" s="12" t="str">
        <f>VLOOKUP(F493, TMHM!$B$10:$C1519, 2, FALSE)</f>
        <v>Water Pulse</v>
      </c>
      <c r="H493" s="13">
        <v>1</v>
      </c>
      <c r="I493" s="14" t="str">
        <f>VLOOKUP(H493, TMHM!$B$2:$C$7, 2, FALSE)</f>
        <v>Cut</v>
      </c>
      <c r="J493" s="30"/>
    </row>
    <row r="494" spans="1:10" x14ac:dyDescent="0.2">
      <c r="A494" s="120"/>
      <c r="B494" s="16">
        <f>HEX2DEC("05")</f>
        <v>5</v>
      </c>
      <c r="C494" s="17" t="str">
        <f t="array" ref="C494">INDEX(Moves!$B$2:'Moves'!$B$177, SUM(HEX2DEC("A4"),1), 1)</f>
        <v>Tail Whip</v>
      </c>
      <c r="D494" s="16">
        <f>HEX2DEC("05")</f>
        <v>5</v>
      </c>
      <c r="E494" s="17" t="str">
        <f t="array" ref="E494">INDEX(Moves!$B$2:'Moves'!$B$177, SUM(HEX2DEC("A4"),1), 1)</f>
        <v>Tail Whip</v>
      </c>
      <c r="F494" s="11">
        <v>4</v>
      </c>
      <c r="G494" s="20" t="str">
        <f>VLOOKUP(F494, TMHM!$B$10:$C1519, 2, FALSE)</f>
        <v>Calm Mind</v>
      </c>
      <c r="H494" s="21">
        <v>3</v>
      </c>
      <c r="I494" s="20" t="str">
        <f>VLOOKUP(H494, TMHM!$B$2:$C$7, 2, FALSE)</f>
        <v>Surf</v>
      </c>
      <c r="J494" s="30"/>
    </row>
    <row r="495" spans="1:10" x14ac:dyDescent="0.2">
      <c r="A495" s="120"/>
      <c r="B495" s="48">
        <f>HEX2DEC("0A")</f>
        <v>10</v>
      </c>
      <c r="C495" s="23" t="str">
        <f t="array" ref="C495">INDEX(Moves!$B$2:'Moves'!$B$177, SUM(HEX2DEC("A1"),1), 1)</f>
        <v>Charm</v>
      </c>
      <c r="D495" s="48">
        <f>HEX2DEC("0A")</f>
        <v>10</v>
      </c>
      <c r="E495" s="23" t="s">
        <v>94</v>
      </c>
      <c r="F495" s="11">
        <v>11</v>
      </c>
      <c r="G495" s="20" t="str">
        <f>VLOOKUP(F495, TMHM!$B$10:$C1519, 2, FALSE)</f>
        <v>Bubblebeam</v>
      </c>
      <c r="H495" s="21">
        <v>4</v>
      </c>
      <c r="I495" s="25" t="s">
        <v>117</v>
      </c>
      <c r="J495" s="30"/>
    </row>
    <row r="496" spans="1:10" x14ac:dyDescent="0.2">
      <c r="A496" s="120"/>
      <c r="B496" s="16">
        <f>HEX2DEC("10")</f>
        <v>16</v>
      </c>
      <c r="C496" s="17" t="str">
        <f t="array" ref="C496">INDEX(Moves!$B$2:'Moves'!$B$177, SUM(HEX2DEC("65"),1), 1)</f>
        <v>Confusion</v>
      </c>
      <c r="D496" s="16">
        <f>HEX2DEC("10")</f>
        <v>16</v>
      </c>
      <c r="E496" s="17" t="str">
        <f t="array" ref="E496">INDEX(Moves!$B$2:'Moves'!$B$177, SUM(HEX2DEC("65"),1), 1)</f>
        <v>Confusion</v>
      </c>
      <c r="F496" s="11">
        <v>16</v>
      </c>
      <c r="G496" s="20" t="str">
        <f>VLOOKUP(F496, TMHM!$B$10:$C1519, 2, FALSE)</f>
        <v>Rest</v>
      </c>
      <c r="H496" s="21"/>
      <c r="I496" s="25"/>
      <c r="J496" s="30"/>
    </row>
    <row r="497" spans="1:10" x14ac:dyDescent="0.2">
      <c r="A497" s="120"/>
      <c r="B497" s="48">
        <f>HEX2DEC("17")</f>
        <v>23</v>
      </c>
      <c r="C497" s="23" t="str">
        <f t="array" ref="C497">INDEX(Moves!$B$2:'Moves'!$B$177, SUM(HEX2DEC("9E"),1), 1)</f>
        <v>Supersonic</v>
      </c>
      <c r="D497" s="48">
        <f>HEX2DEC("17")</f>
        <v>23</v>
      </c>
      <c r="E497" s="23" t="s">
        <v>63</v>
      </c>
      <c r="F497" s="11">
        <v>29</v>
      </c>
      <c r="G497" s="20" t="str">
        <f>VLOOKUP(F497, TMHM!$B$10:$C1519, 2, FALSE)</f>
        <v>Psychic</v>
      </c>
      <c r="H497" s="21"/>
      <c r="I497" s="25"/>
      <c r="J497" s="30"/>
    </row>
    <row r="498" spans="1:10" x14ac:dyDescent="0.2">
      <c r="A498" s="120"/>
      <c r="B498" s="48">
        <f>HEX2DEC("1F")</f>
        <v>31</v>
      </c>
      <c r="C498" s="23" t="str">
        <f t="array" ref="C498">INDEX(Moves!$B$2:'Moves'!$B$177, SUM(HEX2DEC("71"),1), 1)</f>
        <v>Agility</v>
      </c>
      <c r="D498" s="48">
        <f>HEX2DEC("1F")</f>
        <v>31</v>
      </c>
      <c r="E498" s="23" t="s">
        <v>118</v>
      </c>
      <c r="F498" s="11">
        <v>30</v>
      </c>
      <c r="G498" s="20" t="str">
        <f>VLOOKUP(F498, TMHM!$B$10:$C1519, 2, FALSE)</f>
        <v>Shadow Ball</v>
      </c>
      <c r="H498" s="21"/>
      <c r="I498" s="25"/>
      <c r="J498" s="30"/>
    </row>
    <row r="499" spans="1:10" x14ac:dyDescent="0.2">
      <c r="A499" s="120"/>
      <c r="B499" s="48">
        <f>HEX2DEC("28")</f>
        <v>40</v>
      </c>
      <c r="C499" s="23" t="str">
        <f t="array" ref="C499">INDEX(Moves!$B$2:'Moves'!$B$177, SUM(HEX2DEC("92"),1), 1)</f>
        <v>Crush Claw</v>
      </c>
      <c r="D499" s="48">
        <f>HEX2DEC("28")</f>
        <v>40</v>
      </c>
      <c r="E499" s="23" t="s">
        <v>71</v>
      </c>
      <c r="F499" s="11">
        <v>35</v>
      </c>
      <c r="G499" s="20" t="str">
        <f>VLOOKUP(F499, TMHM!$B$10:$C1519, 2, FALSE)</f>
        <v>Harden</v>
      </c>
      <c r="H499" s="21"/>
      <c r="I499" s="25"/>
      <c r="J499" s="30"/>
    </row>
    <row r="500" spans="1:10" x14ac:dyDescent="0.2">
      <c r="A500" s="120"/>
      <c r="B500" s="16">
        <f>HEX2DEC("32")</f>
        <v>50</v>
      </c>
      <c r="C500" s="17" t="str">
        <f t="array" ref="C500">INDEX(Moves!$B$2:'Moves'!$B$177, SUM(HEX2DEC("0F"),1), 1)</f>
        <v>Hydro Pump</v>
      </c>
      <c r="D500" s="16">
        <f>HEX2DEC("32")</f>
        <v>50</v>
      </c>
      <c r="E500" s="17" t="str">
        <f t="array" ref="E500">INDEX(Moves!$B$2:'Moves'!$B$177, SUM(HEX2DEC("0F"),1), 1)</f>
        <v>Hydro Pump</v>
      </c>
      <c r="F500" s="11">
        <v>40</v>
      </c>
      <c r="G500" s="20" t="str">
        <f>VLOOKUP(F500, TMHM!$B$10:$C1519, 2, FALSE)</f>
        <v>Psychic</v>
      </c>
      <c r="H500" s="21"/>
      <c r="I500" s="25"/>
      <c r="J500" s="30"/>
    </row>
    <row r="501" spans="1:10" x14ac:dyDescent="0.2">
      <c r="A501" s="121" t="s">
        <v>119</v>
      </c>
      <c r="B501" s="64">
        <f>HEX2DEC("00")</f>
        <v>0</v>
      </c>
      <c r="C501" s="65" t="str">
        <f t="array" ref="C501">INDEX(Moves!$B$2:'Moves'!$B$177, SUM(HEX2DEC("A5"),1), 1)</f>
        <v>Tickle</v>
      </c>
      <c r="D501" s="64">
        <f t="shared" ref="D501:D504" si="43">HEX2DEC("01")</f>
        <v>1</v>
      </c>
      <c r="E501" s="65" t="str">
        <f t="array" ref="E501">INDEX(Moves!$B$2:'Moves'!$B$177, SUM(HEX2DEC("8B"),1), 1)</f>
        <v>Scratch</v>
      </c>
      <c r="F501" s="41">
        <v>3</v>
      </c>
      <c r="G501" s="12" t="str">
        <f>VLOOKUP(F501, TMHM!$B$10:$C1519, 2, FALSE)</f>
        <v>Water Pulse</v>
      </c>
      <c r="H501" s="13">
        <v>1</v>
      </c>
      <c r="I501" s="14" t="str">
        <f>VLOOKUP(H501, TMHM!$B$2:$C$7, 2, FALSE)</f>
        <v>Cut</v>
      </c>
      <c r="J501" s="30"/>
    </row>
    <row r="502" spans="1:10" x14ac:dyDescent="0.2">
      <c r="A502" s="120"/>
      <c r="B502" s="34"/>
      <c r="C502" s="35"/>
      <c r="D502" s="34">
        <f t="shared" si="43"/>
        <v>1</v>
      </c>
      <c r="E502" s="35" t="str">
        <f t="array" ref="E502">INDEX(Moves!$B$2:'Moves'!$B$177, SUM(HEX2DEC("A4"),1), 1)</f>
        <v>Tail Whip</v>
      </c>
      <c r="F502" s="11">
        <v>4</v>
      </c>
      <c r="G502" s="20" t="str">
        <f>VLOOKUP(F502, TMHM!$B$10:$C1519, 2, FALSE)</f>
        <v>Calm Mind</v>
      </c>
      <c r="H502" s="21">
        <v>3</v>
      </c>
      <c r="I502" s="20" t="str">
        <f>VLOOKUP(H502, TMHM!$B$2:$C$7, 2, FALSE)</f>
        <v>Surf</v>
      </c>
      <c r="J502" s="30"/>
    </row>
    <row r="503" spans="1:10" x14ac:dyDescent="0.2">
      <c r="A503" s="120"/>
      <c r="B503" s="34"/>
      <c r="C503" s="35"/>
      <c r="D503" s="34">
        <f t="shared" si="43"/>
        <v>1</v>
      </c>
      <c r="E503" s="35" t="s">
        <v>94</v>
      </c>
      <c r="F503" s="11">
        <v>11</v>
      </c>
      <c r="G503" s="20" t="str">
        <f>VLOOKUP(F503, TMHM!$B$10:$C1519, 2, FALSE)</f>
        <v>Bubblebeam</v>
      </c>
      <c r="H503" s="21">
        <v>4</v>
      </c>
      <c r="I503" s="25" t="s">
        <v>117</v>
      </c>
      <c r="J503" s="30"/>
    </row>
    <row r="504" spans="1:10" x14ac:dyDescent="0.2">
      <c r="A504" s="120"/>
      <c r="B504" s="34"/>
      <c r="C504" s="35"/>
      <c r="D504" s="34">
        <f t="shared" si="43"/>
        <v>1</v>
      </c>
      <c r="E504" s="35" t="str">
        <f t="array" ref="E504">INDEX(Moves!$B$2:'Moves'!$B$177, SUM(HEX2DEC("65"),1), 1)</f>
        <v>Confusion</v>
      </c>
      <c r="F504" s="11">
        <v>16</v>
      </c>
      <c r="G504" s="20" t="str">
        <f>VLOOKUP(F504, TMHM!$B$10:$C1519, 2, FALSE)</f>
        <v>Rest</v>
      </c>
      <c r="H504" s="21"/>
      <c r="I504" s="25"/>
      <c r="J504" s="30"/>
    </row>
    <row r="505" spans="1:10" x14ac:dyDescent="0.2">
      <c r="A505" s="120"/>
      <c r="B505" s="16">
        <f>HEX2DEC("05")</f>
        <v>5</v>
      </c>
      <c r="C505" s="17" t="str">
        <f t="array" ref="C505">INDEX(Moves!$B$2:'Moves'!$B$177, SUM(HEX2DEC("A4"),1), 1)</f>
        <v>Tail Whip</v>
      </c>
      <c r="D505" s="16">
        <f>HEX2DEC("05")</f>
        <v>5</v>
      </c>
      <c r="E505" s="17" t="str">
        <f t="array" ref="E505">INDEX(Moves!$B$2:'Moves'!$B$177, SUM(HEX2DEC("A4"),1), 1)</f>
        <v>Tail Whip</v>
      </c>
      <c r="F505" s="11">
        <v>29</v>
      </c>
      <c r="G505" s="20" t="str">
        <f>VLOOKUP(F505, TMHM!$B$10:$C1519, 2, FALSE)</f>
        <v>Psychic</v>
      </c>
      <c r="H505" s="21"/>
      <c r="I505" s="25"/>
      <c r="J505" s="30"/>
    </row>
    <row r="506" spans="1:10" x14ac:dyDescent="0.2">
      <c r="A506" s="120"/>
      <c r="B506" s="48">
        <f>HEX2DEC("0A")</f>
        <v>10</v>
      </c>
      <c r="C506" s="23" t="str">
        <f t="array" ref="C506">INDEX(Moves!$B$2:'Moves'!$B$177, SUM(HEX2DEC("A1"),1), 1)</f>
        <v>Charm</v>
      </c>
      <c r="D506" s="48">
        <f>HEX2DEC("0A")</f>
        <v>10</v>
      </c>
      <c r="E506" s="23" t="s">
        <v>94</v>
      </c>
      <c r="F506" s="11">
        <v>30</v>
      </c>
      <c r="G506" s="20" t="str">
        <f>VLOOKUP(F506, TMHM!$B$10:$C1519, 2, FALSE)</f>
        <v>Shadow Ball</v>
      </c>
      <c r="H506" s="21"/>
      <c r="I506" s="25"/>
      <c r="J506" s="30"/>
    </row>
    <row r="507" spans="1:10" x14ac:dyDescent="0.2">
      <c r="A507" s="120"/>
      <c r="B507" s="16">
        <f>HEX2DEC("10")</f>
        <v>16</v>
      </c>
      <c r="C507" s="17" t="str">
        <f t="array" ref="C507">INDEX(Moves!$B$2:'Moves'!$B$177, SUM(HEX2DEC("65"),1), 1)</f>
        <v>Confusion</v>
      </c>
      <c r="D507" s="16">
        <f>HEX2DEC("10")</f>
        <v>16</v>
      </c>
      <c r="E507" s="17" t="str">
        <f t="array" ref="E507">INDEX(Moves!$B$2:'Moves'!$B$177, SUM(HEX2DEC("65"),1), 1)</f>
        <v>Confusion</v>
      </c>
      <c r="F507" s="11">
        <v>35</v>
      </c>
      <c r="G507" s="20" t="str">
        <f>VLOOKUP(F507, TMHM!$B$10:$C1519, 2, FALSE)</f>
        <v>Harden</v>
      </c>
      <c r="H507" s="21"/>
      <c r="I507" s="25"/>
      <c r="J507" s="30"/>
    </row>
    <row r="508" spans="1:10" x14ac:dyDescent="0.2">
      <c r="A508" s="120"/>
      <c r="B508" s="43">
        <f>HEX2DEC("12")</f>
        <v>18</v>
      </c>
      <c r="C508" s="23" t="str">
        <f t="array" ref="C508">INDEX(Moves!$B$2:'Moves'!$B$177, SUM(HEX2DEC("9E"),1), 1)</f>
        <v>Supersonic</v>
      </c>
      <c r="D508" s="43">
        <f>HEX2DEC("17")</f>
        <v>23</v>
      </c>
      <c r="E508" s="23" t="s">
        <v>63</v>
      </c>
      <c r="F508" s="11">
        <v>40</v>
      </c>
      <c r="G508" s="20" t="str">
        <f>VLOOKUP(F508, TMHM!$B$10:$C1519, 2, FALSE)</f>
        <v>Psychic</v>
      </c>
      <c r="H508" s="21"/>
      <c r="I508" s="25"/>
      <c r="J508" s="30"/>
    </row>
    <row r="509" spans="1:10" x14ac:dyDescent="0.2">
      <c r="A509" s="120"/>
      <c r="B509" s="43">
        <f>HEX2DEC("17")</f>
        <v>23</v>
      </c>
      <c r="C509" s="23" t="str">
        <f t="array" ref="C509">INDEX(Moves!$B$2:'Moves'!$B$177, SUM(HEX2DEC("71"),1), 1)</f>
        <v>Agility</v>
      </c>
      <c r="D509" s="43">
        <f>HEX2DEC("1F")</f>
        <v>31</v>
      </c>
      <c r="E509" s="23" t="s">
        <v>118</v>
      </c>
      <c r="F509" s="11"/>
      <c r="H509" s="21"/>
      <c r="I509" s="25"/>
      <c r="J509" s="30"/>
    </row>
    <row r="510" spans="1:10" x14ac:dyDescent="0.2">
      <c r="A510" s="120"/>
      <c r="B510" s="48">
        <f>HEX2DEC("2C")</f>
        <v>44</v>
      </c>
      <c r="C510" s="23" t="str">
        <f t="array" ref="C510">INDEX(Moves!$B$2:'Moves'!$B$177, SUM(HEX2DEC("92"),1), 1)</f>
        <v>Crush Claw</v>
      </c>
      <c r="D510" s="48">
        <f>HEX2DEC("2C")</f>
        <v>44</v>
      </c>
      <c r="E510" s="23" t="s">
        <v>71</v>
      </c>
      <c r="F510" s="11"/>
      <c r="H510" s="21"/>
      <c r="I510" s="25"/>
      <c r="J510" s="30"/>
    </row>
    <row r="511" spans="1:10" x14ac:dyDescent="0.2">
      <c r="A511" s="120"/>
      <c r="B511" s="16">
        <f>HEX2DEC("3A")</f>
        <v>58</v>
      </c>
      <c r="C511" s="17" t="str">
        <f t="array" ref="C511">INDEX(Moves!$B$2:'Moves'!$B$177, SUM(HEX2DEC("0F"),1), 1)</f>
        <v>Hydro Pump</v>
      </c>
      <c r="D511" s="16">
        <f>HEX2DEC("3A")</f>
        <v>58</v>
      </c>
      <c r="E511" s="17" t="str">
        <f t="array" ref="E511">INDEX(Moves!$B$2:'Moves'!$B$177, SUM(HEX2DEC("0F"),1), 1)</f>
        <v>Hydro Pump</v>
      </c>
      <c r="F511" s="11"/>
      <c r="H511" s="21"/>
      <c r="I511" s="25"/>
      <c r="J511" s="30"/>
    </row>
    <row r="512" spans="1:10" x14ac:dyDescent="0.2">
      <c r="A512" s="121" t="s">
        <v>120</v>
      </c>
      <c r="B512" s="64">
        <f>HEX2DEC("00")</f>
        <v>0</v>
      </c>
      <c r="C512" s="65" t="str">
        <f t="array" ref="C512">INDEX(Moves!$B$2:'Moves'!$B$177, SUM(HEX2DEC("A5"),1), 1)</f>
        <v>Tickle</v>
      </c>
      <c r="D512" s="64">
        <f>HEX2DEC("01")</f>
        <v>1</v>
      </c>
      <c r="E512" s="65" t="str">
        <f t="array" ref="E512">INDEX(Moves!$B$2:'Moves'!$B$177, SUM(HEX2DEC("8B"),1), 1)</f>
        <v>Scratch</v>
      </c>
      <c r="F512" s="41">
        <v>1</v>
      </c>
      <c r="G512" s="12" t="str">
        <f>VLOOKUP(F512, TMHM!$B$10:$C1519, 2, FALSE)</f>
        <v>Focus Punch</v>
      </c>
      <c r="H512" s="13">
        <v>1</v>
      </c>
      <c r="I512" s="14" t="str">
        <f>VLOOKUP(H512, TMHM!$B$2:$C$7, 2, FALSE)</f>
        <v>Cut</v>
      </c>
      <c r="J512" s="30"/>
    </row>
    <row r="513" spans="1:10" x14ac:dyDescent="0.2">
      <c r="A513" s="120"/>
      <c r="B513" s="43">
        <f>HEX2DEC("02")</f>
        <v>2</v>
      </c>
      <c r="C513" s="23" t="str">
        <f t="array" ref="C513">INDEX(Moves!$B$2:'Moves'!$B$177, SUM(HEX2DEC("A0"),1), 1)</f>
        <v>Growl</v>
      </c>
      <c r="D513" s="43">
        <f>HEX2DEC("05")</f>
        <v>5</v>
      </c>
      <c r="E513" s="23" t="s">
        <v>59</v>
      </c>
      <c r="F513" s="11">
        <v>5</v>
      </c>
      <c r="G513" s="20" t="str">
        <f>VLOOKUP(F513, TMHM!$B$10:$C1519, 2, FALSE)</f>
        <v>Roar</v>
      </c>
      <c r="H513" s="21">
        <v>4</v>
      </c>
      <c r="I513" s="20" t="str">
        <f>VLOOKUP(H513, TMHM!$B$2:$C$7, 2, FALSE)</f>
        <v>Strength</v>
      </c>
      <c r="J513" s="30"/>
    </row>
    <row r="514" spans="1:10" x14ac:dyDescent="0.2">
      <c r="A514" s="120"/>
      <c r="B514" s="16">
        <f>HEX2DEC("09")</f>
        <v>9</v>
      </c>
      <c r="C514" s="17" t="str">
        <f t="array" ref="C514">INDEX(Moves!$B$2:'Moves'!$B$177, SUM(HEX2DEC("50"),1), 1)</f>
        <v>Low Kick</v>
      </c>
      <c r="D514" s="16">
        <f>HEX2DEC("09")</f>
        <v>9</v>
      </c>
      <c r="E514" s="17" t="str">
        <f t="array" ref="E514">INDEX(Moves!$B$2:'Moves'!$B$177, SUM(HEX2DEC("50"),1), 1)</f>
        <v>Low Kick</v>
      </c>
      <c r="F514" s="11">
        <v>10</v>
      </c>
      <c r="G514" s="20" t="str">
        <f>VLOOKUP(F514, TMHM!$B$10:$C1519, 2, FALSE)</f>
        <v>Bite</v>
      </c>
      <c r="H514" s="21"/>
      <c r="I514" s="25"/>
      <c r="J514" s="30"/>
    </row>
    <row r="515" spans="1:10" x14ac:dyDescent="0.2">
      <c r="A515" s="120"/>
      <c r="B515" s="16">
        <f>HEX2DEC("0F")</f>
        <v>15</v>
      </c>
      <c r="C515" s="17" t="str">
        <f t="array" ref="C515">INDEX(Moves!$B$2:'Moves'!$B$177, SUM(HEX2DEC("4F"),1), 1)</f>
        <v>Karate Chop</v>
      </c>
      <c r="D515" s="16">
        <f>HEX2DEC("0F")</f>
        <v>15</v>
      </c>
      <c r="E515" s="17" t="str">
        <f t="array" ref="E515">INDEX(Moves!$B$2:'Moves'!$B$177, SUM(HEX2DEC("4F"),1), 1)</f>
        <v>Karate Chop</v>
      </c>
      <c r="F515" s="11">
        <v>28</v>
      </c>
      <c r="G515" s="20" t="str">
        <f>VLOOKUP(F515, TMHM!$B$10:$C1519, 2, FALSE)</f>
        <v>Dig</v>
      </c>
      <c r="H515" s="21"/>
      <c r="I515" s="25"/>
      <c r="J515" s="30"/>
    </row>
    <row r="516" spans="1:10" x14ac:dyDescent="0.2">
      <c r="A516" s="120"/>
      <c r="B516" s="48">
        <f>HEX2DEC("15")</f>
        <v>21</v>
      </c>
      <c r="C516" s="23" t="str">
        <f t="array" ref="C516">INDEX(Moves!$B$2:'Moves'!$B$177, SUM(HEX2DEC("92"),1), 1)</f>
        <v>Crush Claw</v>
      </c>
      <c r="D516" s="48">
        <f>HEX2DEC("15")</f>
        <v>21</v>
      </c>
      <c r="E516" s="23" t="s">
        <v>71</v>
      </c>
      <c r="F516" s="11">
        <v>31</v>
      </c>
      <c r="G516" s="20" t="str">
        <f>VLOOKUP(F516, TMHM!$B$10:$C1519, 2, FALSE)</f>
        <v>Brick Break</v>
      </c>
      <c r="H516" s="21"/>
      <c r="I516" s="25"/>
      <c r="J516" s="30"/>
    </row>
    <row r="517" spans="1:10" x14ac:dyDescent="0.2">
      <c r="A517" s="120"/>
      <c r="B517" s="48">
        <f>HEX2DEC("1B")</f>
        <v>27</v>
      </c>
      <c r="C517" s="23" t="str">
        <f t="array" ref="C517">INDEX(Moves!$B$2:'Moves'!$B$177, SUM(HEX2DEC("4D"),1), 1)</f>
        <v>Rock Smash</v>
      </c>
      <c r="D517" s="48">
        <f>HEX2DEC("1B")</f>
        <v>27</v>
      </c>
      <c r="E517" s="23" t="s">
        <v>49</v>
      </c>
      <c r="F517" s="11"/>
      <c r="H517" s="21"/>
      <c r="I517" s="25"/>
      <c r="J517" s="30"/>
    </row>
    <row r="518" spans="1:10" x14ac:dyDescent="0.2">
      <c r="A518" s="120"/>
      <c r="B518" s="48">
        <f>HEX2DEC("21")</f>
        <v>33</v>
      </c>
      <c r="C518" s="23" t="str">
        <f t="array" ref="C518">INDEX(Moves!$B$2:'Moves'!$B$177, SUM(HEX2DEC("53"),1), 1)</f>
        <v>Vital Throw</v>
      </c>
      <c r="D518" s="48">
        <f>HEX2DEC("21")</f>
        <v>33</v>
      </c>
      <c r="E518" s="23" t="s">
        <v>121</v>
      </c>
      <c r="F518" s="11"/>
      <c r="H518" s="21"/>
      <c r="I518" s="25"/>
      <c r="J518" s="30"/>
    </row>
    <row r="519" spans="1:10" x14ac:dyDescent="0.2">
      <c r="A519" s="120"/>
      <c r="B519" s="16">
        <f>HEX2DEC("27")</f>
        <v>39</v>
      </c>
      <c r="C519" s="17" t="str">
        <f t="array" ref="C519">INDEX(Moves!$B$2:'Moves'!$B$177, SUM(HEX2DEC("57"),1), 1)</f>
        <v>Cross Chop</v>
      </c>
      <c r="D519" s="16">
        <f>HEX2DEC("27")</f>
        <v>39</v>
      </c>
      <c r="E519" s="17" t="str">
        <f t="array" ref="E519">INDEX(Moves!$B$2:'Moves'!$B$177, SUM(HEX2DEC("57"),1), 1)</f>
        <v>Cross Chop</v>
      </c>
      <c r="F519" s="11"/>
      <c r="H519" s="21"/>
      <c r="I519" s="25"/>
      <c r="J519" s="30"/>
    </row>
    <row r="520" spans="1:10" x14ac:dyDescent="0.2">
      <c r="A520" s="120"/>
      <c r="B520" s="48">
        <f>HEX2DEC("2D")</f>
        <v>45</v>
      </c>
      <c r="C520" s="23" t="str">
        <f t="array" ref="C520">INDEX(Moves!$B$2:'Moves'!$B$177, SUM(HEX2DEC("A8"),1), 1)</f>
        <v>Double Team</v>
      </c>
      <c r="D520" s="48">
        <f>HEX2DEC("2D")</f>
        <v>45</v>
      </c>
      <c r="E520" s="23" t="s">
        <v>63</v>
      </c>
      <c r="F520" s="11"/>
      <c r="H520" s="21"/>
      <c r="I520" s="25"/>
      <c r="J520" s="30"/>
    </row>
    <row r="521" spans="1:10" x14ac:dyDescent="0.2">
      <c r="A521" s="120"/>
      <c r="B521" s="16">
        <f>HEX2DEC("33")</f>
        <v>51</v>
      </c>
      <c r="C521" s="17" t="str">
        <f t="array" ref="C521">INDEX(Moves!$B$2:'Moves'!$B$177, SUM(HEX2DEC("58"),1), 1)</f>
        <v>DynamicPunch</v>
      </c>
      <c r="D521" s="16">
        <f>HEX2DEC("33")</f>
        <v>51</v>
      </c>
      <c r="E521" s="17" t="str">
        <f t="array" ref="E521">INDEX(Moves!$B$2:'Moves'!$B$177, SUM(HEX2DEC("58"),1), 1)</f>
        <v>DynamicPunch</v>
      </c>
      <c r="F521" s="11"/>
      <c r="H521" s="21"/>
      <c r="I521" s="25"/>
      <c r="J521" s="30"/>
    </row>
    <row r="522" spans="1:10" x14ac:dyDescent="0.2">
      <c r="A522" s="121" t="s">
        <v>122</v>
      </c>
      <c r="B522" s="64">
        <f>HEX2DEC("00")</f>
        <v>0</v>
      </c>
      <c r="C522" s="65" t="str">
        <f t="array" ref="C522">INDEX(Moves!$B$2:'Moves'!$B$177, SUM(HEX2DEC("A5"),1), 1)</f>
        <v>Tickle</v>
      </c>
      <c r="D522" s="64">
        <f t="shared" ref="D522:D525" si="44">HEX2DEC("01")</f>
        <v>1</v>
      </c>
      <c r="E522" s="65" t="str">
        <f t="array" ref="E522">INDEX(Moves!$B$2:'Moves'!$B$177, SUM(HEX2DEC("8B"),1), 1)</f>
        <v>Scratch</v>
      </c>
      <c r="F522" s="41">
        <v>1</v>
      </c>
      <c r="G522" s="12" t="str">
        <f>VLOOKUP(F522, TMHM!$B$10:$C1519, 2, FALSE)</f>
        <v>Focus Punch</v>
      </c>
      <c r="H522" s="13">
        <v>1</v>
      </c>
      <c r="I522" s="14" t="str">
        <f>VLOOKUP(H522, TMHM!$B$2:$C$7, 2, FALSE)</f>
        <v>Cut</v>
      </c>
      <c r="J522" s="30"/>
    </row>
    <row r="523" spans="1:10" x14ac:dyDescent="0.2">
      <c r="A523" s="120"/>
      <c r="B523" s="34"/>
      <c r="C523" s="35"/>
      <c r="D523" s="34">
        <f t="shared" si="44"/>
        <v>1</v>
      </c>
      <c r="E523" s="35" t="s">
        <v>59</v>
      </c>
      <c r="F523" s="11">
        <v>5</v>
      </c>
      <c r="G523" s="20" t="str">
        <f>VLOOKUP(F523, TMHM!$B$10:$C1519, 2, FALSE)</f>
        <v>Roar</v>
      </c>
      <c r="H523" s="21">
        <v>4</v>
      </c>
      <c r="I523" s="20" t="str">
        <f>VLOOKUP(H523, TMHM!$B$2:$C$7, 2, FALSE)</f>
        <v>Strength</v>
      </c>
      <c r="J523" s="30"/>
    </row>
    <row r="524" spans="1:10" x14ac:dyDescent="0.2">
      <c r="A524" s="120"/>
      <c r="B524" s="34"/>
      <c r="C524" s="35"/>
      <c r="D524" s="34">
        <f t="shared" si="44"/>
        <v>1</v>
      </c>
      <c r="E524" s="35" t="str">
        <f t="array" ref="E524">INDEX(Moves!$B$2:'Moves'!$B$177, SUM(HEX2DEC("50"),1), 1)</f>
        <v>Low Kick</v>
      </c>
      <c r="F524" s="11">
        <v>10</v>
      </c>
      <c r="G524" s="20" t="str">
        <f>VLOOKUP(F524, TMHM!$B$10:$C1519, 2, FALSE)</f>
        <v>Bite</v>
      </c>
      <c r="H524" s="21"/>
      <c r="I524" s="25"/>
      <c r="J524" s="30"/>
    </row>
    <row r="525" spans="1:10" x14ac:dyDescent="0.2">
      <c r="A525" s="120"/>
      <c r="B525" s="34"/>
      <c r="C525" s="35"/>
      <c r="D525" s="34">
        <f t="shared" si="44"/>
        <v>1</v>
      </c>
      <c r="E525" s="35" t="s">
        <v>26</v>
      </c>
      <c r="F525" s="11">
        <v>28</v>
      </c>
      <c r="G525" s="20" t="str">
        <f>VLOOKUP(F525, TMHM!$B$10:$C1519, 2, FALSE)</f>
        <v>Dig</v>
      </c>
      <c r="H525" s="21"/>
      <c r="I525" s="25"/>
      <c r="J525" s="30"/>
    </row>
    <row r="526" spans="1:10" x14ac:dyDescent="0.2">
      <c r="A526" s="120"/>
      <c r="B526" s="43">
        <f>HEX2DEC("02")</f>
        <v>2</v>
      </c>
      <c r="C526" s="23" t="str">
        <f t="array" ref="C526">INDEX(Moves!$B$2:'Moves'!$B$177, SUM(HEX2DEC("A0"),1), 1)</f>
        <v>Growl</v>
      </c>
      <c r="D526" s="43">
        <f>HEX2DEC("05")</f>
        <v>5</v>
      </c>
      <c r="E526" s="23" t="s">
        <v>59</v>
      </c>
      <c r="F526" s="11">
        <v>31</v>
      </c>
      <c r="G526" s="20" t="str">
        <f>VLOOKUP(F526, TMHM!$B$10:$C1519, 2, FALSE)</f>
        <v>Brick Break</v>
      </c>
      <c r="H526" s="21"/>
      <c r="I526" s="25"/>
      <c r="J526" s="30"/>
    </row>
    <row r="527" spans="1:10" x14ac:dyDescent="0.2">
      <c r="A527" s="120"/>
      <c r="B527" s="16">
        <f>HEX2DEC("09")</f>
        <v>9</v>
      </c>
      <c r="C527" s="17" t="str">
        <f t="array" ref="C527">INDEX(Moves!$B$2:'Moves'!$B$177, SUM(HEX2DEC("50"),1), 1)</f>
        <v>Low Kick</v>
      </c>
      <c r="D527" s="16">
        <f>HEX2DEC("09")</f>
        <v>9</v>
      </c>
      <c r="E527" s="17" t="str">
        <f t="array" ref="E527">INDEX(Moves!$B$2:'Moves'!$B$177, SUM(HEX2DEC("50"),1), 1)</f>
        <v>Low Kick</v>
      </c>
      <c r="F527" s="11"/>
      <c r="H527" s="21"/>
      <c r="I527" s="25"/>
      <c r="J527" s="30"/>
    </row>
    <row r="528" spans="1:10" x14ac:dyDescent="0.2">
      <c r="A528" s="120"/>
      <c r="B528" s="16">
        <f>HEX2DEC("0F")</f>
        <v>15</v>
      </c>
      <c r="C528" s="17" t="str">
        <f t="array" ref="C528">INDEX(Moves!$B$2:'Moves'!$B$177, SUM(HEX2DEC("4F"),1), 1)</f>
        <v>Karate Chop</v>
      </c>
      <c r="D528" s="16">
        <f>HEX2DEC("0F")</f>
        <v>15</v>
      </c>
      <c r="E528" s="17" t="str">
        <f t="array" ref="E528">INDEX(Moves!$B$2:'Moves'!$B$177, SUM(HEX2DEC("4F"),1), 1)</f>
        <v>Karate Chop</v>
      </c>
      <c r="F528" s="11"/>
      <c r="H528" s="21"/>
      <c r="I528" s="25"/>
      <c r="J528" s="30"/>
    </row>
    <row r="529" spans="1:10" x14ac:dyDescent="0.2">
      <c r="A529" s="120"/>
      <c r="B529" s="48">
        <f>HEX2DEC("15")</f>
        <v>21</v>
      </c>
      <c r="C529" s="23" t="str">
        <f t="array" ref="C529">INDEX(Moves!$B$2:'Moves'!$B$177, SUM(HEX2DEC("92"),1), 1)</f>
        <v>Crush Claw</v>
      </c>
      <c r="D529" s="48">
        <f>HEX2DEC("15")</f>
        <v>21</v>
      </c>
      <c r="E529" s="23" t="s">
        <v>71</v>
      </c>
      <c r="F529" s="11"/>
      <c r="H529" s="21"/>
      <c r="I529" s="25"/>
      <c r="J529" s="30"/>
    </row>
    <row r="530" spans="1:10" x14ac:dyDescent="0.2">
      <c r="A530" s="120"/>
      <c r="B530" s="48">
        <f>HEX2DEC("1B")</f>
        <v>27</v>
      </c>
      <c r="C530" s="23" t="str">
        <f t="array" ref="C530">INDEX(Moves!$B$2:'Moves'!$B$177, SUM(HEX2DEC("4D"),1), 1)</f>
        <v>Rock Smash</v>
      </c>
      <c r="D530" s="48">
        <f>HEX2DEC("1B")</f>
        <v>27</v>
      </c>
      <c r="E530" s="23" t="s">
        <v>49</v>
      </c>
      <c r="F530" s="11"/>
      <c r="H530" s="21"/>
      <c r="I530" s="25"/>
      <c r="J530" s="30"/>
    </row>
    <row r="531" spans="1:10" x14ac:dyDescent="0.2">
      <c r="A531" s="120"/>
      <c r="B531" s="34"/>
      <c r="C531" s="35"/>
      <c r="D531" s="34">
        <f>HEX2DEC("1C")</f>
        <v>28</v>
      </c>
      <c r="E531" s="35" t="s">
        <v>26</v>
      </c>
      <c r="F531" s="11"/>
      <c r="H531" s="21"/>
      <c r="I531" s="25"/>
      <c r="J531" s="30"/>
    </row>
    <row r="532" spans="1:10" x14ac:dyDescent="0.2">
      <c r="A532" s="120"/>
      <c r="B532" s="48">
        <f>HEX2DEC("24")</f>
        <v>36</v>
      </c>
      <c r="C532" s="23" t="str">
        <f t="array" ref="C532">INDEX(Moves!$B$2:'Moves'!$B$177, SUM(HEX2DEC("53"),1), 1)</f>
        <v>Vital Throw</v>
      </c>
      <c r="D532" s="48">
        <f>HEX2DEC("24")</f>
        <v>36</v>
      </c>
      <c r="E532" s="23" t="str">
        <f t="array" ref="E532">INDEX(Moves!$B$2:'Moves'!$B$177, SUM(HEX2DEC("53"),1), 1)</f>
        <v>Vital Throw</v>
      </c>
      <c r="F532" s="11"/>
      <c r="H532" s="21"/>
      <c r="I532" s="25"/>
      <c r="J532" s="30"/>
    </row>
    <row r="533" spans="1:10" x14ac:dyDescent="0.2">
      <c r="A533" s="120"/>
      <c r="B533" s="16">
        <f>HEX2DEC("2D")</f>
        <v>45</v>
      </c>
      <c r="C533" s="17" t="str">
        <f t="array" ref="C533">INDEX(Moves!$B$2:'Moves'!$B$177, SUM(HEX2DEC("57"),1), 1)</f>
        <v>Cross Chop</v>
      </c>
      <c r="D533" s="16">
        <f>HEX2DEC("2D")</f>
        <v>45</v>
      </c>
      <c r="E533" s="17" t="str">
        <f t="array" ref="E533">INDEX(Moves!$B$2:'Moves'!$B$177, SUM(HEX2DEC("57"),1), 1)</f>
        <v>Cross Chop</v>
      </c>
      <c r="F533" s="11"/>
      <c r="H533" s="21"/>
      <c r="I533" s="25"/>
      <c r="J533" s="30"/>
    </row>
    <row r="534" spans="1:10" x14ac:dyDescent="0.2">
      <c r="A534" s="120"/>
      <c r="B534" s="48">
        <f>HEX2DEC("36")</f>
        <v>54</v>
      </c>
      <c r="C534" s="23" t="str">
        <f t="array" ref="C534">INDEX(Moves!$B$2:'Moves'!$B$177, SUM(HEX2DEC("A8"),1), 1)</f>
        <v>Double Team</v>
      </c>
      <c r="D534" s="48">
        <f>HEX2DEC("36")</f>
        <v>54</v>
      </c>
      <c r="E534" s="23" t="str">
        <f t="array" ref="E534">INDEX(Moves!$B$2:'Moves'!$B$177, SUM(HEX2DEC("A8"),1), 1)</f>
        <v>Double Team</v>
      </c>
      <c r="F534" s="11"/>
      <c r="H534" s="21"/>
      <c r="I534" s="25"/>
      <c r="J534" s="30"/>
    </row>
    <row r="535" spans="1:10" x14ac:dyDescent="0.2">
      <c r="A535" s="120"/>
      <c r="B535" s="16">
        <f>HEX2DEC("3F")</f>
        <v>63</v>
      </c>
      <c r="C535" s="17" t="str">
        <f t="array" ref="C535">INDEX(Moves!$B$2:'Moves'!$B$177, SUM(HEX2DEC("58"),1), 1)</f>
        <v>DynamicPunch</v>
      </c>
      <c r="D535" s="16">
        <f>HEX2DEC("3F")</f>
        <v>63</v>
      </c>
      <c r="E535" s="17" t="str">
        <f t="array" ref="E535">INDEX(Moves!$B$2:'Moves'!$B$177, SUM(HEX2DEC("58"),1), 1)</f>
        <v>DynamicPunch</v>
      </c>
      <c r="F535" s="11"/>
      <c r="H535" s="21"/>
      <c r="I535" s="25"/>
      <c r="J535" s="30"/>
    </row>
    <row r="536" spans="1:10" x14ac:dyDescent="0.2">
      <c r="A536" s="121" t="s">
        <v>123</v>
      </c>
      <c r="B536" s="64">
        <f>HEX2DEC("00")</f>
        <v>0</v>
      </c>
      <c r="C536" s="65" t="str">
        <f t="array" ref="C536">INDEX(Moves!$B$2:'Moves'!$B$177, SUM(HEX2DEC("7F"),1), 1)</f>
        <v>Pursuit</v>
      </c>
      <c r="D536" s="64">
        <f t="shared" ref="D536:D537" si="45">HEX2DEC("01")</f>
        <v>1</v>
      </c>
      <c r="E536" s="65" t="str">
        <f t="array" ref="E536">INDEX(Moves!$B$2:'Moves'!$B$177, SUM(HEX2DEC("80"),1), 1)</f>
        <v>Bite</v>
      </c>
      <c r="F536" s="41">
        <v>1</v>
      </c>
      <c r="G536" s="12" t="str">
        <f>VLOOKUP(F536, TMHM!$B$10:$C1519, 2, FALSE)</f>
        <v>Focus Punch</v>
      </c>
      <c r="H536" s="13">
        <v>1</v>
      </c>
      <c r="I536" s="14" t="str">
        <f>VLOOKUP(H536, TMHM!$B$2:$C$7, 2, FALSE)</f>
        <v>Cut</v>
      </c>
      <c r="J536" s="30"/>
    </row>
    <row r="537" spans="1:10" x14ac:dyDescent="0.2">
      <c r="A537" s="120"/>
      <c r="B537" s="43">
        <f>HEX2DEC("02")</f>
        <v>2</v>
      </c>
      <c r="C537" s="17" t="str">
        <f t="array" ref="C537">INDEX(Moves!$B$2:'Moves'!$B$177, SUM(HEX2DEC("AB"),1), 1)</f>
        <v>Roar</v>
      </c>
      <c r="D537" s="43">
        <f t="shared" si="45"/>
        <v>1</v>
      </c>
      <c r="E537" s="17" t="str">
        <f t="array" ref="E537">INDEX(Moves!$B$2:'Moves'!$B$177, SUM(HEX2DEC("AB"),1), 1)</f>
        <v>Roar</v>
      </c>
      <c r="F537" s="11">
        <v>2</v>
      </c>
      <c r="G537" s="20" t="str">
        <f>VLOOKUP(F537, TMHM!$B$10:$C1519, 2, FALSE)</f>
        <v>Dragon Claw</v>
      </c>
      <c r="H537" s="21">
        <v>4</v>
      </c>
      <c r="I537" s="20" t="str">
        <f>VLOOKUP(H537, TMHM!$B$2:$C$7, 2, FALSE)</f>
        <v>Strength</v>
      </c>
      <c r="J537" s="30"/>
    </row>
    <row r="538" spans="1:10" x14ac:dyDescent="0.2">
      <c r="A538" s="120"/>
      <c r="B538" s="16">
        <f>HEX2DEC("09")</f>
        <v>9</v>
      </c>
      <c r="C538" s="17" t="str">
        <f t="array" ref="C538">INDEX(Moves!$B$2:'Moves'!$B$177, SUM(HEX2DEC("00"),1), 1)</f>
        <v>Ember</v>
      </c>
      <c r="D538" s="16">
        <f>HEX2DEC("09")</f>
        <v>9</v>
      </c>
      <c r="E538" s="17" t="str">
        <f t="array" ref="E538">INDEX(Moves!$B$2:'Moves'!$B$177, SUM(HEX2DEC("00"),1), 1)</f>
        <v>Ember</v>
      </c>
      <c r="F538" s="11">
        <v>5</v>
      </c>
      <c r="G538" s="20" t="str">
        <f>VLOOKUP(F538, TMHM!$B$10:$C1519, 2, FALSE)</f>
        <v>Roar</v>
      </c>
      <c r="H538" s="21">
        <v>5</v>
      </c>
      <c r="I538" s="20" t="str">
        <f>VLOOKUP(H538, TMHM!$B$2:$C$7, 2, FALSE)</f>
        <v>Flash</v>
      </c>
      <c r="J538" s="30"/>
    </row>
    <row r="539" spans="1:10" x14ac:dyDescent="0.2">
      <c r="A539" s="120"/>
      <c r="B539" s="48">
        <f>HEX2DEC("12")</f>
        <v>18</v>
      </c>
      <c r="C539" s="23" t="str">
        <f t="array" ref="C539">INDEX(Moves!$B$2:'Moves'!$B$177, SUM(HEX2DEC("8C"),1), 1)</f>
        <v>Quick Attack</v>
      </c>
      <c r="D539" s="48">
        <f>HEX2DEC("12")</f>
        <v>18</v>
      </c>
      <c r="E539" s="23" t="s">
        <v>59</v>
      </c>
      <c r="F539" s="11">
        <v>21</v>
      </c>
      <c r="G539" s="20" t="str">
        <f>VLOOKUP(F539, TMHM!$B$10:$C1519, 2, FALSE)</f>
        <v>Recover</v>
      </c>
      <c r="H539" s="21"/>
      <c r="I539" s="25"/>
      <c r="J539" s="30"/>
    </row>
    <row r="540" spans="1:10" x14ac:dyDescent="0.2">
      <c r="A540" s="120"/>
      <c r="B540" s="48">
        <f>HEX2DEC("1A")</f>
        <v>26</v>
      </c>
      <c r="C540" s="23" t="str">
        <f t="array" ref="C540">INDEX(Moves!$B$2:'Moves'!$B$177, SUM(HEX2DEC("8B"),1), 1)</f>
        <v>Scratch</v>
      </c>
      <c r="D540" s="48">
        <f>HEX2DEC("1A")</f>
        <v>26</v>
      </c>
      <c r="E540" s="23" t="s">
        <v>124</v>
      </c>
      <c r="F540" s="11">
        <v>27</v>
      </c>
      <c r="G540" s="20" t="str">
        <f>VLOOKUP(F540, TMHM!$B$10:$C1519, 2, FALSE)</f>
        <v>Fire Punch</v>
      </c>
      <c r="H540" s="21"/>
      <c r="I540" s="25"/>
      <c r="J540" s="30"/>
    </row>
    <row r="541" spans="1:10" x14ac:dyDescent="0.2">
      <c r="A541" s="120"/>
      <c r="B541" s="16">
        <f>HEX2DEC("22")</f>
        <v>34</v>
      </c>
      <c r="C541" s="17" t="str">
        <f t="array" ref="C541">INDEX(Moves!$B$2:'Moves'!$B$177, SUM(HEX2DEC("01"),1), 1)</f>
        <v>Flame Wheel</v>
      </c>
      <c r="D541" s="16">
        <f>HEX2DEC("22")</f>
        <v>34</v>
      </c>
      <c r="E541" s="17" t="str">
        <f t="array" ref="E541">INDEX(Moves!$B$2:'Moves'!$B$177, SUM(HEX2DEC("01"),1), 1)</f>
        <v>Flame Wheel</v>
      </c>
      <c r="F541" s="11">
        <v>38</v>
      </c>
      <c r="G541" s="20" t="str">
        <f>VLOOKUP(F541, TMHM!$B$10:$C1519, 2, FALSE)</f>
        <v>Fire Blast</v>
      </c>
      <c r="H541" s="21"/>
      <c r="I541" s="25"/>
      <c r="J541" s="30"/>
    </row>
    <row r="542" spans="1:10" x14ac:dyDescent="0.2">
      <c r="A542" s="120"/>
      <c r="B542" s="16">
        <f>HEX2DEC("2A")</f>
        <v>42</v>
      </c>
      <c r="C542" s="17" t="str">
        <f t="array" ref="C542">INDEX(Moves!$B$2:'Moves'!$B$177, SUM(HEX2DEC("71"),1), 1)</f>
        <v>Agility</v>
      </c>
      <c r="D542" s="16">
        <f>HEX2DEC("2A")</f>
        <v>42</v>
      </c>
      <c r="E542" s="17" t="str">
        <f t="array" ref="E542">INDEX(Moves!$B$2:'Moves'!$B$177, SUM(HEX2DEC("71"),1), 1)</f>
        <v>Agility</v>
      </c>
      <c r="F542" s="11"/>
      <c r="H542" s="21"/>
      <c r="I542" s="25"/>
      <c r="J542" s="30"/>
    </row>
    <row r="543" spans="1:10" x14ac:dyDescent="0.2">
      <c r="A543" s="120"/>
      <c r="B543" s="50">
        <f>HEX2DEC("32")</f>
        <v>50</v>
      </c>
      <c r="C543" s="51" t="str">
        <f t="array" ref="C543">INDEX(Moves!$B$2:'Moves'!$B$177, SUM(HEX2DEC("06"),1), 1)</f>
        <v>Eruption</v>
      </c>
      <c r="D543" s="50">
        <f>HEX2DEC("32")</f>
        <v>50</v>
      </c>
      <c r="E543" s="51" t="str">
        <f t="array" ref="E543">INDEX(Moves!$B$2:'Moves'!$B$177, SUM(HEX2DEC("03"),1), 1)</f>
        <v>Flamethrower</v>
      </c>
      <c r="F543" s="11"/>
      <c r="H543" s="21"/>
      <c r="I543" s="25"/>
      <c r="J543" s="30"/>
    </row>
    <row r="544" spans="1:10" x14ac:dyDescent="0.2">
      <c r="A544" s="121" t="s">
        <v>125</v>
      </c>
      <c r="B544" s="70">
        <f>HEX2DEC("00")</f>
        <v>0</v>
      </c>
      <c r="C544" s="71" t="str">
        <f t="array" ref="C544">INDEX(Moves!$B$2:'Moves'!$B$177, SUM(HEX2DEC("AB"),1), 1)</f>
        <v>Roar</v>
      </c>
      <c r="D544" s="70">
        <f t="shared" ref="D544:D546" si="46">HEX2DEC("01")</f>
        <v>1</v>
      </c>
      <c r="E544" s="71" t="str">
        <f t="array" ref="E544">INDEX(Moves!$B$2:'Moves'!$B$177, SUM(HEX2DEC("AB"),1), 1)</f>
        <v>Roar</v>
      </c>
      <c r="F544" s="41">
        <v>1</v>
      </c>
      <c r="G544" s="12" t="str">
        <f>VLOOKUP(F544, TMHM!$B$10:$C1519, 2, FALSE)</f>
        <v>Focus Punch</v>
      </c>
      <c r="H544" s="13">
        <v>1</v>
      </c>
      <c r="I544" s="14" t="str">
        <f>VLOOKUP(H544, TMHM!$B$2:$C$7, 2, FALSE)</f>
        <v>Cut</v>
      </c>
      <c r="J544" s="30"/>
    </row>
    <row r="545" spans="1:10" x14ac:dyDescent="0.2">
      <c r="A545" s="120"/>
      <c r="B545" s="43">
        <f>HEX2DEC("09")</f>
        <v>9</v>
      </c>
      <c r="C545" s="23" t="str">
        <f t="array" ref="C545">INDEX(Moves!$B$2:'Moves'!$B$177, SUM(HEX2DEC("00"),1), 1)</f>
        <v>Ember</v>
      </c>
      <c r="D545" s="43">
        <f t="shared" si="46"/>
        <v>1</v>
      </c>
      <c r="E545" s="23" t="s">
        <v>59</v>
      </c>
      <c r="F545" s="11">
        <v>2</v>
      </c>
      <c r="G545" s="20" t="str">
        <f>VLOOKUP(F545, TMHM!$B$10:$C1519, 2, FALSE)</f>
        <v>Dragon Claw</v>
      </c>
      <c r="H545" s="21">
        <v>4</v>
      </c>
      <c r="I545" s="20" t="str">
        <f>VLOOKUP(H545, TMHM!$B$2:$C$7, 2, FALSE)</f>
        <v>Strength</v>
      </c>
      <c r="J545" s="30"/>
    </row>
    <row r="546" spans="1:10" x14ac:dyDescent="0.2">
      <c r="A546" s="120"/>
      <c r="B546" s="43">
        <f>HEX2DEC("12")</f>
        <v>18</v>
      </c>
      <c r="C546" s="23" t="str">
        <f t="array" ref="C546">INDEX(Moves!$B$2:'Moves'!$B$177, SUM(HEX2DEC("8C"),1), 1)</f>
        <v>Quick Attack</v>
      </c>
      <c r="D546" s="43">
        <f t="shared" si="46"/>
        <v>1</v>
      </c>
      <c r="E546" s="23" t="s">
        <v>124</v>
      </c>
      <c r="F546" s="11">
        <v>5</v>
      </c>
      <c r="G546" s="20" t="str">
        <f>VLOOKUP(F546, TMHM!$B$10:$C1519, 2, FALSE)</f>
        <v>Roar</v>
      </c>
      <c r="H546" s="21">
        <v>5</v>
      </c>
      <c r="I546" s="20" t="str">
        <f>VLOOKUP(H546, TMHM!$B$2:$C$7, 2, FALSE)</f>
        <v>Flash</v>
      </c>
      <c r="J546" s="30"/>
    </row>
    <row r="547" spans="1:10" x14ac:dyDescent="0.2">
      <c r="A547" s="120"/>
      <c r="B547" s="43">
        <f>HEX2DEC("22")</f>
        <v>34</v>
      </c>
      <c r="C547" s="17" t="str">
        <f t="array" ref="C547">INDEX(Moves!$B$2:'Moves'!$B$177, SUM(HEX2DEC("01"),1), 1)</f>
        <v>Flame Wheel</v>
      </c>
      <c r="D547" s="43">
        <f>HEX2DEC(1)</f>
        <v>1</v>
      </c>
      <c r="E547" s="17" t="str">
        <f t="array" ref="E547">INDEX(Moves!$B$2:'Moves'!$B$177, SUM(HEX2DEC("01"),1), 1)</f>
        <v>Flame Wheel</v>
      </c>
      <c r="F547" s="11">
        <v>21</v>
      </c>
      <c r="G547" s="20" t="str">
        <f>VLOOKUP(F547, TMHM!$B$10:$C1519, 2, FALSE)</f>
        <v>Recover</v>
      </c>
      <c r="H547" s="21"/>
      <c r="I547" s="25"/>
      <c r="J547" s="30"/>
    </row>
    <row r="548" spans="1:10" x14ac:dyDescent="0.2">
      <c r="A548" s="120"/>
      <c r="B548" s="50">
        <f>HEX2DEC("32")</f>
        <v>50</v>
      </c>
      <c r="C548" s="51" t="str">
        <f t="array" ref="C548">INDEX(Moves!$B$2:'Moves'!$B$177, SUM(HEX2DEC("71"),1), 1)</f>
        <v>Agility</v>
      </c>
      <c r="D548" s="50">
        <f>HEX2DEC("32")</f>
        <v>50</v>
      </c>
      <c r="E548" s="51" t="str">
        <f t="array" ref="E548">INDEX(Moves!$B$2:'Moves'!$B$177, SUM(HEX2DEC("03"),1), 1)</f>
        <v>Flamethrower</v>
      </c>
      <c r="F548" s="11">
        <v>27</v>
      </c>
      <c r="G548" s="20" t="str">
        <f>VLOOKUP(F548, TMHM!$B$10:$C1519, 2, FALSE)</f>
        <v>Fire Punch</v>
      </c>
      <c r="H548" s="21"/>
      <c r="I548" s="25"/>
      <c r="J548" s="30"/>
    </row>
    <row r="549" spans="1:10" x14ac:dyDescent="0.2">
      <c r="A549" s="120"/>
      <c r="B549" s="67">
        <f>HEX2DEC("37")</f>
        <v>55</v>
      </c>
      <c r="C549" s="68" t="str">
        <f t="array" ref="C549">INDEX(Moves!$B$2:'Moves'!$B$177, SUM(HEX2DEC("06"),1), 1)</f>
        <v>Eruption</v>
      </c>
      <c r="D549" s="69"/>
      <c r="E549" s="68"/>
      <c r="F549" s="11">
        <v>38</v>
      </c>
      <c r="G549" s="20" t="str">
        <f>VLOOKUP(F549, TMHM!$B$10:$C1519, 2, FALSE)</f>
        <v>Fire Blast</v>
      </c>
      <c r="H549" s="21"/>
      <c r="I549" s="25"/>
      <c r="J549" s="30"/>
    </row>
    <row r="550" spans="1:10" x14ac:dyDescent="0.2">
      <c r="A550" s="121" t="s">
        <v>126</v>
      </c>
      <c r="B550" s="70">
        <f>HEX2DEC("00")</f>
        <v>0</v>
      </c>
      <c r="C550" s="71" t="str">
        <f t="array" ref="C550">INDEX(Moves!$B$2:'Moves'!$B$177, SUM(HEX2DEC("08"),1), 1)</f>
        <v>Bubble</v>
      </c>
      <c r="D550" s="70">
        <f>HEX2DEC("01")</f>
        <v>1</v>
      </c>
      <c r="E550" s="71" t="str">
        <f t="array" ref="E550">INDEX(Moves!$B$2:'Moves'!$B$177, SUM(HEX2DEC("08"),1), 1)</f>
        <v>Bubble</v>
      </c>
      <c r="F550" s="41">
        <v>3</v>
      </c>
      <c r="G550" s="12" t="str">
        <f>VLOOKUP(F550, TMHM!$B$10:$C1519, 2, FALSE)</f>
        <v>Water Pulse</v>
      </c>
      <c r="H550" s="13">
        <v>3</v>
      </c>
      <c r="I550" s="14" t="str">
        <f>VLOOKUP(H550, TMHM!$B$2:$C$7, 2, FALSE)</f>
        <v>Surf</v>
      </c>
      <c r="J550" s="30"/>
    </row>
    <row r="551" spans="1:10" x14ac:dyDescent="0.2">
      <c r="A551" s="120"/>
      <c r="B551" s="16">
        <f>HEX2DEC("07")</f>
        <v>7</v>
      </c>
      <c r="C551" s="17" t="str">
        <f t="array" ref="C551">INDEX(Moves!$B$2:'Moves'!$B$177, SUM(HEX2DEC("6D"),1), 1)</f>
        <v>Hypnosis</v>
      </c>
      <c r="D551" s="16">
        <f>HEX2DEC("07")</f>
        <v>7</v>
      </c>
      <c r="E551" s="17" t="str">
        <f t="array" ref="E551">INDEX(Moves!$B$2:'Moves'!$B$177, SUM(HEX2DEC("6D"),1), 1)</f>
        <v>Hypnosis</v>
      </c>
      <c r="F551" s="11">
        <v>7</v>
      </c>
      <c r="G551" s="20" t="str">
        <f>VLOOKUP(F551, TMHM!$B$10:$C1519, 2, FALSE)</f>
        <v>Secret Power</v>
      </c>
      <c r="H551" s="21"/>
      <c r="I551" s="25"/>
      <c r="J551" s="30"/>
    </row>
    <row r="552" spans="1:10" x14ac:dyDescent="0.2">
      <c r="A552" s="120"/>
      <c r="B552" s="16">
        <f>HEX2DEC("0D")</f>
        <v>13</v>
      </c>
      <c r="C552" s="17" t="str">
        <f t="array" ref="C552">INDEX(Moves!$B$2:'Moves'!$B$177, SUM(HEX2DEC("09"),1), 1)</f>
        <v>Water Gun</v>
      </c>
      <c r="D552" s="16">
        <f>HEX2DEC("0D")</f>
        <v>13</v>
      </c>
      <c r="E552" s="17" t="str">
        <f t="array" ref="E552">INDEX(Moves!$B$2:'Moves'!$B$177, SUM(HEX2DEC("09"),1), 1)</f>
        <v>Water Gun</v>
      </c>
      <c r="F552" s="11">
        <v>8</v>
      </c>
      <c r="G552" s="20" t="str">
        <f>VLOOKUP(F552, TMHM!$B$10:$C1519, 2, FALSE)</f>
        <v>Charm</v>
      </c>
      <c r="H552" s="21"/>
      <c r="I552" s="25"/>
      <c r="J552" s="30"/>
    </row>
    <row r="553" spans="1:10" x14ac:dyDescent="0.2">
      <c r="A553" s="120"/>
      <c r="B553" s="48">
        <f>HEX2DEC("13")</f>
        <v>19</v>
      </c>
      <c r="C553" s="23" t="str">
        <f t="array" ref="C553">INDEX(Moves!$B$2:'Moves'!$B$177, SUM(HEX2DEC("7F"),1), 1)</f>
        <v>Pursuit</v>
      </c>
      <c r="D553" s="48">
        <f>HEX2DEC("13")</f>
        <v>19</v>
      </c>
      <c r="E553" s="23" t="s">
        <v>85</v>
      </c>
      <c r="F553" s="11">
        <v>11</v>
      </c>
      <c r="G553" s="20" t="str">
        <f>VLOOKUP(F553, TMHM!$B$10:$C1519, 2, FALSE)</f>
        <v>Bubblebeam</v>
      </c>
      <c r="H553" s="21"/>
      <c r="I553" s="25"/>
      <c r="J553" s="30"/>
    </row>
    <row r="554" spans="1:10" x14ac:dyDescent="0.2">
      <c r="A554" s="120"/>
      <c r="B554" s="48">
        <f>HEX2DEC("19")</f>
        <v>25</v>
      </c>
      <c r="C554" s="23" t="str">
        <f t="array" ref="C554">INDEX(Moves!$B$2:'Moves'!$B$177, SUM(HEX2DEC("A2"),1), 1)</f>
        <v>Defense Curl</v>
      </c>
      <c r="D554" s="48">
        <f>HEX2DEC("19")</f>
        <v>25</v>
      </c>
      <c r="E554" s="23" t="s">
        <v>36</v>
      </c>
      <c r="F554" s="11">
        <v>13</v>
      </c>
      <c r="G554" s="20" t="str">
        <f>VLOOKUP(F554, TMHM!$B$10:$C1519, 2, FALSE)</f>
        <v>Ice Beam</v>
      </c>
      <c r="H554" s="21"/>
      <c r="I554" s="25"/>
      <c r="J554" s="30"/>
    </row>
    <row r="555" spans="1:10" x14ac:dyDescent="0.2">
      <c r="A555" s="120"/>
      <c r="B555" s="48">
        <f>HEX2DEC("1F")</f>
        <v>31</v>
      </c>
      <c r="C555" s="23" t="str">
        <f t="array" ref="C555">INDEX(Moves!$B$2:'Moves'!$B$177, SUM(HEX2DEC("56"),1), 1)</f>
        <v>Sky Uppercut</v>
      </c>
      <c r="D555" s="48">
        <f>HEX2DEC("1F")</f>
        <v>31</v>
      </c>
      <c r="E555" s="23" t="s">
        <v>77</v>
      </c>
      <c r="F555" s="11">
        <v>16</v>
      </c>
      <c r="G555" s="20" t="str">
        <f>VLOOKUP(F555, TMHM!$B$10:$C1519, 2, FALSE)</f>
        <v>Rest</v>
      </c>
      <c r="H555" s="21"/>
      <c r="I555" s="25"/>
      <c r="J555" s="30"/>
    </row>
    <row r="556" spans="1:10" x14ac:dyDescent="0.2">
      <c r="A556" s="120"/>
      <c r="B556" s="48">
        <f>HEX2DEC("25")</f>
        <v>37</v>
      </c>
      <c r="C556" s="23" t="str">
        <f t="array" ref="C556">INDEX(Moves!$B$2:'Moves'!$B$177, SUM(HEX2DEC("86"),1), 1)</f>
        <v>Iron Defense</v>
      </c>
      <c r="D556" s="48">
        <f>HEX2DEC("25")</f>
        <v>37</v>
      </c>
      <c r="E556" s="23" t="s">
        <v>127</v>
      </c>
      <c r="F556" s="11">
        <v>21</v>
      </c>
      <c r="G556" s="20" t="str">
        <f>VLOOKUP(F556, TMHM!$B$10:$C1519, 2, FALSE)</f>
        <v>Recover</v>
      </c>
      <c r="H556" s="21"/>
      <c r="I556" s="25"/>
      <c r="J556" s="30"/>
    </row>
    <row r="557" spans="1:10" x14ac:dyDescent="0.2">
      <c r="A557" s="120"/>
      <c r="B557" s="16">
        <f>HEX2DEC("2B")</f>
        <v>43</v>
      </c>
      <c r="C557" s="17" t="str">
        <f t="array" ref="C557">INDEX(Moves!$B$2:'Moves'!$B$177, SUM(HEX2DEC("0F"),1), 1)</f>
        <v>Hydro Pump</v>
      </c>
      <c r="D557" s="16">
        <f>HEX2DEC("2B")</f>
        <v>43</v>
      </c>
      <c r="E557" s="17" t="str">
        <f t="array" ref="E557">INDEX(Moves!$B$2:'Moves'!$B$177, SUM(HEX2DEC("0F"),1), 1)</f>
        <v>Hydro Pump</v>
      </c>
      <c r="F557" s="11">
        <v>31</v>
      </c>
      <c r="G557" s="20" t="str">
        <f>VLOOKUP(F557, TMHM!$B$10:$C1519, 2, FALSE)</f>
        <v>Brick Break</v>
      </c>
      <c r="H557" s="21"/>
      <c r="I557" s="25"/>
      <c r="J557" s="30"/>
    </row>
    <row r="558" spans="1:10" x14ac:dyDescent="0.2">
      <c r="A558" s="120"/>
      <c r="B558" s="73"/>
      <c r="C558" s="74"/>
      <c r="D558" s="73"/>
      <c r="E558" s="74"/>
      <c r="F558" s="11">
        <v>35</v>
      </c>
      <c r="G558" s="20" t="str">
        <f>VLOOKUP(F558, TMHM!$B$10:$C1519, 2, FALSE)</f>
        <v>Harden</v>
      </c>
      <c r="H558" s="21"/>
      <c r="I558" s="25"/>
      <c r="J558" s="30"/>
    </row>
    <row r="559" spans="1:10" x14ac:dyDescent="0.2">
      <c r="A559" s="121" t="s">
        <v>128</v>
      </c>
      <c r="B559" s="70">
        <f>HEX2DEC("00")</f>
        <v>0</v>
      </c>
      <c r="C559" s="71" t="str">
        <f t="array" ref="C559">INDEX(Moves!$B$2:'Moves'!$B$177, SUM(HEX2DEC("08"),1), 1)</f>
        <v>Bubble</v>
      </c>
      <c r="D559" s="70">
        <f t="shared" ref="D559:D561" si="47">HEX2DEC("01")</f>
        <v>1</v>
      </c>
      <c r="E559" s="71" t="str">
        <f t="array" ref="E559">INDEX(Moves!$B$2:'Moves'!$B$177, SUM(HEX2DEC("08"),1), 1)</f>
        <v>Bubble</v>
      </c>
      <c r="F559" s="41">
        <v>3</v>
      </c>
      <c r="G559" s="12" t="str">
        <f>VLOOKUP(F559, TMHM!$B$10:$C1519, 2, FALSE)</f>
        <v>Water Pulse</v>
      </c>
      <c r="H559" s="13">
        <v>3</v>
      </c>
      <c r="I559" s="14" t="str">
        <f>VLOOKUP(H559, TMHM!$B$2:$C$7, 2, FALSE)</f>
        <v>Surf</v>
      </c>
      <c r="J559" s="30"/>
    </row>
    <row r="560" spans="1:10" x14ac:dyDescent="0.2">
      <c r="A560" s="120"/>
      <c r="B560" s="34"/>
      <c r="C560" s="35"/>
      <c r="D560" s="34">
        <f t="shared" si="47"/>
        <v>1</v>
      </c>
      <c r="E560" s="35" t="str">
        <f t="array" ref="E560">INDEX(Moves!$B$2:'Moves'!$B$177, SUM(HEX2DEC("6D"),1), 1)</f>
        <v>Hypnosis</v>
      </c>
      <c r="F560" s="11">
        <v>7</v>
      </c>
      <c r="G560" s="20" t="str">
        <f>VLOOKUP(F560, TMHM!$B$10:$C1519, 2, FALSE)</f>
        <v>Secret Power</v>
      </c>
      <c r="H560" s="21">
        <v>4</v>
      </c>
      <c r="I560" s="20" t="str">
        <f>VLOOKUP(H560, TMHM!$B$2:$C$7, 2, FALSE)</f>
        <v>Strength</v>
      </c>
      <c r="J560" s="30"/>
    </row>
    <row r="561" spans="1:10" x14ac:dyDescent="0.2">
      <c r="A561" s="120"/>
      <c r="B561" s="34"/>
      <c r="C561" s="35"/>
      <c r="D561" s="34">
        <f t="shared" si="47"/>
        <v>1</v>
      </c>
      <c r="E561" s="35" t="str">
        <f t="array" ref="E561">INDEX(Moves!$B$2:'Moves'!$B$177, SUM(HEX2DEC("09"),1), 1)</f>
        <v>Water Gun</v>
      </c>
      <c r="F561" s="11">
        <v>8</v>
      </c>
      <c r="G561" s="20" t="str">
        <f>VLOOKUP(F561, TMHM!$B$10:$C1519, 2, FALSE)</f>
        <v>Charm</v>
      </c>
      <c r="H561" s="21"/>
      <c r="I561" s="25"/>
      <c r="J561" s="30"/>
    </row>
    <row r="562" spans="1:10" x14ac:dyDescent="0.2">
      <c r="A562" s="120"/>
      <c r="B562" s="16">
        <f>HEX2DEC("07")</f>
        <v>7</v>
      </c>
      <c r="C562" s="17" t="str">
        <f t="array" ref="C562">INDEX(Moves!$B$2:'Moves'!$B$177, SUM(HEX2DEC("6D"),1), 1)</f>
        <v>Hypnosis</v>
      </c>
      <c r="D562" s="16">
        <f>HEX2DEC("07")</f>
        <v>7</v>
      </c>
      <c r="E562" s="17" t="str">
        <f t="array" ref="E562">INDEX(Moves!$B$2:'Moves'!$B$177, SUM(HEX2DEC("6D"),1), 1)</f>
        <v>Hypnosis</v>
      </c>
      <c r="F562" s="11">
        <v>11</v>
      </c>
      <c r="G562" s="20" t="str">
        <f>VLOOKUP(F562, TMHM!$B$10:$C1519, 2, FALSE)</f>
        <v>Bubblebeam</v>
      </c>
      <c r="H562" s="21"/>
      <c r="I562" s="25"/>
      <c r="J562" s="30"/>
    </row>
    <row r="563" spans="1:10" x14ac:dyDescent="0.2">
      <c r="A563" s="120"/>
      <c r="B563" s="16">
        <f>HEX2DEC("0D")</f>
        <v>13</v>
      </c>
      <c r="C563" s="17" t="str">
        <f t="array" ref="C563">INDEX(Moves!$B$2:'Moves'!$B$177, SUM(HEX2DEC("09"),1), 1)</f>
        <v>Water Gun</v>
      </c>
      <c r="D563" s="16">
        <f>HEX2DEC("0D")</f>
        <v>13</v>
      </c>
      <c r="E563" s="17" t="str">
        <f t="array" ref="E563">INDEX(Moves!$B$2:'Moves'!$B$177, SUM(HEX2DEC("09"),1), 1)</f>
        <v>Water Gun</v>
      </c>
      <c r="F563" s="11">
        <v>13</v>
      </c>
      <c r="G563" s="20" t="str">
        <f>VLOOKUP(F563, TMHM!$B$10:$C1519, 2, FALSE)</f>
        <v>Ice Beam</v>
      </c>
      <c r="H563" s="21"/>
      <c r="I563" s="25"/>
      <c r="J563" s="30"/>
    </row>
    <row r="564" spans="1:10" x14ac:dyDescent="0.2">
      <c r="A564" s="120"/>
      <c r="B564" s="48">
        <f>HEX2DEC("13")</f>
        <v>19</v>
      </c>
      <c r="C564" s="23" t="str">
        <f t="array" ref="C564">INDEX(Moves!$B$2:'Moves'!$B$177, SUM(HEX2DEC("7F"),1), 1)</f>
        <v>Pursuit</v>
      </c>
      <c r="D564" s="48">
        <f>HEX2DEC("13")</f>
        <v>19</v>
      </c>
      <c r="E564" s="23" t="s">
        <v>85</v>
      </c>
      <c r="F564" s="11">
        <v>16</v>
      </c>
      <c r="G564" s="20" t="str">
        <f>VLOOKUP(F564, TMHM!$B$10:$C1519, 2, FALSE)</f>
        <v>Rest</v>
      </c>
      <c r="H564" s="21"/>
      <c r="I564" s="25"/>
      <c r="J564" s="30"/>
    </row>
    <row r="565" spans="1:10" x14ac:dyDescent="0.2">
      <c r="A565" s="120"/>
      <c r="B565" s="48">
        <f>HEX2DEC("1B")</f>
        <v>27</v>
      </c>
      <c r="C565" s="23" t="str">
        <f t="array" ref="C565">INDEX(Moves!$B$2:'Moves'!$B$177, SUM(HEX2DEC("A2"),1), 1)</f>
        <v>Defense Curl</v>
      </c>
      <c r="D565" s="48">
        <f>HEX2DEC("1B")</f>
        <v>27</v>
      </c>
      <c r="E565" s="23" t="s">
        <v>36</v>
      </c>
      <c r="F565" s="11">
        <v>21</v>
      </c>
      <c r="G565" s="20" t="str">
        <f>VLOOKUP(F565, TMHM!$B$10:$C1519, 2, FALSE)</f>
        <v>Recover</v>
      </c>
      <c r="H565" s="21"/>
      <c r="I565" s="25"/>
      <c r="J565" s="30"/>
    </row>
    <row r="566" spans="1:10" x14ac:dyDescent="0.2">
      <c r="A566" s="120"/>
      <c r="B566" s="48">
        <f>HEX2DEC("23")</f>
        <v>35</v>
      </c>
      <c r="C566" s="23" t="str">
        <f t="array" ref="C566">INDEX(Moves!$B$2:'Moves'!$B$177, SUM(HEX2DEC("56"),1), 1)</f>
        <v>Sky Uppercut</v>
      </c>
      <c r="D566" s="48">
        <f>HEX2DEC("23")</f>
        <v>35</v>
      </c>
      <c r="E566" s="23" t="s">
        <v>77</v>
      </c>
      <c r="F566" s="11">
        <v>31</v>
      </c>
      <c r="G566" s="20" t="str">
        <f>VLOOKUP(F566, TMHM!$B$10:$C1519, 2, FALSE)</f>
        <v>Brick Break</v>
      </c>
      <c r="H566" s="21"/>
      <c r="I566" s="25"/>
      <c r="J566" s="30"/>
    </row>
    <row r="567" spans="1:10" x14ac:dyDescent="0.2">
      <c r="A567" s="120"/>
      <c r="B567" s="48">
        <f>HEX2DEC("2B")</f>
        <v>43</v>
      </c>
      <c r="C567" s="23" t="str">
        <f t="array" ref="C567">INDEX(Moves!$B$2:'Moves'!$B$177, SUM(HEX2DEC("86"),1), 1)</f>
        <v>Iron Defense</v>
      </c>
      <c r="D567" s="48">
        <f>HEX2DEC("2B")</f>
        <v>43</v>
      </c>
      <c r="E567" s="23" t="s">
        <v>127</v>
      </c>
      <c r="F567" s="11">
        <v>35</v>
      </c>
      <c r="G567" s="20" t="str">
        <f>VLOOKUP(F567, TMHM!$B$10:$C1519, 2, FALSE)</f>
        <v>Harden</v>
      </c>
      <c r="H567" s="21"/>
      <c r="I567" s="25"/>
      <c r="J567" s="30"/>
    </row>
    <row r="568" spans="1:10" x14ac:dyDescent="0.2">
      <c r="A568" s="121" t="s">
        <v>129</v>
      </c>
      <c r="B568" s="64">
        <f>HEX2DEC("00")</f>
        <v>0</v>
      </c>
      <c r="C568" s="65" t="str">
        <f t="array" ref="C568">INDEX(Moves!$B$2:'Moves'!$B$177, SUM(HEX2DEC("08"),1), 1)</f>
        <v>Bubble</v>
      </c>
      <c r="D568" s="64">
        <f t="shared" ref="D568:D571" si="48">HEX2DEC("01")</f>
        <v>1</v>
      </c>
      <c r="E568" s="65" t="str">
        <f t="array" ref="E568">INDEX(Moves!$B$2:'Moves'!$B$177, SUM(HEX2DEC("09"),1), 1)</f>
        <v>Water Gun</v>
      </c>
      <c r="F568" s="41">
        <v>3</v>
      </c>
      <c r="G568" s="12" t="str">
        <f>VLOOKUP(F568, TMHM!$B$10:$C1519, 2, FALSE)</f>
        <v>Water Pulse</v>
      </c>
      <c r="H568" s="13">
        <v>3</v>
      </c>
      <c r="I568" s="14" t="str">
        <f>VLOOKUP(H568, TMHM!$B$2:$C$7, 2, FALSE)</f>
        <v>Surf</v>
      </c>
      <c r="J568" s="30"/>
    </row>
    <row r="569" spans="1:10" x14ac:dyDescent="0.2">
      <c r="A569" s="120"/>
      <c r="B569" s="43">
        <f>HEX2DEC("02")</f>
        <v>2</v>
      </c>
      <c r="C569" s="17" t="str">
        <f t="array" ref="C569">INDEX(Moves!$B$2:'Moves'!$B$177, SUM(HEX2DEC("6D"),1), 1)</f>
        <v>Hypnosis</v>
      </c>
      <c r="D569" s="43">
        <f t="shared" si="48"/>
        <v>1</v>
      </c>
      <c r="E569" s="17" t="str">
        <f t="array" ref="E569">INDEX(Moves!$B$2:'Moves'!$B$177, SUM(HEX2DEC("6D"),1), 1)</f>
        <v>Hypnosis</v>
      </c>
      <c r="F569" s="11">
        <v>7</v>
      </c>
      <c r="G569" s="20" t="str">
        <f>VLOOKUP(F569, TMHM!$B$10:$C1519, 2, FALSE)</f>
        <v>Secret Power</v>
      </c>
      <c r="H569" s="21">
        <v>4</v>
      </c>
      <c r="I569" s="20" t="str">
        <f>VLOOKUP(H569, TMHM!$B$2:$C$7, 2, FALSE)</f>
        <v>Strength</v>
      </c>
      <c r="J569" s="30"/>
    </row>
    <row r="570" spans="1:10" x14ac:dyDescent="0.2">
      <c r="A570" s="120"/>
      <c r="B570" s="43">
        <f>HEX2DEC("05")</f>
        <v>5</v>
      </c>
      <c r="C570" s="23" t="str">
        <f t="array" ref="C570">INDEX(Moves!$B$2:'Moves'!$B$177, SUM(HEX2DEC("09"),1), 1)</f>
        <v>Water Gun</v>
      </c>
      <c r="D570" s="43">
        <f t="shared" si="48"/>
        <v>1</v>
      </c>
      <c r="E570" s="23" t="s">
        <v>85</v>
      </c>
      <c r="F570" s="11">
        <v>8</v>
      </c>
      <c r="G570" s="20" t="str">
        <f>VLOOKUP(F570, TMHM!$B$10:$C1519, 2, FALSE)</f>
        <v>Charm</v>
      </c>
      <c r="H570" s="21"/>
      <c r="I570" s="25"/>
      <c r="J570" s="30"/>
    </row>
    <row r="571" spans="1:10" x14ac:dyDescent="0.2">
      <c r="A571" s="120"/>
      <c r="B571" s="43">
        <f>HEX2DEC("0A")</f>
        <v>10</v>
      </c>
      <c r="C571" s="23" t="str">
        <f t="array" ref="C571">INDEX(Moves!$B$2:'Moves'!$B$177, SUM(HEX2DEC("7F"),1), 1)</f>
        <v>Pursuit</v>
      </c>
      <c r="D571" s="43">
        <f t="shared" si="48"/>
        <v>1</v>
      </c>
      <c r="E571" s="23" t="s">
        <v>130</v>
      </c>
      <c r="F571" s="11">
        <v>11</v>
      </c>
      <c r="G571" s="20" t="str">
        <f>VLOOKUP(F571, TMHM!$B$10:$C1519, 2, FALSE)</f>
        <v>Bubblebeam</v>
      </c>
      <c r="H571" s="21"/>
      <c r="I571" s="25"/>
      <c r="J571" s="30"/>
    </row>
    <row r="572" spans="1:10" x14ac:dyDescent="0.2">
      <c r="A572" s="120"/>
      <c r="B572" s="43">
        <f>HEX2DEC("0D")</f>
        <v>13</v>
      </c>
      <c r="C572" s="23" t="str">
        <f t="array" ref="C572">INDEX(Moves!$B$2:'Moves'!$B$177, SUM(HEX2DEC("56"),1), 1)</f>
        <v>Sky Uppercut</v>
      </c>
      <c r="D572" s="43">
        <f>HEX2DEC("23")</f>
        <v>35</v>
      </c>
      <c r="E572" s="23" t="s">
        <v>130</v>
      </c>
      <c r="F572" s="11">
        <v>13</v>
      </c>
      <c r="G572" s="20" t="str">
        <f>VLOOKUP(F572, TMHM!$B$10:$C1519, 2, FALSE)</f>
        <v>Ice Beam</v>
      </c>
      <c r="H572" s="21"/>
      <c r="I572" s="25"/>
      <c r="J572" s="30"/>
    </row>
    <row r="573" spans="1:10" x14ac:dyDescent="0.2">
      <c r="A573" s="120"/>
      <c r="B573" s="43">
        <f>HEX2DEC("13")</f>
        <v>19</v>
      </c>
      <c r="C573" s="23" t="str">
        <f t="array" ref="C573">INDEX(Moves!$B$2:'Moves'!$B$177, SUM(HEX2DEC("86"),1), 1)</f>
        <v>Iron Defense</v>
      </c>
      <c r="D573" s="45">
        <f>HEX2DEC("33")</f>
        <v>51</v>
      </c>
      <c r="E573" s="23" t="s">
        <v>131</v>
      </c>
      <c r="F573" s="11">
        <v>16</v>
      </c>
      <c r="G573" s="20" t="str">
        <f>VLOOKUP(F573, TMHM!$B$10:$C1519, 2, FALSE)</f>
        <v>Rest</v>
      </c>
      <c r="H573" s="21"/>
      <c r="I573" s="25"/>
      <c r="J573" s="30"/>
    </row>
    <row r="574" spans="1:10" x14ac:dyDescent="0.2">
      <c r="A574" s="120"/>
      <c r="B574" s="73"/>
      <c r="C574" s="74"/>
      <c r="D574" s="73"/>
      <c r="E574" s="74"/>
      <c r="F574" s="11">
        <v>21</v>
      </c>
      <c r="G574" s="20" t="str">
        <f>VLOOKUP(F574, TMHM!$B$10:$C1519, 2, FALSE)</f>
        <v>Recover</v>
      </c>
      <c r="H574" s="21"/>
      <c r="I574" s="25"/>
      <c r="J574" s="30"/>
    </row>
    <row r="575" spans="1:10" x14ac:dyDescent="0.2">
      <c r="A575" s="120"/>
      <c r="B575" s="73"/>
      <c r="C575" s="74"/>
      <c r="D575" s="73"/>
      <c r="E575" s="74"/>
      <c r="F575" s="11">
        <v>31</v>
      </c>
      <c r="G575" s="20" t="str">
        <f>VLOOKUP(F575, TMHM!$B$10:$C1519, 2, FALSE)</f>
        <v>Brick Break</v>
      </c>
      <c r="H575" s="21"/>
      <c r="I575" s="25"/>
      <c r="J575" s="30"/>
    </row>
    <row r="576" spans="1:10" x14ac:dyDescent="0.2">
      <c r="A576" s="120"/>
      <c r="B576" s="73"/>
      <c r="C576" s="74"/>
      <c r="D576" s="73"/>
      <c r="E576" s="74"/>
      <c r="F576" s="11">
        <v>35</v>
      </c>
      <c r="G576" s="20" t="str">
        <f>VLOOKUP(F576, TMHM!$B$10:$C1519, 2, FALSE)</f>
        <v>Harden</v>
      </c>
      <c r="H576" s="21"/>
      <c r="I576" s="25"/>
      <c r="J576" s="30"/>
    </row>
    <row r="577" spans="1:10" x14ac:dyDescent="0.2">
      <c r="A577" s="125" t="s">
        <v>132</v>
      </c>
      <c r="B577" s="70">
        <f t="shared" ref="B577:B578" si="49">HEX2DEC("00")</f>
        <v>0</v>
      </c>
      <c r="C577" s="71" t="str">
        <f t="array" ref="C577">INDEX(Moves!$B$2:'Moves'!$B$177, SUM(HEX2DEC("6F"),1), 1)</f>
        <v>Teleport</v>
      </c>
      <c r="D577" s="70">
        <f t="shared" ref="D577:D580" si="50">HEX2DEC("01")</f>
        <v>1</v>
      </c>
      <c r="E577" s="71" t="str">
        <f t="array" ref="E577">INDEX(Moves!$B$2:'Moves'!$B$177, SUM(HEX2DEC("6F"),1), 1)</f>
        <v>Teleport</v>
      </c>
      <c r="F577" s="41">
        <v>16</v>
      </c>
      <c r="G577" s="12" t="str">
        <f>VLOOKUP(F577, TMHM!$B$10:$C1519, 2, FALSE)</f>
        <v>Rest</v>
      </c>
      <c r="H577" s="13">
        <v>5</v>
      </c>
      <c r="I577" s="14" t="str">
        <f>VLOOKUP(H577, TMHM!$B$2:$C$7, 2, FALSE)</f>
        <v>Flash</v>
      </c>
      <c r="J577" s="30"/>
    </row>
    <row r="578" spans="1:10" x14ac:dyDescent="0.2">
      <c r="A578" s="121" t="s">
        <v>133</v>
      </c>
      <c r="B578" s="70">
        <f t="shared" si="49"/>
        <v>0</v>
      </c>
      <c r="C578" s="71" t="str">
        <f t="array" ref="C578">INDEX(Moves!$B$2:'Moves'!$B$177, SUM(HEX2DEC("6F"),1), 1)</f>
        <v>Teleport</v>
      </c>
      <c r="D578" s="70">
        <f t="shared" si="50"/>
        <v>1</v>
      </c>
      <c r="E578" s="71" t="str">
        <f t="array" ref="E578">INDEX(Moves!$B$2:'Moves'!$B$177, SUM(HEX2DEC("6F"),1), 1)</f>
        <v>Teleport</v>
      </c>
      <c r="F578" s="41">
        <v>4</v>
      </c>
      <c r="G578" s="12" t="str">
        <f>VLOOKUP(F578, TMHM!$B$10:$C1519, 2, FALSE)</f>
        <v>Calm Mind</v>
      </c>
      <c r="H578" s="13">
        <v>5</v>
      </c>
      <c r="I578" s="14" t="str">
        <f>VLOOKUP(H578, TMHM!$B$2:$C$7, 2, FALSE)</f>
        <v>Flash</v>
      </c>
      <c r="J578" s="30"/>
    </row>
    <row r="579" spans="1:10" x14ac:dyDescent="0.2">
      <c r="A579" s="120"/>
      <c r="B579" s="34"/>
      <c r="C579" s="35"/>
      <c r="D579" s="56">
        <f t="shared" si="50"/>
        <v>1</v>
      </c>
      <c r="E579" s="35" t="s">
        <v>134</v>
      </c>
      <c r="F579" s="11">
        <v>5</v>
      </c>
      <c r="G579" s="20" t="str">
        <f>VLOOKUP(F579, TMHM!$B$10:$C1519, 2, FALSE)</f>
        <v>Roar</v>
      </c>
      <c r="H579" s="21"/>
      <c r="I579" s="25"/>
      <c r="J579" s="30"/>
    </row>
    <row r="580" spans="1:10" x14ac:dyDescent="0.2">
      <c r="A580" s="120"/>
      <c r="B580" s="34"/>
      <c r="C580" s="35"/>
      <c r="D580" s="34">
        <f t="shared" si="50"/>
        <v>1</v>
      </c>
      <c r="E580" s="35" t="str">
        <f t="array" ref="E580">INDEX(Moves!$B$2:'Moves'!$B$177, SUM(HEX2DEC("65"),1), 1)</f>
        <v>Confusion</v>
      </c>
      <c r="F580" s="11">
        <v>16</v>
      </c>
      <c r="G580" s="20" t="str">
        <f>VLOOKUP(F580, TMHM!$B$10:$C1519, 2, FALSE)</f>
        <v>Rest</v>
      </c>
      <c r="H580" s="21"/>
      <c r="I580" s="25"/>
      <c r="J580" s="30"/>
    </row>
    <row r="581" spans="1:10" x14ac:dyDescent="0.2">
      <c r="A581" s="120"/>
      <c r="B581" s="16">
        <f>HEX2DEC("10")</f>
        <v>16</v>
      </c>
      <c r="C581" s="17" t="str">
        <f t="array" ref="C581">INDEX(Moves!$B$2:'Moves'!$B$177, SUM(HEX2DEC("65"),1), 1)</f>
        <v>Confusion</v>
      </c>
      <c r="D581" s="16">
        <f>HEX2DEC("10")</f>
        <v>16</v>
      </c>
      <c r="E581" s="17" t="str">
        <f t="array" ref="E581">INDEX(Moves!$B$2:'Moves'!$B$177, SUM(HEX2DEC("65"),1), 1)</f>
        <v>Confusion</v>
      </c>
      <c r="F581" s="11">
        <v>17</v>
      </c>
      <c r="G581" s="20" t="str">
        <f>VLOOKUP(F581, TMHM!$B$10:$C1519, 2, FALSE)</f>
        <v>SmokeScreen</v>
      </c>
      <c r="H581" s="21"/>
      <c r="I581" s="25"/>
      <c r="J581" s="30"/>
    </row>
    <row r="582" spans="1:10" x14ac:dyDescent="0.2">
      <c r="A582" s="120"/>
      <c r="B582" s="34">
        <f>HEX2DEC("12")</f>
        <v>18</v>
      </c>
      <c r="C582" s="35" t="str">
        <f t="array" ref="C582">INDEX(Moves!$B$2:'Moves'!$B$177, SUM(HEX2DEC("70"),1), 1)</f>
        <v>Calm Mind</v>
      </c>
      <c r="D582" s="34">
        <f>HEX2DEC("12")</f>
        <v>18</v>
      </c>
      <c r="E582" s="35" t="s">
        <v>94</v>
      </c>
      <c r="F582" s="11">
        <v>29</v>
      </c>
      <c r="G582" s="20" t="str">
        <f>VLOOKUP(F582, TMHM!$B$10:$C1519, 2, FALSE)</f>
        <v>Psychic</v>
      </c>
      <c r="H582" s="21"/>
      <c r="I582" s="25"/>
      <c r="J582" s="30"/>
    </row>
    <row r="583" spans="1:10" x14ac:dyDescent="0.2">
      <c r="A583" s="120"/>
      <c r="B583" s="16">
        <f>HEX2DEC("15")</f>
        <v>21</v>
      </c>
      <c r="C583" s="17" t="str">
        <f t="array" ref="C583">INDEX(Moves!$B$2:'Moves'!$B$177, SUM(HEX2DEC("66"),1), 1)</f>
        <v>Psybeam</v>
      </c>
      <c r="D583" s="16">
        <f>HEX2DEC("15")</f>
        <v>21</v>
      </c>
      <c r="E583" s="17" t="str">
        <f t="array" ref="E583">INDEX(Moves!$B$2:'Moves'!$B$177, SUM(HEX2DEC("66"),1), 1)</f>
        <v>Psybeam</v>
      </c>
      <c r="F583" s="11">
        <v>30</v>
      </c>
      <c r="G583" s="20" t="str">
        <f>VLOOKUP(F583, TMHM!$B$10:$C1519, 2, FALSE)</f>
        <v>Shadow Ball</v>
      </c>
      <c r="H583" s="21"/>
      <c r="I583" s="25"/>
      <c r="J583" s="30"/>
    </row>
    <row r="584" spans="1:10" x14ac:dyDescent="0.2">
      <c r="A584" s="120"/>
      <c r="B584" s="16">
        <f>HEX2DEC("1A")</f>
        <v>26</v>
      </c>
      <c r="C584" s="17" t="str">
        <f t="array" ref="C584">INDEX(Moves!$B$2:'Moves'!$B$177, SUM(HEX2DEC("A9"),1), 1)</f>
        <v>Recover</v>
      </c>
      <c r="D584" s="16">
        <f>HEX2DEC("1A")</f>
        <v>26</v>
      </c>
      <c r="E584" s="17" t="str">
        <f t="array" ref="E584">INDEX(Moves!$B$2:'Moves'!$B$177, SUM(HEX2DEC("A9"),1), 1)</f>
        <v>Recover</v>
      </c>
      <c r="F584" s="11">
        <v>40</v>
      </c>
      <c r="G584" s="20" t="str">
        <f>VLOOKUP(F584, TMHM!$B$10:$C1519, 2, FALSE)</f>
        <v>Psychic</v>
      </c>
      <c r="H584" s="21"/>
      <c r="I584" s="25"/>
      <c r="J584" s="30"/>
    </row>
    <row r="585" spans="1:10" x14ac:dyDescent="0.2">
      <c r="A585" s="120"/>
      <c r="B585" s="16">
        <f>HEX2DEC("1F")</f>
        <v>31</v>
      </c>
      <c r="C585" s="17" t="str">
        <f t="array" ref="C585">INDEX(Moves!$B$2:'Moves'!$B$177, SUM(HEX2DEC("69"),1), 1)</f>
        <v>Future Sight</v>
      </c>
      <c r="D585" s="16">
        <f>HEX2DEC("1F")</f>
        <v>31</v>
      </c>
      <c r="E585" s="17" t="str">
        <f t="array" ref="E585">INDEX(Moves!$B$2:'Moves'!$B$177, SUM(HEX2DEC("69"),1), 1)</f>
        <v>Future Sight</v>
      </c>
      <c r="F585" s="11"/>
      <c r="H585" s="21"/>
      <c r="I585" s="25"/>
      <c r="J585" s="30"/>
    </row>
    <row r="586" spans="1:10" x14ac:dyDescent="0.2">
      <c r="A586" s="120"/>
      <c r="B586" s="16">
        <f>HEX2DEC("26")</f>
        <v>38</v>
      </c>
      <c r="C586" s="17" t="str">
        <f t="array" ref="C586">INDEX(Moves!$B$2:'Moves'!$B$177, SUM(HEX2DEC("6A"),1), 1)</f>
        <v>Psychic</v>
      </c>
      <c r="D586" s="16">
        <f>HEX2DEC("26")</f>
        <v>38</v>
      </c>
      <c r="E586" s="17" t="str">
        <f t="array" ref="E586">INDEX(Moves!$B$2:'Moves'!$B$177, SUM(HEX2DEC("6A"),1), 1)</f>
        <v>Psychic</v>
      </c>
      <c r="F586" s="11"/>
      <c r="H586" s="21"/>
      <c r="I586" s="25"/>
      <c r="J586" s="30"/>
    </row>
    <row r="587" spans="1:10" x14ac:dyDescent="0.2">
      <c r="A587" s="120"/>
      <c r="B587" s="34">
        <f>HEX2DEC("2D")</f>
        <v>45</v>
      </c>
      <c r="C587" s="35" t="str">
        <f t="array" ref="C587">INDEX(Moves!$B$2:'Moves'!$B$177, SUM(HEX2DEC("9E"),1), 1)</f>
        <v>Supersonic</v>
      </c>
      <c r="D587" s="34">
        <f>HEX2DEC("2D")</f>
        <v>45</v>
      </c>
      <c r="E587" s="35" t="s">
        <v>135</v>
      </c>
      <c r="F587" s="11"/>
      <c r="H587" s="21"/>
      <c r="I587" s="25"/>
      <c r="J587" s="30"/>
    </row>
    <row r="588" spans="1:10" x14ac:dyDescent="0.2">
      <c r="A588" s="121" t="s">
        <v>136</v>
      </c>
      <c r="B588" s="70">
        <f>HEX2DEC("00")</f>
        <v>0</v>
      </c>
      <c r="C588" s="71" t="str">
        <f t="array" ref="C588">INDEX(Moves!$B$2:'Moves'!$B$177, SUM(HEX2DEC("6F"),1), 1)</f>
        <v>Teleport</v>
      </c>
      <c r="D588" s="70">
        <f t="shared" ref="D588:D590" si="51">HEX2DEC("01")</f>
        <v>1</v>
      </c>
      <c r="E588" s="71" t="str">
        <f t="array" ref="E588">INDEX(Moves!$B$2:'Moves'!$B$177, SUM(HEX2DEC("6F"),1), 1)</f>
        <v>Teleport</v>
      </c>
      <c r="F588" s="41">
        <v>4</v>
      </c>
      <c r="G588" s="12" t="str">
        <f>VLOOKUP(F588, TMHM!$B$10:$C1519, 2, FALSE)</f>
        <v>Calm Mind</v>
      </c>
      <c r="H588" s="13">
        <v>5</v>
      </c>
      <c r="I588" s="14" t="str">
        <f>VLOOKUP(H588, TMHM!$B$2:$C$7, 2, FALSE)</f>
        <v>Flash</v>
      </c>
      <c r="J588" s="30"/>
    </row>
    <row r="589" spans="1:10" x14ac:dyDescent="0.2">
      <c r="A589" s="120"/>
      <c r="B589" s="34"/>
      <c r="C589" s="35"/>
      <c r="D589" s="56">
        <f t="shared" si="51"/>
        <v>1</v>
      </c>
      <c r="E589" s="35" t="s">
        <v>134</v>
      </c>
      <c r="F589" s="11">
        <v>5</v>
      </c>
      <c r="G589" s="20" t="str">
        <f>VLOOKUP(F589, TMHM!$B$10:$C1519, 2, FALSE)</f>
        <v>Roar</v>
      </c>
      <c r="H589" s="21"/>
      <c r="I589" s="25"/>
      <c r="J589" s="30"/>
    </row>
    <row r="590" spans="1:10" x14ac:dyDescent="0.2">
      <c r="A590" s="120"/>
      <c r="B590" s="34"/>
      <c r="C590" s="35"/>
      <c r="D590" s="34">
        <f t="shared" si="51"/>
        <v>1</v>
      </c>
      <c r="E590" s="35" t="str">
        <f t="array" ref="E590">INDEX(Moves!$B$2:'Moves'!$B$177, SUM(HEX2DEC("65"),1), 1)</f>
        <v>Confusion</v>
      </c>
      <c r="F590" s="11">
        <v>16</v>
      </c>
      <c r="G590" s="20" t="str">
        <f>VLOOKUP(F590, TMHM!$B$10:$C1519, 2, FALSE)</f>
        <v>Rest</v>
      </c>
      <c r="H590" s="21"/>
      <c r="I590" s="25"/>
      <c r="J590" s="30"/>
    </row>
    <row r="591" spans="1:10" x14ac:dyDescent="0.2">
      <c r="A591" s="120"/>
      <c r="B591" s="16">
        <f>HEX2DEC("10")</f>
        <v>16</v>
      </c>
      <c r="C591" s="17" t="str">
        <f t="array" ref="C591">INDEX(Moves!$B$2:'Moves'!$B$177, SUM(HEX2DEC("65"),1), 1)</f>
        <v>Confusion</v>
      </c>
      <c r="D591" s="16">
        <f>HEX2DEC("10")</f>
        <v>16</v>
      </c>
      <c r="E591" s="17" t="str">
        <f t="array" ref="E591">INDEX(Moves!$B$2:'Moves'!$B$177, SUM(HEX2DEC("65"),1), 1)</f>
        <v>Confusion</v>
      </c>
      <c r="F591" s="11">
        <v>17</v>
      </c>
      <c r="G591" s="20" t="str">
        <f>VLOOKUP(F591, TMHM!$B$10:$C1519, 2, FALSE)</f>
        <v>SmokeScreen</v>
      </c>
      <c r="H591" s="21"/>
      <c r="I591" s="25"/>
      <c r="J591" s="30"/>
    </row>
    <row r="592" spans="1:10" x14ac:dyDescent="0.2">
      <c r="A592" s="120"/>
      <c r="B592" s="34">
        <f>HEX2DEC("12")</f>
        <v>18</v>
      </c>
      <c r="C592" s="35" t="str">
        <f t="array" ref="C592">INDEX(Moves!$B$2:'Moves'!$B$177, SUM(HEX2DEC("70"),1), 1)</f>
        <v>Calm Mind</v>
      </c>
      <c r="D592" s="34">
        <f>HEX2DEC("12")</f>
        <v>18</v>
      </c>
      <c r="E592" s="35" t="s">
        <v>94</v>
      </c>
      <c r="F592" s="11">
        <v>29</v>
      </c>
      <c r="G592" s="20" t="str">
        <f>VLOOKUP(F592, TMHM!$B$10:$C1519, 2, FALSE)</f>
        <v>Psychic</v>
      </c>
      <c r="H592" s="21"/>
      <c r="I592" s="25"/>
      <c r="J592" s="30"/>
    </row>
    <row r="593" spans="1:10" x14ac:dyDescent="0.2">
      <c r="A593" s="120"/>
      <c r="B593" s="16">
        <f>HEX2DEC("15")</f>
        <v>21</v>
      </c>
      <c r="C593" s="17" t="str">
        <f t="array" ref="C593">INDEX(Moves!$B$2:'Moves'!$B$177, SUM(HEX2DEC("66"),1), 1)</f>
        <v>Psybeam</v>
      </c>
      <c r="D593" s="16">
        <f>HEX2DEC("15")</f>
        <v>21</v>
      </c>
      <c r="E593" s="17" t="str">
        <f t="array" ref="E593">INDEX(Moves!$B$2:'Moves'!$B$177, SUM(HEX2DEC("66"),1), 1)</f>
        <v>Psybeam</v>
      </c>
      <c r="F593" s="11">
        <v>30</v>
      </c>
      <c r="G593" s="20" t="str">
        <f>VLOOKUP(F593, TMHM!$B$10:$C1519, 2, FALSE)</f>
        <v>Shadow Ball</v>
      </c>
      <c r="H593" s="21"/>
      <c r="I593" s="25"/>
      <c r="J593" s="30"/>
    </row>
    <row r="594" spans="1:10" x14ac:dyDescent="0.2">
      <c r="A594" s="120"/>
      <c r="B594" s="16">
        <f>HEX2DEC("1A")</f>
        <v>26</v>
      </c>
      <c r="C594" s="17" t="str">
        <f t="array" ref="C594">INDEX(Moves!$B$2:'Moves'!$B$177, SUM(HEX2DEC("A9"),1), 1)</f>
        <v>Recover</v>
      </c>
      <c r="D594" s="16">
        <f>HEX2DEC("1A")</f>
        <v>26</v>
      </c>
      <c r="E594" s="17" t="str">
        <f t="array" ref="E594">INDEX(Moves!$B$2:'Moves'!$B$177, SUM(HEX2DEC("A9"),1), 1)</f>
        <v>Recover</v>
      </c>
      <c r="F594" s="11">
        <v>40</v>
      </c>
      <c r="G594" s="20" t="str">
        <f>VLOOKUP(F594, TMHM!$B$10:$C1519, 2, FALSE)</f>
        <v>Psychic</v>
      </c>
      <c r="H594" s="21"/>
      <c r="I594" s="25"/>
      <c r="J594" s="30"/>
    </row>
    <row r="595" spans="1:10" x14ac:dyDescent="0.2">
      <c r="A595" s="120"/>
      <c r="B595" s="16">
        <f>HEX2DEC("1F")</f>
        <v>31</v>
      </c>
      <c r="C595" s="17" t="str">
        <f t="array" ref="C595">INDEX(Moves!$B$2:'Moves'!$B$177, SUM(HEX2DEC("69"),1), 1)</f>
        <v>Future Sight</v>
      </c>
      <c r="D595" s="16">
        <f>HEX2DEC("1F")</f>
        <v>31</v>
      </c>
      <c r="E595" s="17" t="str">
        <f t="array" ref="E595">INDEX(Moves!$B$2:'Moves'!$B$177, SUM(HEX2DEC("69"),1), 1)</f>
        <v>Future Sight</v>
      </c>
      <c r="F595" s="11"/>
      <c r="H595" s="21"/>
      <c r="I595" s="25"/>
      <c r="J595" s="30"/>
    </row>
    <row r="596" spans="1:10" x14ac:dyDescent="0.2">
      <c r="A596" s="120"/>
      <c r="B596" s="16">
        <f>HEX2DEC("26")</f>
        <v>38</v>
      </c>
      <c r="C596" s="17" t="str">
        <f t="array" ref="C596">INDEX(Moves!$B$2:'Moves'!$B$177, SUM(HEX2DEC("6A"),1), 1)</f>
        <v>Psychic</v>
      </c>
      <c r="D596" s="16">
        <f>HEX2DEC("26")</f>
        <v>38</v>
      </c>
      <c r="E596" s="17" t="str">
        <f t="array" ref="E596">INDEX(Moves!$B$2:'Moves'!$B$177, SUM(HEX2DEC("6A"),1), 1)</f>
        <v>Psychic</v>
      </c>
      <c r="F596" s="11"/>
      <c r="H596" s="21"/>
      <c r="I596" s="25"/>
      <c r="J596" s="30"/>
    </row>
    <row r="597" spans="1:10" x14ac:dyDescent="0.2">
      <c r="A597" s="120"/>
      <c r="B597" s="34">
        <f>HEX2DEC("2D")</f>
        <v>45</v>
      </c>
      <c r="C597" s="35" t="str">
        <f t="array" ref="C597">INDEX(Moves!$B$2:'Moves'!$B$177, SUM(HEX2DEC("9E"),1), 1)</f>
        <v>Supersonic</v>
      </c>
      <c r="D597" s="34">
        <f>HEX2DEC("2D")</f>
        <v>45</v>
      </c>
      <c r="E597" s="35" t="s">
        <v>135</v>
      </c>
      <c r="F597" s="11"/>
      <c r="H597" s="21"/>
      <c r="I597" s="25"/>
      <c r="J597" s="30"/>
    </row>
    <row r="598" spans="1:10" x14ac:dyDescent="0.2">
      <c r="A598" s="121" t="s">
        <v>137</v>
      </c>
      <c r="B598" s="70">
        <f>HEX2DEC("00")</f>
        <v>0</v>
      </c>
      <c r="C598" s="71" t="str">
        <f t="array" ref="C598">INDEX(Moves!$B$2:'Moves'!$B$177, SUM(HEX2DEC("50"),1), 1)</f>
        <v>Low Kick</v>
      </c>
      <c r="D598" s="70">
        <f t="shared" ref="D598:D599" si="52">HEX2DEC("01")</f>
        <v>1</v>
      </c>
      <c r="E598" s="71" t="str">
        <f t="array" ref="E598">INDEX(Moves!$B$2:'Moves'!$B$177, SUM(HEX2DEC("50"),1), 1)</f>
        <v>Low Kick</v>
      </c>
      <c r="F598" s="41">
        <v>1</v>
      </c>
      <c r="G598" s="12" t="str">
        <f>VLOOKUP(F598, TMHM!$B$10:$C1519, 2, FALSE)</f>
        <v>Focus Punch</v>
      </c>
      <c r="H598" s="13">
        <v>1</v>
      </c>
      <c r="I598" s="14" t="str">
        <f>VLOOKUP(H598, TMHM!$B$2:$C$7, 2, FALSE)</f>
        <v>Cut</v>
      </c>
      <c r="J598" s="30"/>
    </row>
    <row r="599" spans="1:10" x14ac:dyDescent="0.2">
      <c r="A599" s="120"/>
      <c r="B599" s="43">
        <f>HEX2DEC("02")</f>
        <v>2</v>
      </c>
      <c r="C599" s="23" t="str">
        <f t="array" ref="C599">INDEX(Moves!$B$2:'Moves'!$B$177, SUM(HEX2DEC("A3"),1), 1)</f>
        <v>Harden</v>
      </c>
      <c r="D599" s="43">
        <f t="shared" si="52"/>
        <v>1</v>
      </c>
      <c r="E599" s="23" t="s">
        <v>59</v>
      </c>
      <c r="F599" s="11">
        <v>5</v>
      </c>
      <c r="G599" s="20" t="str">
        <f>VLOOKUP(F599, TMHM!$B$10:$C1519, 2, FALSE)</f>
        <v>Roar</v>
      </c>
      <c r="H599" s="21">
        <v>4</v>
      </c>
      <c r="I599" s="20" t="str">
        <f>VLOOKUP(H599, TMHM!$B$2:$C$7, 2, FALSE)</f>
        <v>Strength</v>
      </c>
      <c r="J599" s="30"/>
    </row>
    <row r="600" spans="1:10" x14ac:dyDescent="0.2">
      <c r="A600" s="120"/>
      <c r="B600" s="48">
        <f>HEX2DEC("07")</f>
        <v>7</v>
      </c>
      <c r="C600" s="23" t="str">
        <f t="array" ref="C600">INDEX(Moves!$B$2:'Moves'!$B$177, SUM(HEX2DEC("37"),1), 1)</f>
        <v>Sand Attack</v>
      </c>
      <c r="D600" s="48">
        <f>HEX2DEC("07")</f>
        <v>7</v>
      </c>
      <c r="E600" s="23" t="s">
        <v>49</v>
      </c>
      <c r="F600" s="11">
        <v>7</v>
      </c>
      <c r="G600" s="20" t="str">
        <f>VLOOKUP(F600, TMHM!$B$10:$C1519, 2, FALSE)</f>
        <v>Secret Power</v>
      </c>
      <c r="H600" s="21"/>
      <c r="I600" s="25"/>
      <c r="J600" s="30"/>
    </row>
    <row r="601" spans="1:10" x14ac:dyDescent="0.2">
      <c r="A601" s="120"/>
      <c r="B601" s="18">
        <f>HEX2DEC("0D")</f>
        <v>13</v>
      </c>
      <c r="C601" s="38" t="str">
        <f t="array" ref="C601">INDEX(Moves!$B$2:'Moves'!$B$177, SUM(HEX2DEC("4F"),1), 1)</f>
        <v>Karate Chop</v>
      </c>
      <c r="D601" s="18">
        <f>HEX2DEC("0D")</f>
        <v>13</v>
      </c>
      <c r="E601" s="38" t="str">
        <f t="array" ref="E601">INDEX(Moves!$B$2:'Moves'!$B$177, SUM(HEX2DEC("4F"),1), 1)</f>
        <v>Karate Chop</v>
      </c>
      <c r="F601" s="11">
        <v>10</v>
      </c>
      <c r="G601" s="20" t="str">
        <f>VLOOKUP(F601, TMHM!$B$10:$C1519, 2, FALSE)</f>
        <v>Bite</v>
      </c>
      <c r="H601" s="21"/>
      <c r="I601" s="25"/>
      <c r="J601" s="30"/>
    </row>
    <row r="602" spans="1:10" x14ac:dyDescent="0.2">
      <c r="A602" s="120"/>
      <c r="B602" s="53">
        <f>HEX2DEC("13")</f>
        <v>19</v>
      </c>
      <c r="C602" s="39" t="str">
        <f t="array" ref="C602">INDEX(Moves!$B$2:'Moves'!$B$177, SUM(HEX2DEC("53"),1), 1)</f>
        <v>Vital Throw</v>
      </c>
      <c r="D602" s="53">
        <f>HEX2DEC("13")</f>
        <v>19</v>
      </c>
      <c r="E602" s="39" t="s">
        <v>121</v>
      </c>
      <c r="F602" s="11">
        <v>15</v>
      </c>
      <c r="G602" s="20" t="str">
        <f>VLOOKUP(F602, TMHM!$B$10:$C1519, 2, FALSE)</f>
        <v>Hyper Beam</v>
      </c>
      <c r="H602" s="21"/>
      <c r="I602" s="25"/>
      <c r="J602" s="30"/>
    </row>
    <row r="603" spans="1:10" x14ac:dyDescent="0.2">
      <c r="A603" s="120"/>
      <c r="B603" s="53">
        <f>HEX2DEC("19")</f>
        <v>25</v>
      </c>
      <c r="C603" s="39" t="str">
        <f t="array" ref="C603">INDEX(Moves!$B$2:'Moves'!$B$177, SUM(HEX2DEC("3B"),1), 1)</f>
        <v>Rock Slide</v>
      </c>
      <c r="D603" s="53">
        <f>HEX2DEC("19")</f>
        <v>25</v>
      </c>
      <c r="E603" s="39" t="s">
        <v>108</v>
      </c>
      <c r="F603" s="11">
        <v>18</v>
      </c>
      <c r="G603" s="20" t="str">
        <f>VLOOKUP(F603, TMHM!$B$10:$C1519, 2, FALSE)</f>
        <v>AncientPower</v>
      </c>
      <c r="H603" s="21"/>
      <c r="I603" s="25"/>
      <c r="J603" s="30"/>
    </row>
    <row r="604" spans="1:10" x14ac:dyDescent="0.2">
      <c r="A604" s="120"/>
      <c r="B604" s="54">
        <f>HEX2DEC("1F")</f>
        <v>31</v>
      </c>
      <c r="C604" s="55" t="str">
        <f t="array" ref="C604">INDEX(Moves!$B$2:'Moves'!$B$177, SUM(HEX2DEC("96"),1), 1)</f>
        <v>Double-Edge</v>
      </c>
      <c r="D604" s="54">
        <f>HEX2DEC("1F")</f>
        <v>31</v>
      </c>
      <c r="E604" s="55" t="s">
        <v>138</v>
      </c>
      <c r="F604" s="11">
        <v>20</v>
      </c>
      <c r="G604" s="20" t="str">
        <f>VLOOKUP(F604, TMHM!$B$10:$C1519, 2, FALSE)</f>
        <v>Iron Defense</v>
      </c>
      <c r="H604" s="21"/>
      <c r="I604" s="25"/>
      <c r="J604" s="30"/>
    </row>
    <row r="605" spans="1:10" x14ac:dyDescent="0.2">
      <c r="A605" s="120"/>
      <c r="B605" s="18">
        <f>HEX2DEC("25")</f>
        <v>37</v>
      </c>
      <c r="C605" s="38" t="str">
        <f t="array" ref="C605">INDEX(Moves!$B$2:'Moves'!$B$177, SUM(HEX2DEC("57"),1), 1)</f>
        <v>Cross Chop</v>
      </c>
      <c r="D605" s="18">
        <f>HEX2DEC("25")</f>
        <v>37</v>
      </c>
      <c r="E605" s="38" t="str">
        <f t="array" ref="E605">INDEX(Moves!$B$2:'Moves'!$B$177, SUM(HEX2DEC("57"),1), 1)</f>
        <v>Cross Chop</v>
      </c>
      <c r="F605" s="11">
        <v>26</v>
      </c>
      <c r="G605" s="20" t="str">
        <f>VLOOKUP(F605, TMHM!$B$10:$C1519, 2, FALSE)</f>
        <v>Earthquake</v>
      </c>
      <c r="H605" s="21"/>
      <c r="I605" s="25"/>
      <c r="J605" s="30"/>
    </row>
    <row r="606" spans="1:10" x14ac:dyDescent="0.2">
      <c r="A606" s="120"/>
      <c r="B606" s="53">
        <f>HEX2DEC("2B")</f>
        <v>43</v>
      </c>
      <c r="C606" s="39" t="str">
        <f t="array" ref="C606">INDEX(Moves!$B$2:'Moves'!$B$177, SUM(HEX2DEC("86"),1), 1)</f>
        <v>Iron Defense</v>
      </c>
      <c r="D606" s="53">
        <f>HEX2DEC("2B")</f>
        <v>43</v>
      </c>
      <c r="E606" s="39" t="s">
        <v>27</v>
      </c>
      <c r="F606" s="11">
        <v>28</v>
      </c>
      <c r="G606" s="20" t="str">
        <f>VLOOKUP(F606, TMHM!$B$10:$C1519, 2, FALSE)</f>
        <v>Dig</v>
      </c>
      <c r="H606" s="21"/>
      <c r="I606" s="25"/>
      <c r="J606" s="30"/>
    </row>
    <row r="607" spans="1:10" x14ac:dyDescent="0.2">
      <c r="A607" s="120"/>
      <c r="B607" s="53">
        <f>HEX2DEC("31")</f>
        <v>49</v>
      </c>
      <c r="C607" s="39" t="str">
        <f t="array" ref="C607">INDEX(Moves!$B$2:'Moves'!$B$177, SUM(HEX2DEC("58"),1), 1)</f>
        <v>DynamicPunch</v>
      </c>
      <c r="D607" s="53">
        <f>HEX2DEC("31")</f>
        <v>49</v>
      </c>
      <c r="E607" s="39" t="s">
        <v>130</v>
      </c>
      <c r="F607" s="11">
        <v>29</v>
      </c>
      <c r="G607" s="20" t="str">
        <f>VLOOKUP(F607, TMHM!$B$10:$C1519, 2, FALSE)</f>
        <v>Psychic</v>
      </c>
      <c r="H607" s="21"/>
      <c r="I607" s="25"/>
      <c r="J607" s="30"/>
    </row>
    <row r="608" spans="1:10" x14ac:dyDescent="0.2">
      <c r="A608" s="120"/>
      <c r="B608" s="73"/>
      <c r="C608" s="74"/>
      <c r="D608" s="73"/>
      <c r="E608" s="74"/>
      <c r="F608" s="11">
        <v>31</v>
      </c>
      <c r="G608" s="20" t="str">
        <f>VLOOKUP(F608, TMHM!$B$10:$C1519, 2, FALSE)</f>
        <v>Brick Break</v>
      </c>
      <c r="H608" s="21"/>
      <c r="I608" s="25"/>
      <c r="J608" s="30"/>
    </row>
    <row r="609" spans="1:10" x14ac:dyDescent="0.2">
      <c r="A609" s="121" t="s">
        <v>139</v>
      </c>
      <c r="B609" s="70">
        <f>HEX2DEC("00")</f>
        <v>0</v>
      </c>
      <c r="C609" s="71" t="str">
        <f t="array" ref="C609">INDEX(Moves!$B$2:'Moves'!$B$177, SUM(HEX2DEC("50"),1), 1)</f>
        <v>Low Kick</v>
      </c>
      <c r="D609" s="70">
        <f t="shared" ref="D609:D611" si="53">HEX2DEC("01")</f>
        <v>1</v>
      </c>
      <c r="E609" s="71" t="str">
        <f t="array" ref="E609">INDEX(Moves!$B$2:'Moves'!$B$177, SUM(HEX2DEC("50"),1), 1)</f>
        <v>Low Kick</v>
      </c>
      <c r="F609" s="41">
        <v>1</v>
      </c>
      <c r="G609" s="12" t="str">
        <f>VLOOKUP(F609, TMHM!$B$10:$C1519, 2, FALSE)</f>
        <v>Focus Punch</v>
      </c>
      <c r="H609" s="13">
        <v>1</v>
      </c>
      <c r="I609" s="14" t="str">
        <f>VLOOKUP(H609, TMHM!$B$2:$C$7, 2, FALSE)</f>
        <v>Cut</v>
      </c>
      <c r="J609" s="30"/>
    </row>
    <row r="610" spans="1:10" x14ac:dyDescent="0.2">
      <c r="A610" s="120"/>
      <c r="B610" s="43">
        <f>HEX2DEC("02")</f>
        <v>2</v>
      </c>
      <c r="C610" s="23" t="str">
        <f t="array" ref="C610">INDEX(Moves!$B$2:'Moves'!$B$177, SUM(HEX2DEC("A3"),1), 1)</f>
        <v>Harden</v>
      </c>
      <c r="D610" s="43">
        <f t="shared" si="53"/>
        <v>1</v>
      </c>
      <c r="E610" s="23" t="s">
        <v>59</v>
      </c>
      <c r="F610" s="11">
        <v>5</v>
      </c>
      <c r="G610" s="20" t="str">
        <f>VLOOKUP(F610, TMHM!$B$10:$C1519, 2, FALSE)</f>
        <v>Roar</v>
      </c>
      <c r="H610" s="21">
        <v>4</v>
      </c>
      <c r="I610" s="20" t="str">
        <f>VLOOKUP(H610, TMHM!$B$2:$C$7, 2, FALSE)</f>
        <v>Strength</v>
      </c>
      <c r="J610" s="30"/>
    </row>
    <row r="611" spans="1:10" x14ac:dyDescent="0.2">
      <c r="A611" s="120"/>
      <c r="B611" s="34"/>
      <c r="C611" s="35"/>
      <c r="D611" s="34">
        <f t="shared" si="53"/>
        <v>1</v>
      </c>
      <c r="E611" s="35" t="s">
        <v>49</v>
      </c>
      <c r="F611" s="11">
        <v>7</v>
      </c>
      <c r="G611" s="20" t="str">
        <f>VLOOKUP(F611, TMHM!$B$10:$C1519, 2, FALSE)</f>
        <v>Secret Power</v>
      </c>
      <c r="H611" s="21"/>
      <c r="I611" s="25"/>
      <c r="J611" s="30"/>
    </row>
    <row r="612" spans="1:10" x14ac:dyDescent="0.2">
      <c r="A612" s="120"/>
      <c r="B612" s="48">
        <f>HEX2DEC("07")</f>
        <v>7</v>
      </c>
      <c r="C612" s="23" t="str">
        <f t="array" ref="C612">INDEX(Moves!$B$2:'Moves'!$B$177, SUM(HEX2DEC("37"),1), 1)</f>
        <v>Sand Attack</v>
      </c>
      <c r="D612" s="48">
        <f>HEX2DEC("07")</f>
        <v>7</v>
      </c>
      <c r="E612" s="23" t="s">
        <v>49</v>
      </c>
      <c r="F612" s="11">
        <v>10</v>
      </c>
      <c r="G612" s="20" t="str">
        <f>VLOOKUP(F612, TMHM!$B$10:$C1519, 2, FALSE)</f>
        <v>Bite</v>
      </c>
      <c r="H612" s="21"/>
      <c r="I612" s="25"/>
      <c r="J612" s="30"/>
    </row>
    <row r="613" spans="1:10" x14ac:dyDescent="0.2">
      <c r="A613" s="120"/>
      <c r="B613" s="18">
        <f>HEX2DEC("0F")</f>
        <v>15</v>
      </c>
      <c r="C613" s="38" t="str">
        <f t="array" ref="C613">INDEX(Moves!$B$2:'Moves'!$B$177, SUM(HEX2DEC("4F"),1), 1)</f>
        <v>Karate Chop</v>
      </c>
      <c r="D613" s="18">
        <f>HEX2DEC("0F")</f>
        <v>15</v>
      </c>
      <c r="E613" s="38" t="str">
        <f t="array" ref="E613">INDEX(Moves!$B$2:'Moves'!$B$177, SUM(HEX2DEC("4F"),1), 1)</f>
        <v>Karate Chop</v>
      </c>
      <c r="F613" s="11">
        <v>15</v>
      </c>
      <c r="G613" s="20" t="str">
        <f>VLOOKUP(F613, TMHM!$B$10:$C1519, 2, FALSE)</f>
        <v>Hyper Beam</v>
      </c>
      <c r="H613" s="21"/>
      <c r="I613" s="25"/>
      <c r="J613" s="30"/>
    </row>
    <row r="614" spans="1:10" x14ac:dyDescent="0.2">
      <c r="A614" s="120"/>
      <c r="B614" s="53">
        <f>HEX2DEC("13")</f>
        <v>19</v>
      </c>
      <c r="C614" s="39" t="str">
        <f t="array" ref="C614">INDEX(Moves!$B$2:'Moves'!$B$177, SUM(HEX2DEC("53"),1), 1)</f>
        <v>Vital Throw</v>
      </c>
      <c r="D614" s="53">
        <f>HEX2DEC("13")</f>
        <v>19</v>
      </c>
      <c r="E614" s="39" t="s">
        <v>121</v>
      </c>
      <c r="F614" s="11">
        <v>18</v>
      </c>
      <c r="G614" s="20" t="str">
        <f>VLOOKUP(F614, TMHM!$B$10:$C1519, 2, FALSE)</f>
        <v>AncientPower</v>
      </c>
      <c r="H614" s="21"/>
      <c r="I614" s="25"/>
      <c r="J614" s="30"/>
    </row>
    <row r="615" spans="1:10" x14ac:dyDescent="0.2">
      <c r="A615" s="120"/>
      <c r="B615" s="53">
        <f>HEX2DEC("19")</f>
        <v>25</v>
      </c>
      <c r="C615" s="39" t="str">
        <f t="array" ref="C615">INDEX(Moves!$B$2:'Moves'!$B$177, SUM(HEX2DEC("3B"),1), 1)</f>
        <v>Rock Slide</v>
      </c>
      <c r="D615" s="53">
        <f>HEX2DEC("19")</f>
        <v>25</v>
      </c>
      <c r="E615" s="39" t="s">
        <v>108</v>
      </c>
      <c r="F615" s="11">
        <v>20</v>
      </c>
      <c r="G615" s="20" t="str">
        <f>VLOOKUP(F615, TMHM!$B$10:$C1519, 2, FALSE)</f>
        <v>Iron Defense</v>
      </c>
      <c r="H615" s="21"/>
      <c r="I615" s="25"/>
      <c r="J615" s="30"/>
    </row>
    <row r="616" spans="1:10" x14ac:dyDescent="0.2">
      <c r="A616" s="120"/>
      <c r="B616" s="54">
        <f>HEX2DEC("22")</f>
        <v>34</v>
      </c>
      <c r="C616" s="55" t="str">
        <f t="array" ref="C616">INDEX(Moves!$B$2:'Moves'!$B$177, SUM(HEX2DEC("96"),1), 1)</f>
        <v>Double-Edge</v>
      </c>
      <c r="D616" s="54">
        <f>HEX2DEC("22")</f>
        <v>34</v>
      </c>
      <c r="E616" s="55" t="s">
        <v>138</v>
      </c>
      <c r="F616" s="11">
        <v>26</v>
      </c>
      <c r="G616" s="20" t="str">
        <f>VLOOKUP(F616, TMHM!$B$10:$C1519, 2, FALSE)</f>
        <v>Earthquake</v>
      </c>
      <c r="H616" s="21"/>
      <c r="I616" s="25"/>
      <c r="J616" s="30"/>
    </row>
    <row r="617" spans="1:10" x14ac:dyDescent="0.2">
      <c r="A617" s="120"/>
      <c r="B617" s="18">
        <f>HEX2DEC("2B")</f>
        <v>43</v>
      </c>
      <c r="C617" s="38" t="str">
        <f t="array" ref="C617">INDEX(Moves!$B$2:'Moves'!$B$177, SUM(HEX2DEC("57"),1), 1)</f>
        <v>Cross Chop</v>
      </c>
      <c r="D617" s="18">
        <f>HEX2DEC("2B")</f>
        <v>43</v>
      </c>
      <c r="E617" s="38" t="str">
        <f t="array" ref="E617">INDEX(Moves!$B$2:'Moves'!$B$177, SUM(HEX2DEC("57"),1), 1)</f>
        <v>Cross Chop</v>
      </c>
      <c r="F617" s="11">
        <v>28</v>
      </c>
      <c r="G617" s="20" t="str">
        <f>VLOOKUP(F617, TMHM!$B$10:$C1519, 2, FALSE)</f>
        <v>Dig</v>
      </c>
      <c r="H617" s="21"/>
      <c r="I617" s="25"/>
      <c r="J617" s="30"/>
    </row>
    <row r="618" spans="1:10" x14ac:dyDescent="0.2">
      <c r="A618" s="120"/>
      <c r="B618" s="53">
        <f>HEX2DEC("34")</f>
        <v>52</v>
      </c>
      <c r="C618" s="39" t="str">
        <f t="array" ref="C618">INDEX(Moves!$B$2:'Moves'!$B$177, SUM(HEX2DEC("86"),1), 1)</f>
        <v>Iron Defense</v>
      </c>
      <c r="D618" s="53">
        <f>HEX2DEC("34")</f>
        <v>52</v>
      </c>
      <c r="E618" s="39" t="s">
        <v>27</v>
      </c>
      <c r="F618" s="11">
        <v>29</v>
      </c>
      <c r="G618" s="20" t="str">
        <f>VLOOKUP(F618, TMHM!$B$10:$C1519, 2, FALSE)</f>
        <v>Psychic</v>
      </c>
      <c r="H618" s="21"/>
      <c r="I618" s="25"/>
      <c r="J618" s="30"/>
    </row>
    <row r="619" spans="1:10" x14ac:dyDescent="0.2">
      <c r="A619" s="120"/>
      <c r="B619" s="53">
        <f>HEX2DEC("3D")</f>
        <v>61</v>
      </c>
      <c r="C619" s="39" t="str">
        <f t="array" ref="C619">INDEX(Moves!$B$2:'Moves'!$B$177, SUM(HEX2DEC("58"),1), 1)</f>
        <v>DynamicPunch</v>
      </c>
      <c r="D619" s="53">
        <f>HEX2DEC("3D")</f>
        <v>61</v>
      </c>
      <c r="E619" s="39" t="s">
        <v>130</v>
      </c>
      <c r="F619" s="11">
        <v>31</v>
      </c>
      <c r="G619" s="20" t="str">
        <f>VLOOKUP(F619, TMHM!$B$10:$C1519, 2, FALSE)</f>
        <v>Brick Break</v>
      </c>
      <c r="H619" s="21"/>
      <c r="I619" s="25"/>
      <c r="J619" s="30"/>
    </row>
    <row r="620" spans="1:10" x14ac:dyDescent="0.2">
      <c r="A620" s="121" t="s">
        <v>140</v>
      </c>
      <c r="B620" s="70">
        <f>HEX2DEC("00")</f>
        <v>0</v>
      </c>
      <c r="C620" s="71" t="str">
        <f t="array" ref="C620">INDEX(Moves!$B$2:'Moves'!$B$177, SUM(HEX2DEC("50"),1), 1)</f>
        <v>Low Kick</v>
      </c>
      <c r="D620" s="70">
        <f t="shared" ref="D620:D622" si="54">HEX2DEC("01")</f>
        <v>1</v>
      </c>
      <c r="E620" s="71" t="str">
        <f t="array" ref="E620">INDEX(Moves!$B$2:'Moves'!$B$177, SUM(HEX2DEC("50"),1), 1)</f>
        <v>Low Kick</v>
      </c>
      <c r="F620" s="41">
        <v>1</v>
      </c>
      <c r="G620" s="12" t="str">
        <f>VLOOKUP(F620, TMHM!$B$10:$C1519, 2, FALSE)</f>
        <v>Focus Punch</v>
      </c>
      <c r="H620" s="13">
        <v>1</v>
      </c>
      <c r="I620" s="14" t="str">
        <f>VLOOKUP(H620, TMHM!$B$2:$C$7, 2, FALSE)</f>
        <v>Cut</v>
      </c>
      <c r="J620" s="30"/>
    </row>
    <row r="621" spans="1:10" x14ac:dyDescent="0.2">
      <c r="A621" s="120"/>
      <c r="B621" s="43">
        <f>HEX2DEC("02")</f>
        <v>2</v>
      </c>
      <c r="C621" s="23" t="str">
        <f t="array" ref="C621">INDEX(Moves!$B$2:'Moves'!$B$177, SUM(HEX2DEC("A3"),1), 1)</f>
        <v>Harden</v>
      </c>
      <c r="D621" s="43">
        <f t="shared" si="54"/>
        <v>1</v>
      </c>
      <c r="E621" s="23" t="s">
        <v>59</v>
      </c>
      <c r="F621" s="11">
        <v>5</v>
      </c>
      <c r="G621" s="20" t="str">
        <f>VLOOKUP(F621, TMHM!$B$10:$C1519, 2, FALSE)</f>
        <v>Roar</v>
      </c>
      <c r="H621" s="21">
        <v>4</v>
      </c>
      <c r="I621" s="20" t="str">
        <f>VLOOKUP(H621, TMHM!$B$2:$C$7, 2, FALSE)</f>
        <v>Strength</v>
      </c>
      <c r="J621" s="30"/>
    </row>
    <row r="622" spans="1:10" x14ac:dyDescent="0.2">
      <c r="A622" s="120"/>
      <c r="B622" s="34"/>
      <c r="C622" s="35"/>
      <c r="D622" s="34">
        <f t="shared" si="54"/>
        <v>1</v>
      </c>
      <c r="E622" s="35" t="s">
        <v>49</v>
      </c>
      <c r="F622" s="11">
        <v>7</v>
      </c>
      <c r="G622" s="20" t="str">
        <f>VLOOKUP(F622, TMHM!$B$10:$C1519, 2, FALSE)</f>
        <v>Secret Power</v>
      </c>
      <c r="H622" s="21"/>
      <c r="I622" s="25"/>
      <c r="J622" s="30"/>
    </row>
    <row r="623" spans="1:10" x14ac:dyDescent="0.2">
      <c r="A623" s="120"/>
      <c r="B623" s="48">
        <f>HEX2DEC("07")</f>
        <v>7</v>
      </c>
      <c r="C623" s="23" t="str">
        <f t="array" ref="C623">INDEX(Moves!$B$2:'Moves'!$B$177, SUM(HEX2DEC("37"),1), 1)</f>
        <v>Sand Attack</v>
      </c>
      <c r="D623" s="48">
        <f>HEX2DEC("07")</f>
        <v>7</v>
      </c>
      <c r="E623" s="23" t="s">
        <v>49</v>
      </c>
      <c r="F623" s="11">
        <v>10</v>
      </c>
      <c r="G623" s="20" t="str">
        <f>VLOOKUP(F623, TMHM!$B$10:$C1519, 2, FALSE)</f>
        <v>Bite</v>
      </c>
      <c r="H623" s="21"/>
      <c r="I623" s="25"/>
      <c r="J623" s="30"/>
    </row>
    <row r="624" spans="1:10" x14ac:dyDescent="0.2">
      <c r="A624" s="120"/>
      <c r="B624" s="18">
        <f>HEX2DEC("0F")</f>
        <v>15</v>
      </c>
      <c r="C624" s="38" t="str">
        <f t="array" ref="C624">INDEX(Moves!$B$2:'Moves'!$B$177, SUM(HEX2DEC("4F"),1), 1)</f>
        <v>Karate Chop</v>
      </c>
      <c r="D624" s="18">
        <f>HEX2DEC("0F")</f>
        <v>15</v>
      </c>
      <c r="E624" s="38" t="str">
        <f t="array" ref="E624">INDEX(Moves!$B$2:'Moves'!$B$177, SUM(HEX2DEC("4F"),1), 1)</f>
        <v>Karate Chop</v>
      </c>
      <c r="F624" s="11">
        <v>15</v>
      </c>
      <c r="G624" s="20" t="str">
        <f>VLOOKUP(F624, TMHM!$B$10:$C1519, 2, FALSE)</f>
        <v>Hyper Beam</v>
      </c>
      <c r="H624" s="21"/>
      <c r="I624" s="25"/>
      <c r="J624" s="30"/>
    </row>
    <row r="625" spans="1:10" x14ac:dyDescent="0.2">
      <c r="A625" s="120"/>
      <c r="B625" s="53">
        <f>HEX2DEC("13")</f>
        <v>19</v>
      </c>
      <c r="C625" s="39" t="str">
        <f t="array" ref="C625">INDEX(Moves!$B$2:'Moves'!$B$177, SUM(HEX2DEC("53"),1), 1)</f>
        <v>Vital Throw</v>
      </c>
      <c r="D625" s="53">
        <f>HEX2DEC("13")</f>
        <v>19</v>
      </c>
      <c r="E625" s="39" t="s">
        <v>121</v>
      </c>
      <c r="F625" s="11">
        <v>18</v>
      </c>
      <c r="G625" s="20" t="str">
        <f>VLOOKUP(F625, TMHM!$B$10:$C1519, 2, FALSE)</f>
        <v>AncientPower</v>
      </c>
      <c r="H625" s="21"/>
      <c r="I625" s="25"/>
      <c r="J625" s="30"/>
    </row>
    <row r="626" spans="1:10" x14ac:dyDescent="0.2">
      <c r="A626" s="120"/>
      <c r="B626" s="53">
        <f>HEX2DEC("19")</f>
        <v>25</v>
      </c>
      <c r="C626" s="39" t="str">
        <f t="array" ref="C626">INDEX(Moves!$B$2:'Moves'!$B$177, SUM(HEX2DEC("3B"),1), 1)</f>
        <v>Rock Slide</v>
      </c>
      <c r="D626" s="53">
        <f>HEX2DEC("19")</f>
        <v>25</v>
      </c>
      <c r="E626" s="39" t="s">
        <v>108</v>
      </c>
      <c r="F626" s="11">
        <v>20</v>
      </c>
      <c r="G626" s="20" t="str">
        <f>VLOOKUP(F626, TMHM!$B$10:$C1519, 2, FALSE)</f>
        <v>Iron Defense</v>
      </c>
      <c r="H626" s="21"/>
      <c r="I626" s="25"/>
      <c r="J626" s="30"/>
    </row>
    <row r="627" spans="1:10" x14ac:dyDescent="0.2">
      <c r="A627" s="120"/>
      <c r="B627" s="54">
        <f>HEX2DEC("22")</f>
        <v>34</v>
      </c>
      <c r="C627" s="55" t="str">
        <f t="array" ref="C627">INDEX(Moves!$B$2:'Moves'!$B$177, SUM(HEX2DEC("96"),1), 1)</f>
        <v>Double-Edge</v>
      </c>
      <c r="D627" s="54">
        <f>HEX2DEC("22")</f>
        <v>34</v>
      </c>
      <c r="E627" s="55" t="s">
        <v>138</v>
      </c>
      <c r="F627" s="11">
        <v>26</v>
      </c>
      <c r="G627" s="20" t="str">
        <f>VLOOKUP(F627, TMHM!$B$10:$C1519, 2, FALSE)</f>
        <v>Earthquake</v>
      </c>
      <c r="H627" s="21"/>
      <c r="I627" s="25"/>
      <c r="J627" s="30"/>
    </row>
    <row r="628" spans="1:10" x14ac:dyDescent="0.2">
      <c r="A628" s="120"/>
      <c r="B628" s="18">
        <f>HEX2DEC("2B")</f>
        <v>43</v>
      </c>
      <c r="C628" s="38" t="str">
        <f t="array" ref="C628">INDEX(Moves!$B$2:'Moves'!$B$177, SUM(HEX2DEC("57"),1), 1)</f>
        <v>Cross Chop</v>
      </c>
      <c r="D628" s="18">
        <f>HEX2DEC("2B")</f>
        <v>43</v>
      </c>
      <c r="E628" s="38" t="str">
        <f t="array" ref="E628">INDEX(Moves!$B$2:'Moves'!$B$177, SUM(HEX2DEC("57"),1), 1)</f>
        <v>Cross Chop</v>
      </c>
      <c r="F628" s="11">
        <v>28</v>
      </c>
      <c r="G628" s="20" t="str">
        <f>VLOOKUP(F628, TMHM!$B$10:$C1519, 2, FALSE)</f>
        <v>Dig</v>
      </c>
      <c r="H628" s="21"/>
      <c r="I628" s="25"/>
      <c r="J628" s="30"/>
    </row>
    <row r="629" spans="1:10" x14ac:dyDescent="0.2">
      <c r="A629" s="120"/>
      <c r="B629" s="53">
        <f>HEX2DEC("34")</f>
        <v>52</v>
      </c>
      <c r="C629" s="39" t="str">
        <f t="array" ref="C629">INDEX(Moves!$B$2:'Moves'!$B$177, SUM(HEX2DEC("86"),1), 1)</f>
        <v>Iron Defense</v>
      </c>
      <c r="D629" s="53">
        <f>HEX2DEC("34")</f>
        <v>52</v>
      </c>
      <c r="E629" s="39" t="s">
        <v>27</v>
      </c>
      <c r="F629" s="11">
        <v>29</v>
      </c>
      <c r="G629" s="20" t="str">
        <f>VLOOKUP(F629, TMHM!$B$10:$C1519, 2, FALSE)</f>
        <v>Psychic</v>
      </c>
      <c r="H629" s="21"/>
      <c r="I629" s="25"/>
      <c r="J629" s="30"/>
    </row>
    <row r="630" spans="1:10" x14ac:dyDescent="0.2">
      <c r="A630" s="120"/>
      <c r="B630" s="53">
        <f>HEX2DEC("3D")</f>
        <v>61</v>
      </c>
      <c r="C630" s="39" t="str">
        <f t="array" ref="C630">INDEX(Moves!$B$2:'Moves'!$B$177, SUM(HEX2DEC("58"),1), 1)</f>
        <v>DynamicPunch</v>
      </c>
      <c r="D630" s="53">
        <f>HEX2DEC("3D")</f>
        <v>61</v>
      </c>
      <c r="E630" s="39" t="s">
        <v>130</v>
      </c>
      <c r="F630" s="11">
        <v>31</v>
      </c>
      <c r="G630" s="20" t="str">
        <f>VLOOKUP(F630, TMHM!$B$10:$C1519, 2, FALSE)</f>
        <v>Brick Break</v>
      </c>
      <c r="H630" s="21"/>
      <c r="I630" s="25"/>
      <c r="J630" s="30"/>
    </row>
    <row r="631" spans="1:10" x14ac:dyDescent="0.2">
      <c r="A631" s="121" t="s">
        <v>141</v>
      </c>
      <c r="B631" s="70">
        <f>HEX2DEC("00")</f>
        <v>0</v>
      </c>
      <c r="C631" s="71" t="str">
        <f t="array" ref="C631">INDEX(Moves!$B$2:'Moves'!$B$177, SUM(HEX2DEC("1F"),1), 1)</f>
        <v>Vine Whip</v>
      </c>
      <c r="D631" s="70">
        <f>HEX2DEC("01")</f>
        <v>1</v>
      </c>
      <c r="E631" s="71" t="str">
        <f t="array" ref="E631">INDEX(Moves!$B$2:'Moves'!$B$177, SUM(HEX2DEC("1F"),1), 1)</f>
        <v>Vine Whip</v>
      </c>
      <c r="F631" s="41">
        <v>1</v>
      </c>
      <c r="G631" s="12" t="str">
        <f>VLOOKUP(F631, TMHM!$B$10:$C1519, 2, FALSE)</f>
        <v>Focus Punch</v>
      </c>
      <c r="H631" s="13">
        <v>1</v>
      </c>
      <c r="I631" s="14" t="str">
        <f>VLOOKUP(H631, TMHM!$B$2:$C$7, 2, FALSE)</f>
        <v>Cut</v>
      </c>
      <c r="J631" s="30"/>
    </row>
    <row r="632" spans="1:10" x14ac:dyDescent="0.2">
      <c r="A632" s="120"/>
      <c r="B632" s="48">
        <f>HEX2DEC("06")</f>
        <v>6</v>
      </c>
      <c r="C632" s="23" t="str">
        <f t="array" ref="C632">INDEX(Moves!$B$2:'Moves'!$B$177, SUM(HEX2DEC("A0"),1), 1)</f>
        <v>Growl</v>
      </c>
      <c r="D632" s="48">
        <f>HEX2DEC("06")</f>
        <v>6</v>
      </c>
      <c r="E632" s="23" t="s">
        <v>19</v>
      </c>
      <c r="F632" s="11">
        <v>6</v>
      </c>
      <c r="G632" s="20" t="str">
        <f>VLOOKUP(F632, TMHM!$B$10:$C1519, 2, FALSE)</f>
        <v>Toxic</v>
      </c>
      <c r="H632" s="21"/>
      <c r="I632" s="25"/>
      <c r="J632" s="30"/>
    </row>
    <row r="633" spans="1:10" x14ac:dyDescent="0.2">
      <c r="A633" s="120"/>
      <c r="B633" s="48">
        <f>HEX2DEC("0B")</f>
        <v>11</v>
      </c>
      <c r="C633" s="23" t="str">
        <f t="array" ref="C633">INDEX(Moves!$B$2:'Moves'!$B$177, SUM(HEX2DEC("A6"),1), 1)</f>
        <v>SmokeScreen</v>
      </c>
      <c r="D633" s="48">
        <f>HEX2DEC("0B")</f>
        <v>11</v>
      </c>
      <c r="E633" s="23" t="s">
        <v>142</v>
      </c>
      <c r="F633" s="11">
        <v>7</v>
      </c>
      <c r="G633" s="20" t="str">
        <f>VLOOKUP(F633, TMHM!$B$10:$C1519, 2, FALSE)</f>
        <v>Secret Power</v>
      </c>
      <c r="H633" s="21"/>
      <c r="I633" s="25"/>
      <c r="J633" s="30"/>
    </row>
    <row r="634" spans="1:10" x14ac:dyDescent="0.2">
      <c r="A634" s="120"/>
      <c r="B634" s="50">
        <f>HEX2DEC("0F")</f>
        <v>15</v>
      </c>
      <c r="C634" s="51" t="str">
        <f t="array" ref="C634">INDEX(Moves!$B$2:'Moves'!$B$177, SUM(HEX2DEC("25"),1), 1)</f>
        <v>Grasswhistle</v>
      </c>
      <c r="D634" s="50">
        <f>HEX2DEC("0F")</f>
        <v>15</v>
      </c>
      <c r="E634" s="51" t="str">
        <f t="array" ref="E634">INDEX(Moves!$B$2:'Moves'!$B$177, SUM(HEX2DEC("26"),1), 1)</f>
        <v>Sleep Powder</v>
      </c>
      <c r="F634" s="11">
        <v>17</v>
      </c>
      <c r="G634" s="20" t="str">
        <f>VLOOKUP(F634, TMHM!$B$10:$C1519, 2, FALSE)</f>
        <v>SmokeScreen</v>
      </c>
      <c r="H634" s="21"/>
      <c r="I634" s="25"/>
      <c r="J634" s="30"/>
    </row>
    <row r="635" spans="1:10" x14ac:dyDescent="0.2">
      <c r="A635" s="120"/>
      <c r="B635" s="16">
        <f>HEX2DEC("11")</f>
        <v>17</v>
      </c>
      <c r="C635" s="17" t="str">
        <f t="array" ref="C635">INDEX(Moves!$B$2:'Moves'!$B$177, SUM(HEX2DEC("4B"),1), 1)</f>
        <v>PoisonPowder</v>
      </c>
      <c r="D635" s="16">
        <f>HEX2DEC("11")</f>
        <v>17</v>
      </c>
      <c r="E635" s="17" t="str">
        <f t="array" ref="E635">INDEX(Moves!$B$2:'Moves'!$B$177, SUM(HEX2DEC("4B"),1), 1)</f>
        <v>PoisonPowder</v>
      </c>
      <c r="F635" s="11">
        <v>19</v>
      </c>
      <c r="G635" s="20" t="str">
        <f>VLOOKUP(F635, TMHM!$B$10:$C1519, 2, FALSE)</f>
        <v>Giga Drain</v>
      </c>
      <c r="H635" s="21"/>
      <c r="I635" s="25"/>
      <c r="J635" s="30"/>
    </row>
    <row r="636" spans="1:10" x14ac:dyDescent="0.2">
      <c r="A636" s="120"/>
      <c r="B636" s="16">
        <f>HEX2DEC("13")</f>
        <v>19</v>
      </c>
      <c r="C636" s="17" t="str">
        <f t="array" ref="C636">INDEX(Moves!$B$2:'Moves'!$B$177, SUM(HEX2DEC("28"),1), 1)</f>
        <v>Stun Spore</v>
      </c>
      <c r="D636" s="16">
        <f>HEX2DEC("13")</f>
        <v>19</v>
      </c>
      <c r="E636" s="17" t="str">
        <f t="array" ref="E636">INDEX(Moves!$B$2:'Moves'!$B$177, SUM(HEX2DEC("28"),1), 1)</f>
        <v>Stun Spore</v>
      </c>
      <c r="F636" s="11">
        <v>21</v>
      </c>
      <c r="G636" s="20" t="str">
        <f>VLOOKUP(F636, TMHM!$B$10:$C1519, 2, FALSE)</f>
        <v>Recover</v>
      </c>
      <c r="H636" s="21"/>
      <c r="I636" s="25"/>
      <c r="J636" s="30"/>
    </row>
    <row r="637" spans="1:10" x14ac:dyDescent="0.2">
      <c r="A637" s="120"/>
      <c r="B637" s="16">
        <f>HEX2DEC("17")</f>
        <v>23</v>
      </c>
      <c r="C637" s="17" t="str">
        <f t="array" ref="C637">INDEX(Moves!$B$2:'Moves'!$B$177, SUM(HEX2DEC("45"),1), 1)</f>
        <v>Acid</v>
      </c>
      <c r="D637" s="16">
        <f>HEX2DEC("17")</f>
        <v>23</v>
      </c>
      <c r="E637" s="17" t="str">
        <f t="array" ref="E637">INDEX(Moves!$B$2:'Moves'!$B$177, SUM(HEX2DEC("45"),1), 1)</f>
        <v>Acid</v>
      </c>
      <c r="F637" s="11">
        <v>22</v>
      </c>
      <c r="G637" s="20" t="str">
        <f>VLOOKUP(F637, TMHM!$B$10:$C1519, 2, FALSE)</f>
        <v>SolarBeam</v>
      </c>
      <c r="H637" s="21"/>
      <c r="I637" s="25"/>
      <c r="J637" s="30"/>
    </row>
    <row r="638" spans="1:10" x14ac:dyDescent="0.2">
      <c r="A638" s="120"/>
      <c r="B638" s="48">
        <f>HEX2DEC("1E")</f>
        <v>30</v>
      </c>
      <c r="C638" s="23" t="str">
        <f t="array" ref="C638">INDEX(Moves!$B$2:'Moves'!$B$177, SUM(HEX2DEC("41"),1), 1)</f>
        <v>Tail Glow</v>
      </c>
      <c r="D638" s="48">
        <f>HEX2DEC("1E")</f>
        <v>30</v>
      </c>
      <c r="E638" s="23" t="s">
        <v>17</v>
      </c>
      <c r="F638" s="11">
        <v>33</v>
      </c>
      <c r="G638" s="20" t="str">
        <f>VLOOKUP(F638, TMHM!$B$10:$C1519, 2, FALSE)</f>
        <v>Razor Leaf</v>
      </c>
      <c r="H638" s="21"/>
      <c r="I638" s="25"/>
      <c r="J638" s="30"/>
    </row>
    <row r="639" spans="1:10" x14ac:dyDescent="0.2">
      <c r="A639" s="120"/>
      <c r="B639" s="16">
        <f>HEX2DEC("25")</f>
        <v>37</v>
      </c>
      <c r="C639" s="17" t="str">
        <f t="array" ref="C639">INDEX(Moves!$B$2:'Moves'!$B$177, SUM(HEX2DEC("20"),1), 1)</f>
        <v>Razor Leaf</v>
      </c>
      <c r="D639" s="16">
        <f>HEX2DEC("25")</f>
        <v>37</v>
      </c>
      <c r="E639" s="17" t="str">
        <f t="array" ref="E639">INDEX(Moves!$B$2:'Moves'!$B$177, SUM(HEX2DEC("20"),1), 1)</f>
        <v>Razor Leaf</v>
      </c>
      <c r="F639" s="11"/>
      <c r="H639" s="21"/>
      <c r="I639" s="25"/>
      <c r="J639" s="30"/>
    </row>
    <row r="640" spans="1:10" x14ac:dyDescent="0.2">
      <c r="A640" s="120"/>
      <c r="B640" s="48">
        <f>HEX2DEC("2D")</f>
        <v>45</v>
      </c>
      <c r="C640" s="23" t="str">
        <f t="array" ref="C640">INDEX(Moves!$B$2:'Moves'!$B$177, SUM(HEX2DEC("4F"),1), 1)</f>
        <v>Karate Chop</v>
      </c>
      <c r="D640" s="48">
        <f>HEX2DEC("2D")</f>
        <v>45</v>
      </c>
      <c r="E640" s="23" t="s">
        <v>67</v>
      </c>
      <c r="F640" s="11"/>
      <c r="H640" s="21"/>
      <c r="I640" s="25"/>
      <c r="J640" s="30"/>
    </row>
    <row r="641" spans="1:10" x14ac:dyDescent="0.2">
      <c r="A641" s="121" t="s">
        <v>143</v>
      </c>
      <c r="B641" s="70">
        <f>HEX2DEC("00")</f>
        <v>0</v>
      </c>
      <c r="C641" s="71" t="str">
        <f t="array" ref="C641">INDEX(Moves!$B$2:'Moves'!$B$177, SUM(HEX2DEC("1F"),1), 1)</f>
        <v>Vine Whip</v>
      </c>
      <c r="D641" s="70">
        <f t="shared" ref="D641:D643" si="55">HEX2DEC("01")</f>
        <v>1</v>
      </c>
      <c r="E641" s="71" t="str">
        <f t="array" ref="E641">INDEX(Moves!$B$2:'Moves'!$B$177, SUM(HEX2DEC("1F"),1), 1)</f>
        <v>Vine Whip</v>
      </c>
      <c r="F641" s="41">
        <v>1</v>
      </c>
      <c r="G641" s="12" t="str">
        <f>VLOOKUP(F641, TMHM!$B$10:$C1519, 2, FALSE)</f>
        <v>Focus Punch</v>
      </c>
      <c r="H641" s="13">
        <v>1</v>
      </c>
      <c r="I641" s="14" t="str">
        <f>VLOOKUP(H641, TMHM!$B$2:$C$7, 2, FALSE)</f>
        <v>Cut</v>
      </c>
      <c r="J641" s="30"/>
    </row>
    <row r="642" spans="1:10" x14ac:dyDescent="0.2">
      <c r="A642" s="120"/>
      <c r="B642" s="34"/>
      <c r="C642" s="35"/>
      <c r="D642" s="34">
        <f t="shared" si="55"/>
        <v>1</v>
      </c>
      <c r="E642" s="35" t="s">
        <v>19</v>
      </c>
      <c r="F642" s="11">
        <v>6</v>
      </c>
      <c r="G642" s="20" t="str">
        <f>VLOOKUP(F642, TMHM!$B$10:$C1519, 2, FALSE)</f>
        <v>Toxic</v>
      </c>
      <c r="H642" s="21"/>
      <c r="I642" s="25"/>
      <c r="J642" s="30"/>
    </row>
    <row r="643" spans="1:10" x14ac:dyDescent="0.2">
      <c r="A643" s="120"/>
      <c r="B643" s="34"/>
      <c r="C643" s="35"/>
      <c r="D643" s="34">
        <f t="shared" si="55"/>
        <v>1</v>
      </c>
      <c r="E643" s="35" t="s">
        <v>142</v>
      </c>
      <c r="F643" s="11">
        <v>7</v>
      </c>
      <c r="G643" s="20" t="str">
        <f>VLOOKUP(F643, TMHM!$B$10:$C1519, 2, FALSE)</f>
        <v>Secret Power</v>
      </c>
      <c r="H643" s="21"/>
      <c r="I643" s="25"/>
      <c r="J643" s="30"/>
    </row>
    <row r="644" spans="1:10" x14ac:dyDescent="0.2">
      <c r="A644" s="120"/>
      <c r="B644" s="48">
        <f>HEX2DEC("06")</f>
        <v>6</v>
      </c>
      <c r="C644" s="23" t="str">
        <f t="array" ref="C644">INDEX(Moves!$B$2:'Moves'!$B$177, SUM(HEX2DEC("A0"),1), 1)</f>
        <v>Growl</v>
      </c>
      <c r="D644" s="48">
        <f>HEX2DEC("06")</f>
        <v>6</v>
      </c>
      <c r="E644" s="23" t="s">
        <v>19</v>
      </c>
      <c r="F644" s="11">
        <v>17</v>
      </c>
      <c r="G644" s="20" t="str">
        <f>VLOOKUP(F644, TMHM!$B$10:$C1519, 2, FALSE)</f>
        <v>SmokeScreen</v>
      </c>
      <c r="H644" s="21"/>
      <c r="I644" s="25"/>
      <c r="J644" s="30"/>
    </row>
    <row r="645" spans="1:10" x14ac:dyDescent="0.2">
      <c r="A645" s="120"/>
      <c r="B645" s="48">
        <f>HEX2DEC("0B")</f>
        <v>11</v>
      </c>
      <c r="C645" s="23" t="str">
        <f t="array" ref="C645">INDEX(Moves!$B$2:'Moves'!$B$177, SUM(HEX2DEC("A6"),1), 1)</f>
        <v>SmokeScreen</v>
      </c>
      <c r="D645" s="48">
        <f>HEX2DEC("0B")</f>
        <v>11</v>
      </c>
      <c r="E645" s="23" t="s">
        <v>142</v>
      </c>
      <c r="F645" s="11">
        <v>19</v>
      </c>
      <c r="G645" s="20" t="str">
        <f>VLOOKUP(F645, TMHM!$B$10:$C1519, 2, FALSE)</f>
        <v>Giga Drain</v>
      </c>
      <c r="H645" s="21"/>
      <c r="I645" s="25"/>
      <c r="J645" s="30"/>
    </row>
    <row r="646" spans="1:10" x14ac:dyDescent="0.2">
      <c r="A646" s="120"/>
      <c r="B646" s="50">
        <f>HEX2DEC("0F")</f>
        <v>15</v>
      </c>
      <c r="C646" s="51" t="str">
        <f t="array" ref="C646">INDEX(Moves!$B$2:'Moves'!$B$177, SUM(HEX2DEC("25"),1), 1)</f>
        <v>Grasswhistle</v>
      </c>
      <c r="D646" s="50">
        <f>HEX2DEC("0F")</f>
        <v>15</v>
      </c>
      <c r="E646" s="51" t="str">
        <f t="array" ref="E646">INDEX(Moves!$B$2:'Moves'!$B$177, SUM(HEX2DEC("26"),1), 1)</f>
        <v>Sleep Powder</v>
      </c>
      <c r="F646" s="11">
        <v>21</v>
      </c>
      <c r="G646" s="20" t="str">
        <f>VLOOKUP(F646, TMHM!$B$10:$C1519, 2, FALSE)</f>
        <v>Recover</v>
      </c>
      <c r="H646" s="21"/>
      <c r="I646" s="25"/>
      <c r="J646" s="30"/>
    </row>
    <row r="647" spans="1:10" x14ac:dyDescent="0.2">
      <c r="A647" s="120"/>
      <c r="B647" s="16">
        <f>HEX2DEC("11")</f>
        <v>17</v>
      </c>
      <c r="C647" s="17" t="str">
        <f t="array" ref="C647">INDEX(Moves!$B$2:'Moves'!$B$177, SUM(HEX2DEC("4B"),1), 1)</f>
        <v>PoisonPowder</v>
      </c>
      <c r="D647" s="16">
        <f>HEX2DEC("11")</f>
        <v>17</v>
      </c>
      <c r="E647" s="17" t="str">
        <f t="array" ref="E647">INDEX(Moves!$B$2:'Moves'!$B$177, SUM(HEX2DEC("4B"),1), 1)</f>
        <v>PoisonPowder</v>
      </c>
      <c r="F647" s="11">
        <v>22</v>
      </c>
      <c r="G647" s="20" t="str">
        <f>VLOOKUP(F647, TMHM!$B$10:$C1519, 2, FALSE)</f>
        <v>SolarBeam</v>
      </c>
      <c r="H647" s="21"/>
      <c r="I647" s="25"/>
      <c r="J647" s="30"/>
    </row>
    <row r="648" spans="1:10" x14ac:dyDescent="0.2">
      <c r="A648" s="120"/>
      <c r="B648" s="16">
        <f>HEX2DEC("13")</f>
        <v>19</v>
      </c>
      <c r="C648" s="17" t="str">
        <f t="array" ref="C648">INDEX(Moves!$B$2:'Moves'!$B$177, SUM(HEX2DEC("28"),1), 1)</f>
        <v>Stun Spore</v>
      </c>
      <c r="D648" s="16">
        <f>HEX2DEC("13")</f>
        <v>19</v>
      </c>
      <c r="E648" s="17" t="str">
        <f t="array" ref="E648">INDEX(Moves!$B$2:'Moves'!$B$177, SUM(HEX2DEC("28"),1), 1)</f>
        <v>Stun Spore</v>
      </c>
      <c r="F648" s="11">
        <v>33</v>
      </c>
      <c r="G648" s="20" t="str">
        <f>VLOOKUP(F648, TMHM!$B$10:$C1519, 2, FALSE)</f>
        <v>Razor Leaf</v>
      </c>
      <c r="H648" s="21"/>
      <c r="I648" s="25"/>
      <c r="J648" s="30"/>
    </row>
    <row r="649" spans="1:10" x14ac:dyDescent="0.2">
      <c r="A649" s="120"/>
      <c r="B649" s="16">
        <f>HEX2DEC("18")</f>
        <v>24</v>
      </c>
      <c r="C649" s="17" t="str">
        <f t="array" ref="C649">INDEX(Moves!$B$2:'Moves'!$B$177, SUM(HEX2DEC("45"),1), 1)</f>
        <v>Acid</v>
      </c>
      <c r="D649" s="16">
        <f>HEX2DEC("18")</f>
        <v>24</v>
      </c>
      <c r="E649" s="17" t="str">
        <f t="array" ref="E649">INDEX(Moves!$B$2:'Moves'!$B$177, SUM(HEX2DEC("45"),1), 1)</f>
        <v>Acid</v>
      </c>
      <c r="F649" s="11"/>
      <c r="H649" s="21"/>
      <c r="I649" s="25"/>
      <c r="J649" s="30"/>
    </row>
    <row r="650" spans="1:10" x14ac:dyDescent="0.2">
      <c r="A650" s="120"/>
      <c r="B650" s="48">
        <f>HEX2DEC("21")</f>
        <v>33</v>
      </c>
      <c r="C650" s="23" t="str">
        <f t="array" ref="C650">INDEX(Moves!$B$2:'Moves'!$B$177, SUM(HEX2DEC("41"),1), 1)</f>
        <v>Tail Glow</v>
      </c>
      <c r="D650" s="48">
        <f>HEX2DEC("21")</f>
        <v>33</v>
      </c>
      <c r="E650" s="23" t="s">
        <v>17</v>
      </c>
      <c r="F650" s="11"/>
      <c r="H650" s="21"/>
      <c r="I650" s="25"/>
      <c r="J650" s="30"/>
    </row>
    <row r="651" spans="1:10" x14ac:dyDescent="0.2">
      <c r="A651" s="120"/>
      <c r="B651" s="16">
        <f>HEX2DEC("2A")</f>
        <v>42</v>
      </c>
      <c r="C651" s="17" t="str">
        <f t="array" ref="C651">INDEX(Moves!$B$2:'Moves'!$B$177, SUM(HEX2DEC("20"),1), 1)</f>
        <v>Razor Leaf</v>
      </c>
      <c r="D651" s="16">
        <f>HEX2DEC("2A")</f>
        <v>42</v>
      </c>
      <c r="E651" s="17" t="str">
        <f t="array" ref="E651">INDEX(Moves!$B$2:'Moves'!$B$177, SUM(HEX2DEC("20"),1), 1)</f>
        <v>Razor Leaf</v>
      </c>
      <c r="F651" s="11"/>
      <c r="H651" s="21"/>
      <c r="I651" s="25"/>
      <c r="J651" s="30"/>
    </row>
    <row r="652" spans="1:10" x14ac:dyDescent="0.2">
      <c r="A652" s="120"/>
      <c r="B652" s="48">
        <f>HEX2DEC("36")</f>
        <v>54</v>
      </c>
      <c r="C652" s="23" t="str">
        <f t="array" ref="C652">INDEX(Moves!$B$2:'Moves'!$B$177, SUM(HEX2DEC("4F"),1), 1)</f>
        <v>Karate Chop</v>
      </c>
      <c r="D652" s="48">
        <f>HEX2DEC("36")</f>
        <v>54</v>
      </c>
      <c r="E652" s="23" t="s">
        <v>67</v>
      </c>
      <c r="F652" s="11"/>
      <c r="H652" s="21"/>
      <c r="I652" s="25"/>
      <c r="J652" s="30"/>
    </row>
    <row r="653" spans="1:10" x14ac:dyDescent="0.2">
      <c r="A653" s="121" t="s">
        <v>144</v>
      </c>
      <c r="B653" s="70">
        <f>HEX2DEC("00")</f>
        <v>0</v>
      </c>
      <c r="C653" s="71" t="str">
        <f t="array" ref="C653">INDEX(Moves!$B$2:'Moves'!$B$177, SUM(HEX2DEC("1F"),1), 1)</f>
        <v>Vine Whip</v>
      </c>
      <c r="D653" s="70">
        <f t="shared" ref="D653:D656" si="56">HEX2DEC("01")</f>
        <v>1</v>
      </c>
      <c r="E653" s="71" t="str">
        <f t="array" ref="E653">INDEX(Moves!$B$2:'Moves'!$B$177, SUM(HEX2DEC("1F"),1), 1)</f>
        <v>Vine Whip</v>
      </c>
      <c r="F653" s="41">
        <v>1</v>
      </c>
      <c r="G653" s="12" t="str">
        <f>VLOOKUP(F653, TMHM!$B$10:$C1519, 2, FALSE)</f>
        <v>Focus Punch</v>
      </c>
      <c r="H653" s="13">
        <v>1</v>
      </c>
      <c r="I653" s="14" t="str">
        <f>VLOOKUP(H653, TMHM!$B$2:$C$7, 2, FALSE)</f>
        <v>Cut</v>
      </c>
      <c r="J653" s="30"/>
    </row>
    <row r="654" spans="1:10" x14ac:dyDescent="0.2">
      <c r="A654" s="120"/>
      <c r="B654" s="43">
        <f>HEX2DEC("02")</f>
        <v>2</v>
      </c>
      <c r="C654" s="51" t="str">
        <f t="array" ref="C654">INDEX(Moves!$B$2:'Moves'!$B$177, SUM(HEX2DEC("25"),1), 1)</f>
        <v>Grasswhistle</v>
      </c>
      <c r="D654" s="43">
        <f t="shared" si="56"/>
        <v>1</v>
      </c>
      <c r="E654" s="51" t="str">
        <f t="array" ref="E654">INDEX(Moves!$B$2:'Moves'!$B$177, SUM(HEX2DEC("26"),1), 1)</f>
        <v>Sleep Powder</v>
      </c>
      <c r="F654" s="11">
        <v>6</v>
      </c>
      <c r="G654" s="20" t="str">
        <f>VLOOKUP(F654, TMHM!$B$10:$C1519, 2, FALSE)</f>
        <v>Toxic</v>
      </c>
      <c r="H654" s="21"/>
      <c r="I654" s="25"/>
      <c r="J654" s="30"/>
    </row>
    <row r="655" spans="1:10" x14ac:dyDescent="0.2">
      <c r="A655" s="120"/>
      <c r="B655" s="43">
        <f>HEX2DEC("04")</f>
        <v>4</v>
      </c>
      <c r="C655" s="23" t="str">
        <f t="array" ref="C655">INDEX(Moves!$B$2:'Moves'!$B$177, SUM(HEX2DEC("41"),1), 1)</f>
        <v>Tail Glow</v>
      </c>
      <c r="D655" s="43">
        <f t="shared" si="56"/>
        <v>1</v>
      </c>
      <c r="E655" s="23" t="s">
        <v>17</v>
      </c>
      <c r="F655" s="11">
        <v>7</v>
      </c>
      <c r="G655" s="20" t="str">
        <f>VLOOKUP(F655, TMHM!$B$10:$C1519, 2, FALSE)</f>
        <v>Secret Power</v>
      </c>
      <c r="H655" s="21"/>
      <c r="I655" s="25"/>
      <c r="J655" s="30"/>
    </row>
    <row r="656" spans="1:10" x14ac:dyDescent="0.2">
      <c r="A656" s="120"/>
      <c r="B656" s="43">
        <f>HEX2DEC("08")</f>
        <v>8</v>
      </c>
      <c r="C656" s="17" t="str">
        <f t="array" ref="C656">INDEX(Moves!$B$2:'Moves'!$B$177, SUM(HEX2DEC("20"),1), 1)</f>
        <v>Razor Leaf</v>
      </c>
      <c r="D656" s="43">
        <f t="shared" si="56"/>
        <v>1</v>
      </c>
      <c r="E656" s="17" t="str">
        <f t="array" ref="E656">INDEX(Moves!$B$2:'Moves'!$B$177, SUM(HEX2DEC("20"),1), 1)</f>
        <v>Razor Leaf</v>
      </c>
      <c r="F656" s="11">
        <v>17</v>
      </c>
      <c r="G656" s="20" t="str">
        <f>VLOOKUP(F656, TMHM!$B$10:$C1519, 2, FALSE)</f>
        <v>SmokeScreen</v>
      </c>
      <c r="H656" s="21"/>
      <c r="I656" s="25"/>
      <c r="J656" s="30"/>
    </row>
    <row r="657" spans="1:10" x14ac:dyDescent="0.2">
      <c r="A657" s="120"/>
      <c r="B657" s="73"/>
      <c r="C657" s="74"/>
      <c r="D657" s="73"/>
      <c r="E657" s="74"/>
      <c r="F657" s="11">
        <v>19</v>
      </c>
      <c r="G657" s="20" t="str">
        <f>VLOOKUP(F657, TMHM!$B$10:$C1519, 2, FALSE)</f>
        <v>Giga Drain</v>
      </c>
      <c r="H657" s="21"/>
      <c r="I657" s="25"/>
      <c r="J657" s="30"/>
    </row>
    <row r="658" spans="1:10" x14ac:dyDescent="0.2">
      <c r="A658" s="120"/>
      <c r="B658" s="73"/>
      <c r="C658" s="74"/>
      <c r="D658" s="73"/>
      <c r="E658" s="74"/>
      <c r="F658" s="11">
        <v>21</v>
      </c>
      <c r="G658" s="20" t="str">
        <f>VLOOKUP(F658, TMHM!$B$10:$C1519, 2, FALSE)</f>
        <v>Recover</v>
      </c>
      <c r="H658" s="21"/>
      <c r="I658" s="25"/>
      <c r="J658" s="30"/>
    </row>
    <row r="659" spans="1:10" x14ac:dyDescent="0.2">
      <c r="A659" s="120"/>
      <c r="B659" s="73"/>
      <c r="C659" s="74"/>
      <c r="D659" s="73"/>
      <c r="E659" s="74"/>
      <c r="F659" s="11">
        <v>22</v>
      </c>
      <c r="G659" s="20" t="str">
        <f>VLOOKUP(F659, TMHM!$B$10:$C1519, 2, FALSE)</f>
        <v>SolarBeam</v>
      </c>
      <c r="H659" s="21"/>
      <c r="I659" s="25"/>
      <c r="J659" s="30"/>
    </row>
    <row r="660" spans="1:10" x14ac:dyDescent="0.2">
      <c r="A660" s="120"/>
      <c r="B660" s="73"/>
      <c r="C660" s="74"/>
      <c r="D660" s="73"/>
      <c r="E660" s="74"/>
      <c r="F660" s="11">
        <v>33</v>
      </c>
      <c r="G660" s="20" t="str">
        <f>VLOOKUP(F660, TMHM!$B$10:$C1519, 2, FALSE)</f>
        <v>Razor Leaf</v>
      </c>
      <c r="H660" s="21"/>
      <c r="I660" s="25"/>
      <c r="J660" s="30"/>
    </row>
    <row r="661" spans="1:10" x14ac:dyDescent="0.2">
      <c r="A661" s="121" t="s">
        <v>145</v>
      </c>
      <c r="B661" s="70">
        <f>HEX2DEC("00")</f>
        <v>0</v>
      </c>
      <c r="C661" s="71" t="str">
        <f t="array" ref="C661">INDEX(Moves!$B$2:'Moves'!$B$177, SUM(HEX2DEC("43"),1), 1)</f>
        <v>Poison Sting</v>
      </c>
      <c r="D661" s="70">
        <f>HEX2DEC("01")</f>
        <v>1</v>
      </c>
      <c r="E661" s="71" t="str">
        <f t="array" ref="E661">INDEX(Moves!$B$2:'Moves'!$B$177, SUM(HEX2DEC("43"),1), 1)</f>
        <v>Poison Sting</v>
      </c>
      <c r="F661" s="41">
        <v>3</v>
      </c>
      <c r="G661" s="12" t="str">
        <f>VLOOKUP(F661, TMHM!$B$10:$C1519, 2, FALSE)</f>
        <v>Water Pulse</v>
      </c>
      <c r="H661" s="13">
        <v>3</v>
      </c>
      <c r="I661" s="14" t="str">
        <f>VLOOKUP(H661, TMHM!$B$2:$C$7, 2, FALSE)</f>
        <v>Surf</v>
      </c>
      <c r="J661" s="30"/>
    </row>
    <row r="662" spans="1:10" x14ac:dyDescent="0.2">
      <c r="A662" s="120"/>
      <c r="B662" s="16">
        <f>HEX2DEC("06")</f>
        <v>6</v>
      </c>
      <c r="C662" s="17" t="str">
        <f t="array" ref="C662">INDEX(Moves!$B$2:'Moves'!$B$177, SUM(HEX2DEC("9E"),1), 1)</f>
        <v>Supersonic</v>
      </c>
      <c r="D662" s="16">
        <f>HEX2DEC("06")</f>
        <v>6</v>
      </c>
      <c r="E662" s="17" t="str">
        <f t="array" ref="E662">INDEX(Moves!$B$2:'Moves'!$B$177, SUM(HEX2DEC("9E"),1), 1)</f>
        <v>Supersonic</v>
      </c>
      <c r="F662" s="11">
        <v>8</v>
      </c>
      <c r="G662" s="20" t="str">
        <f>VLOOKUP(F662, TMHM!$B$10:$C1519, 2, FALSE)</f>
        <v>Charm</v>
      </c>
      <c r="H662" s="21"/>
      <c r="I662" s="25"/>
      <c r="J662" s="30"/>
    </row>
    <row r="663" spans="1:10" x14ac:dyDescent="0.2">
      <c r="A663" s="120"/>
      <c r="B663" s="48">
        <f>HEX2DEC("0C")</f>
        <v>12</v>
      </c>
      <c r="C663" s="23" t="str">
        <f t="array" ref="C663">INDEX(Moves!$B$2:'Moves'!$B$177, SUM(HEX2DEC("7E"),1), 1)</f>
        <v>Knock Off</v>
      </c>
      <c r="D663" s="48">
        <f>HEX2DEC("0C")</f>
        <v>12</v>
      </c>
      <c r="E663" s="23" t="s">
        <v>146</v>
      </c>
      <c r="F663" s="11">
        <v>11</v>
      </c>
      <c r="G663" s="20" t="str">
        <f>VLOOKUP(F663, TMHM!$B$10:$C1519, 2, FALSE)</f>
        <v>Bubblebeam</v>
      </c>
      <c r="H663" s="21"/>
      <c r="I663" s="25"/>
      <c r="J663" s="30"/>
    </row>
    <row r="664" spans="1:10" x14ac:dyDescent="0.2">
      <c r="A664" s="120"/>
      <c r="B664" s="16">
        <f>HEX2DEC("13")</f>
        <v>19</v>
      </c>
      <c r="C664" s="17" t="str">
        <f t="array" ref="C664">INDEX(Moves!$B$2:'Moves'!$B$177, SUM(HEX2DEC("45"),1), 1)</f>
        <v>Acid</v>
      </c>
      <c r="D664" s="16">
        <f>HEX2DEC("13")</f>
        <v>19</v>
      </c>
      <c r="E664" s="17" t="str">
        <f t="array" ref="E664">INDEX(Moves!$B$2:'Moves'!$B$177, SUM(HEX2DEC("45"),1), 1)</f>
        <v>Acid</v>
      </c>
      <c r="F664" s="11">
        <v>13</v>
      </c>
      <c r="G664" s="20" t="str">
        <f>VLOOKUP(F664, TMHM!$B$10:$C1519, 2, FALSE)</f>
        <v>Ice Beam</v>
      </c>
      <c r="H664" s="21"/>
      <c r="I664" s="25"/>
      <c r="J664" s="30"/>
    </row>
    <row r="665" spans="1:10" x14ac:dyDescent="0.2">
      <c r="A665" s="120"/>
      <c r="B665" s="16">
        <f>HEX2DEC("19")</f>
        <v>25</v>
      </c>
      <c r="C665" s="17" t="str">
        <f t="array" ref="C665">INDEX(Moves!$B$2:'Moves'!$B$177, SUM(HEX2DEC("0B"),1), 1)</f>
        <v>Bubblebeam</v>
      </c>
      <c r="D665" s="16">
        <f>HEX2DEC("19")</f>
        <v>25</v>
      </c>
      <c r="E665" s="17" t="str">
        <f t="array" ref="E665">INDEX(Moves!$B$2:'Moves'!$B$177, SUM(HEX2DEC("0B"),1), 1)</f>
        <v>Bubblebeam</v>
      </c>
      <c r="F665" s="11">
        <v>21</v>
      </c>
      <c r="G665" s="20" t="str">
        <f>VLOOKUP(F665, TMHM!$B$10:$C1519, 2, FALSE)</f>
        <v>Recover</v>
      </c>
      <c r="H665" s="21"/>
      <c r="I665" s="25"/>
      <c r="J665" s="30"/>
    </row>
    <row r="666" spans="1:10" x14ac:dyDescent="0.2">
      <c r="A666" s="120"/>
      <c r="B666" s="48">
        <f>HEX2DEC("1E")</f>
        <v>30</v>
      </c>
      <c r="C666" s="23" t="str">
        <f t="array" ref="C666">INDEX(Moves!$B$2:'Moves'!$B$177, SUM(HEX2DEC("5F"),1), 1)</f>
        <v>Aerial Ace</v>
      </c>
      <c r="D666" s="48">
        <f>HEX2DEC("1E")</f>
        <v>30</v>
      </c>
      <c r="E666" s="23" t="s">
        <v>142</v>
      </c>
      <c r="F666" s="11">
        <v>32</v>
      </c>
      <c r="G666" s="20" t="str">
        <f>VLOOKUP(F666, TMHM!$B$10:$C1519, 2, FALSE)</f>
        <v>Double Team</v>
      </c>
      <c r="H666" s="21"/>
      <c r="I666" s="25"/>
      <c r="J666" s="30"/>
    </row>
    <row r="667" spans="1:10" x14ac:dyDescent="0.2">
      <c r="A667" s="120"/>
      <c r="B667" s="48">
        <f>HEX2DEC("24")</f>
        <v>36</v>
      </c>
      <c r="C667" s="23" t="str">
        <f t="array" ref="C667">INDEX(Moves!$B$2:'Moves'!$B$177, SUM(HEX2DEC("91"),1), 1)</f>
        <v>Horn Attack</v>
      </c>
      <c r="D667" s="48">
        <f>HEX2DEC("24")</f>
        <v>36</v>
      </c>
      <c r="E667" s="23" t="s">
        <v>147</v>
      </c>
      <c r="F667" s="11">
        <v>35</v>
      </c>
      <c r="G667" s="20" t="str">
        <f>VLOOKUP(F667, TMHM!$B$10:$C1519, 2, FALSE)</f>
        <v>Harden</v>
      </c>
      <c r="H667" s="21"/>
      <c r="I667" s="25"/>
      <c r="J667" s="30"/>
    </row>
    <row r="668" spans="1:10" x14ac:dyDescent="0.2">
      <c r="A668" s="120"/>
      <c r="B668" s="48">
        <f>HEX2DEC("2B")</f>
        <v>43</v>
      </c>
      <c r="C668" s="23" t="str">
        <f t="array" ref="C668">INDEX(Moves!$B$2:'Moves'!$B$177, SUM(HEX2DEC("77"),1), 1)</f>
        <v>Confuse Ray</v>
      </c>
      <c r="D668" s="48">
        <f>HEX2DEC("2B")</f>
        <v>43</v>
      </c>
      <c r="E668" s="23" t="s">
        <v>63</v>
      </c>
      <c r="F668" s="11"/>
      <c r="H668" s="21"/>
      <c r="I668" s="25"/>
      <c r="J668" s="30"/>
    </row>
    <row r="669" spans="1:10" x14ac:dyDescent="0.2">
      <c r="A669" s="120"/>
      <c r="B669" s="34"/>
      <c r="C669" s="35"/>
      <c r="D669" s="56">
        <f>HEX2DEC("31")</f>
        <v>49</v>
      </c>
      <c r="E669" s="35" t="s">
        <v>148</v>
      </c>
      <c r="F669" s="11"/>
      <c r="H669" s="21"/>
      <c r="I669" s="25"/>
      <c r="J669" s="30"/>
    </row>
    <row r="670" spans="1:10" x14ac:dyDescent="0.2">
      <c r="A670" s="121" t="s">
        <v>149</v>
      </c>
      <c r="B670" s="70">
        <f>HEX2DEC("00")</f>
        <v>0</v>
      </c>
      <c r="C670" s="71" t="str">
        <f t="array" ref="C670">INDEX(Moves!$B$2:'Moves'!$B$177, SUM(HEX2DEC("43"),1), 1)</f>
        <v>Poison Sting</v>
      </c>
      <c r="D670" s="70">
        <f t="shared" ref="D670:D672" si="57">HEX2DEC("01")</f>
        <v>1</v>
      </c>
      <c r="E670" s="71" t="str">
        <f t="array" ref="E670">INDEX(Moves!$B$2:'Moves'!$B$177, SUM(HEX2DEC("43"),1), 1)</f>
        <v>Poison Sting</v>
      </c>
      <c r="F670" s="41">
        <v>3</v>
      </c>
      <c r="G670" s="12" t="str">
        <f>VLOOKUP(F670, TMHM!$B$10:$C1519, 2, FALSE)</f>
        <v>Water Pulse</v>
      </c>
      <c r="H670" s="13">
        <v>3</v>
      </c>
      <c r="I670" s="14" t="str">
        <f>VLOOKUP(H670, TMHM!$B$2:$C$7, 2, FALSE)</f>
        <v>Surf</v>
      </c>
      <c r="J670" s="30"/>
    </row>
    <row r="671" spans="1:10" x14ac:dyDescent="0.2">
      <c r="A671" s="120"/>
      <c r="B671" s="34"/>
      <c r="C671" s="35"/>
      <c r="D671" s="34">
        <f t="shared" si="57"/>
        <v>1</v>
      </c>
      <c r="E671" s="35" t="str">
        <f t="array" ref="E671">INDEX(Moves!$B$2:'Moves'!$B$177, SUM(HEX2DEC("9E"),1), 1)</f>
        <v>Supersonic</v>
      </c>
      <c r="F671" s="11">
        <v>8</v>
      </c>
      <c r="G671" s="20" t="str">
        <f>VLOOKUP(F671, TMHM!$B$10:$C1519, 2, FALSE)</f>
        <v>Charm</v>
      </c>
      <c r="H671" s="21"/>
      <c r="I671" s="25"/>
      <c r="J671" s="30"/>
    </row>
    <row r="672" spans="1:10" x14ac:dyDescent="0.2">
      <c r="A672" s="120"/>
      <c r="B672" s="34"/>
      <c r="C672" s="35"/>
      <c r="D672" s="34">
        <f t="shared" si="57"/>
        <v>1</v>
      </c>
      <c r="E672" s="35" t="s">
        <v>146</v>
      </c>
      <c r="F672" s="11">
        <v>11</v>
      </c>
      <c r="G672" s="20" t="str">
        <f>VLOOKUP(F672, TMHM!$B$10:$C1519, 2, FALSE)</f>
        <v>Bubblebeam</v>
      </c>
      <c r="H672" s="21"/>
      <c r="I672" s="25"/>
      <c r="J672" s="30"/>
    </row>
    <row r="673" spans="1:10" x14ac:dyDescent="0.2">
      <c r="A673" s="120"/>
      <c r="B673" s="16">
        <f>HEX2DEC("06")</f>
        <v>6</v>
      </c>
      <c r="C673" s="17" t="str">
        <f t="array" ref="C673">INDEX(Moves!$B$2:'Moves'!$B$177, SUM(HEX2DEC("9E"),1), 1)</f>
        <v>Supersonic</v>
      </c>
      <c r="D673" s="16">
        <f>HEX2DEC("06")</f>
        <v>6</v>
      </c>
      <c r="E673" s="17" t="str">
        <f t="array" ref="E673">INDEX(Moves!$B$2:'Moves'!$B$177, SUM(HEX2DEC("9E"),1), 1)</f>
        <v>Supersonic</v>
      </c>
      <c r="F673" s="11">
        <v>13</v>
      </c>
      <c r="G673" s="20" t="str">
        <f>VLOOKUP(F673, TMHM!$B$10:$C1519, 2, FALSE)</f>
        <v>Ice Beam</v>
      </c>
      <c r="H673" s="21"/>
      <c r="I673" s="25"/>
      <c r="J673" s="30"/>
    </row>
    <row r="674" spans="1:10" x14ac:dyDescent="0.2">
      <c r="A674" s="120"/>
      <c r="B674" s="48">
        <f>HEX2DEC("0C")</f>
        <v>12</v>
      </c>
      <c r="C674" s="23" t="str">
        <f t="array" ref="C674">INDEX(Moves!$B$2:'Moves'!$B$177, SUM(HEX2DEC("7E"),1), 1)</f>
        <v>Knock Off</v>
      </c>
      <c r="D674" s="48">
        <f>HEX2DEC("0C")</f>
        <v>12</v>
      </c>
      <c r="E674" s="23" t="s">
        <v>146</v>
      </c>
      <c r="F674" s="11">
        <v>21</v>
      </c>
      <c r="G674" s="20" t="str">
        <f>VLOOKUP(F674, TMHM!$B$10:$C1519, 2, FALSE)</f>
        <v>Recover</v>
      </c>
      <c r="H674" s="21"/>
      <c r="I674" s="25"/>
      <c r="J674" s="30"/>
    </row>
    <row r="675" spans="1:10" x14ac:dyDescent="0.2">
      <c r="A675" s="120"/>
      <c r="B675" s="16">
        <f>HEX2DEC("13")</f>
        <v>19</v>
      </c>
      <c r="C675" s="17" t="str">
        <f t="array" ref="C675">INDEX(Moves!$B$2:'Moves'!$B$177, SUM(HEX2DEC("45"),1), 1)</f>
        <v>Acid</v>
      </c>
      <c r="D675" s="16">
        <f>HEX2DEC("13")</f>
        <v>19</v>
      </c>
      <c r="E675" s="17" t="str">
        <f t="array" ref="E675">INDEX(Moves!$B$2:'Moves'!$B$177, SUM(HEX2DEC("45"),1), 1)</f>
        <v>Acid</v>
      </c>
      <c r="F675" s="11">
        <v>32</v>
      </c>
      <c r="G675" s="20" t="str">
        <f>VLOOKUP(F675, TMHM!$B$10:$C1519, 2, FALSE)</f>
        <v>Double Team</v>
      </c>
      <c r="H675" s="21"/>
      <c r="I675" s="25"/>
      <c r="J675" s="30"/>
    </row>
    <row r="676" spans="1:10" x14ac:dyDescent="0.2">
      <c r="A676" s="120"/>
      <c r="B676" s="16">
        <f>HEX2DEC("19")</f>
        <v>25</v>
      </c>
      <c r="C676" s="17" t="str">
        <f t="array" ref="C676">INDEX(Moves!$B$2:'Moves'!$B$177, SUM(HEX2DEC("0B"),1), 1)</f>
        <v>Bubblebeam</v>
      </c>
      <c r="D676" s="16">
        <f>HEX2DEC("19")</f>
        <v>25</v>
      </c>
      <c r="E676" s="17" t="str">
        <f t="array" ref="E676">INDEX(Moves!$B$2:'Moves'!$B$177, SUM(HEX2DEC("0B"),1), 1)</f>
        <v>Bubblebeam</v>
      </c>
      <c r="F676" s="11">
        <v>35</v>
      </c>
      <c r="G676" s="20" t="str">
        <f>VLOOKUP(F676, TMHM!$B$10:$C1519, 2, FALSE)</f>
        <v>Harden</v>
      </c>
      <c r="H676" s="21"/>
      <c r="I676" s="25"/>
      <c r="J676" s="30"/>
    </row>
    <row r="677" spans="1:10" x14ac:dyDescent="0.2">
      <c r="A677" s="120"/>
      <c r="B677" s="48">
        <f>HEX2DEC("1E")</f>
        <v>30</v>
      </c>
      <c r="C677" s="23" t="str">
        <f t="array" ref="C677">INDEX(Moves!$B$2:'Moves'!$B$177, SUM(HEX2DEC("5F"),1), 1)</f>
        <v>Aerial Ace</v>
      </c>
      <c r="D677" s="48">
        <f>HEX2DEC("1E")</f>
        <v>30</v>
      </c>
      <c r="E677" s="23" t="s">
        <v>142</v>
      </c>
      <c r="F677" s="11"/>
      <c r="H677" s="21"/>
      <c r="I677" s="25"/>
      <c r="J677" s="30"/>
    </row>
    <row r="678" spans="1:10" x14ac:dyDescent="0.2">
      <c r="A678" s="120"/>
      <c r="B678" s="48">
        <f>HEX2DEC("26")</f>
        <v>38</v>
      </c>
      <c r="C678" s="23" t="str">
        <f t="array" ref="C678">INDEX(Moves!$B$2:'Moves'!$B$177, SUM(HEX2DEC("91"),1), 1)</f>
        <v>Horn Attack</v>
      </c>
      <c r="D678" s="48">
        <f>HEX2DEC("26")</f>
        <v>38</v>
      </c>
      <c r="E678" s="23" t="s">
        <v>147</v>
      </c>
      <c r="F678" s="11"/>
      <c r="H678" s="21"/>
      <c r="I678" s="25"/>
      <c r="J678" s="30"/>
    </row>
    <row r="679" spans="1:10" x14ac:dyDescent="0.2">
      <c r="A679" s="120"/>
      <c r="B679" s="48">
        <f>HEX2DEC("2F")</f>
        <v>47</v>
      </c>
      <c r="C679" s="23" t="str">
        <f t="array" ref="C679">INDEX(Moves!$B$2:'Moves'!$B$177, SUM(HEX2DEC("77"),1), 1)</f>
        <v>Confuse Ray</v>
      </c>
      <c r="D679" s="48">
        <f>HEX2DEC("2F")</f>
        <v>47</v>
      </c>
      <c r="E679" s="23" t="s">
        <v>63</v>
      </c>
      <c r="F679" s="11"/>
      <c r="H679" s="21"/>
      <c r="I679" s="25"/>
      <c r="J679" s="30"/>
    </row>
    <row r="680" spans="1:10" x14ac:dyDescent="0.2">
      <c r="A680" s="120"/>
      <c r="B680" s="73">
        <f>HEX2DEC("37")</f>
        <v>55</v>
      </c>
      <c r="C680" s="76" t="str">
        <f t="array" ref="C680">INDEX(Moves!$B$2:'Moves'!$B$177, SUM(HEX2DEC("0F"),1), 1)</f>
        <v>Hydro Pump</v>
      </c>
      <c r="D680" s="73">
        <f>HEX2DEC("37")</f>
        <v>55</v>
      </c>
      <c r="E680" s="76" t="s">
        <v>148</v>
      </c>
      <c r="F680" s="11"/>
      <c r="H680" s="21"/>
      <c r="I680" s="25"/>
      <c r="J680" s="30"/>
    </row>
    <row r="681" spans="1:10" x14ac:dyDescent="0.2">
      <c r="A681" s="121" t="s">
        <v>150</v>
      </c>
      <c r="B681" s="70">
        <f>HEX2DEC("00")</f>
        <v>0</v>
      </c>
      <c r="C681" s="71" t="str">
        <f t="array" ref="C681">INDEX(Moves!$B$2:'Moves'!$B$177, SUM(HEX2DEC("89"),1), 1)</f>
        <v>Tackle</v>
      </c>
      <c r="D681" s="70">
        <f>HEX2DEC("01")</f>
        <v>1</v>
      </c>
      <c r="E681" s="71" t="str">
        <f t="array" ref="E681">INDEX(Moves!$B$2:'Moves'!$B$177, SUM(HEX2DEC("89"),1), 1)</f>
        <v>Tackle</v>
      </c>
      <c r="F681" s="41">
        <v>7</v>
      </c>
      <c r="G681" s="12" t="str">
        <f>VLOOKUP(F681, TMHM!$B$10:$C1519, 2, FALSE)</f>
        <v>Secret Power</v>
      </c>
      <c r="H681" s="13">
        <v>4</v>
      </c>
      <c r="I681" s="14" t="str">
        <f>VLOOKUP(H681, TMHM!$B$2:$C$7, 2, FALSE)</f>
        <v>Strength</v>
      </c>
      <c r="J681" s="30"/>
    </row>
    <row r="682" spans="1:10" x14ac:dyDescent="0.2">
      <c r="A682" s="120"/>
      <c r="B682" s="50">
        <f>HEX2DEC("06")</f>
        <v>6</v>
      </c>
      <c r="C682" s="51" t="str">
        <f t="array" ref="C682">INDEX(Moves!$B$2:'Moves'!$B$177, SUM(HEX2DEC("30"),1), 1)</f>
        <v>Mud Slap</v>
      </c>
      <c r="D682" s="50">
        <f>HEX2DEC("06")</f>
        <v>6</v>
      </c>
      <c r="E682" s="51" t="str">
        <f t="array" ref="E682">INDEX(Moves!$B$2:'Moves'!$B$177, SUM(HEX2DEC("A2"),1), 1)</f>
        <v>Defense Curl</v>
      </c>
      <c r="F682" s="11">
        <v>15</v>
      </c>
      <c r="G682" s="20" t="str">
        <f>VLOOKUP(F682, TMHM!$B$10:$C1519, 2, FALSE)</f>
        <v>Hyper Beam</v>
      </c>
      <c r="H682" s="21"/>
      <c r="I682" s="25"/>
      <c r="J682" s="30"/>
    </row>
    <row r="683" spans="1:10" x14ac:dyDescent="0.2">
      <c r="A683" s="120"/>
      <c r="B683" s="16">
        <f>HEX2DEC("0B")</f>
        <v>11</v>
      </c>
      <c r="C683" s="17" t="str">
        <f t="array" ref="C683">INDEX(Moves!$B$2:'Moves'!$B$177, SUM(HEX2DEC("38"),1), 1)</f>
        <v>Rock Throw</v>
      </c>
      <c r="D683" s="16">
        <f>HEX2DEC("0B")</f>
        <v>11</v>
      </c>
      <c r="E683" s="17" t="str">
        <f t="array" ref="E683">INDEX(Moves!$B$2:'Moves'!$B$177, SUM(HEX2DEC("38"),1), 1)</f>
        <v>Rock Throw</v>
      </c>
      <c r="F683" s="11">
        <v>18</v>
      </c>
      <c r="G683" s="20" t="str">
        <f>VLOOKUP(F683, TMHM!$B$10:$C1519, 2, FALSE)</f>
        <v>AncientPower</v>
      </c>
      <c r="H683" s="21"/>
      <c r="I683" s="25"/>
      <c r="J683" s="30"/>
    </row>
    <row r="684" spans="1:10" x14ac:dyDescent="0.2">
      <c r="A684" s="120"/>
      <c r="B684" s="48">
        <f>HEX2DEC("10")</f>
        <v>16</v>
      </c>
      <c r="C684" s="23" t="str">
        <f t="array" ref="C684">INDEX(Moves!$B$2:'Moves'!$B$177, SUM(HEX2DEC("3B"),1), 1)</f>
        <v>Rock Slide</v>
      </c>
      <c r="D684" s="48">
        <f>HEX2DEC("10")</f>
        <v>16</v>
      </c>
      <c r="E684" s="23" t="s">
        <v>111</v>
      </c>
      <c r="F684" s="11">
        <v>20</v>
      </c>
      <c r="G684" s="20" t="str">
        <f>VLOOKUP(F684, TMHM!$B$10:$C1519, 2, FALSE)</f>
        <v>Iron Defense</v>
      </c>
      <c r="H684" s="21"/>
      <c r="I684" s="25"/>
      <c r="J684" s="30"/>
    </row>
    <row r="685" spans="1:10" x14ac:dyDescent="0.2">
      <c r="A685" s="120"/>
      <c r="B685" s="16">
        <f>HEX2DEC("15")</f>
        <v>21</v>
      </c>
      <c r="C685" s="17" t="str">
        <f t="array" ref="C685">INDEX(Moves!$B$2:'Moves'!$B$177, SUM(HEX2DEC("98"),1), 1)</f>
        <v>Selfdestruct</v>
      </c>
      <c r="D685" s="16">
        <f>HEX2DEC("15")</f>
        <v>21</v>
      </c>
      <c r="E685" s="17" t="str">
        <f t="array" ref="E685">INDEX(Moves!$B$2:'Moves'!$B$177, SUM(HEX2DEC("98"),1), 1)</f>
        <v>Selfdestruct</v>
      </c>
      <c r="F685" s="11">
        <v>23</v>
      </c>
      <c r="G685" s="20" t="str">
        <f>VLOOKUP(F685, TMHM!$B$10:$C1519, 2, FALSE)</f>
        <v>Iron Tail</v>
      </c>
      <c r="H685" s="21"/>
      <c r="I685" s="25"/>
      <c r="J685" s="30"/>
    </row>
    <row r="686" spans="1:10" x14ac:dyDescent="0.2">
      <c r="A686" s="120"/>
      <c r="B686" s="50">
        <f>HEX2DEC("1A")</f>
        <v>26</v>
      </c>
      <c r="C686" s="51" t="str">
        <f t="array" ref="C686">INDEX(Moves!$B$2:'Moves'!$B$177, SUM(HEX2DEC("39"),1), 1)</f>
        <v>Rock Tomb</v>
      </c>
      <c r="D686" s="50">
        <f>HEX2DEC("1A")</f>
        <v>26</v>
      </c>
      <c r="E686" s="51" t="str">
        <f t="array" ref="E686">INDEX(Moves!$B$2:'Moves'!$B$177, SUM(HEX2DEC("A3"),1), 1)</f>
        <v>Harden</v>
      </c>
      <c r="F686" s="11">
        <v>26</v>
      </c>
      <c r="G686" s="20" t="str">
        <f>VLOOKUP(F686, TMHM!$B$10:$C1519, 2, FALSE)</f>
        <v>Earthquake</v>
      </c>
      <c r="H686" s="21"/>
      <c r="I686" s="25"/>
      <c r="J686" s="30"/>
    </row>
    <row r="687" spans="1:10" x14ac:dyDescent="0.2">
      <c r="A687" s="120"/>
      <c r="B687" s="48">
        <f>HEX2DEC("1F")</f>
        <v>31</v>
      </c>
      <c r="C687" s="23" t="str">
        <f t="array" ref="C687">INDEX(Moves!$B$2:'Moves'!$B$177, SUM(HEX2DEC("31"),1), 1)</f>
        <v>Mud Shot</v>
      </c>
      <c r="D687" s="48">
        <f>HEX2DEC("1F")</f>
        <v>31</v>
      </c>
      <c r="E687" s="23" t="s">
        <v>95</v>
      </c>
      <c r="F687" s="11">
        <v>28</v>
      </c>
      <c r="G687" s="20" t="str">
        <f>VLOOKUP(F687, TMHM!$B$10:$C1519, 2, FALSE)</f>
        <v>Dig</v>
      </c>
      <c r="H687" s="21"/>
      <c r="I687" s="25"/>
      <c r="J687" s="30"/>
    </row>
    <row r="688" spans="1:10" x14ac:dyDescent="0.2">
      <c r="A688" s="120"/>
      <c r="B688" s="16">
        <f>HEX2DEC("24")</f>
        <v>36</v>
      </c>
      <c r="C688" s="17" t="str">
        <f t="array" ref="C688">INDEX(Moves!$B$2:'Moves'!$B$177, SUM(HEX2DEC("34"),1), 1)</f>
        <v>Earthquake</v>
      </c>
      <c r="D688" s="16">
        <f>HEX2DEC("24")</f>
        <v>36</v>
      </c>
      <c r="E688" s="17" t="str">
        <f t="array" ref="E688">INDEX(Moves!$B$2:'Moves'!$B$177, SUM(HEX2DEC("34"),1), 1)</f>
        <v>Earthquake</v>
      </c>
      <c r="F688" s="11">
        <v>35</v>
      </c>
      <c r="G688" s="20" t="str">
        <f>VLOOKUP(F688, TMHM!$B$10:$C1519, 2, FALSE)</f>
        <v>Harden</v>
      </c>
      <c r="H688" s="21"/>
      <c r="I688" s="25"/>
      <c r="J688" s="30"/>
    </row>
    <row r="689" spans="1:10" x14ac:dyDescent="0.2">
      <c r="A689" s="120"/>
      <c r="B689" s="16">
        <f>HEX2DEC("29")</f>
        <v>41</v>
      </c>
      <c r="C689" s="17" t="str">
        <f t="array" ref="C689">INDEX(Moves!$B$2:'Moves'!$B$177, SUM(HEX2DEC("99"),1), 1)</f>
        <v>Explosion</v>
      </c>
      <c r="D689" s="16">
        <f>HEX2DEC("29")</f>
        <v>41</v>
      </c>
      <c r="E689" s="17" t="str">
        <f t="array" ref="E689">INDEX(Moves!$B$2:'Moves'!$B$177, SUM(HEX2DEC("99"),1), 1)</f>
        <v>Explosion</v>
      </c>
      <c r="F689" s="11">
        <v>39</v>
      </c>
      <c r="G689" s="20" t="str">
        <f>VLOOKUP(F689, TMHM!$B$10:$C1519, 2, FALSE)</f>
        <v>Rock Tomb</v>
      </c>
      <c r="H689" s="21"/>
      <c r="I689" s="25"/>
      <c r="J689" s="30"/>
    </row>
    <row r="690" spans="1:10" x14ac:dyDescent="0.2">
      <c r="A690" s="121" t="s">
        <v>151</v>
      </c>
      <c r="B690" s="70">
        <f>HEX2DEC("00")</f>
        <v>0</v>
      </c>
      <c r="C690" s="71" t="str">
        <f t="array" ref="C690">INDEX(Moves!$B$2:'Moves'!$B$177, SUM(HEX2DEC("89"),1), 1)</f>
        <v>Tackle</v>
      </c>
      <c r="D690" s="70">
        <f t="shared" ref="D690:D692" si="58">HEX2DEC("01")</f>
        <v>1</v>
      </c>
      <c r="E690" s="71" t="str">
        <f t="array" ref="E690">INDEX(Moves!$B$2:'Moves'!$B$177, SUM(HEX2DEC("89"),1), 1)</f>
        <v>Tackle</v>
      </c>
      <c r="F690" s="41">
        <v>7</v>
      </c>
      <c r="G690" s="12" t="str">
        <f>VLOOKUP(F690, TMHM!$B$10:$C1519, 2, FALSE)</f>
        <v>Secret Power</v>
      </c>
      <c r="H690" s="13">
        <v>4</v>
      </c>
      <c r="I690" s="14" t="str">
        <f>VLOOKUP(H690, TMHM!$B$2:$C$7, 2, FALSE)</f>
        <v>Strength</v>
      </c>
      <c r="J690" s="30"/>
    </row>
    <row r="691" spans="1:10" x14ac:dyDescent="0.2">
      <c r="A691" s="120"/>
      <c r="B691" s="34"/>
      <c r="C691" s="35"/>
      <c r="D691" s="34">
        <f t="shared" si="58"/>
        <v>1</v>
      </c>
      <c r="E691" s="35" t="str">
        <f t="array" ref="E691">INDEX(Moves!$B$2:'Moves'!$B$177, SUM(HEX2DEC("A2"),1), 1)</f>
        <v>Defense Curl</v>
      </c>
      <c r="F691" s="11">
        <v>15</v>
      </c>
      <c r="G691" s="20" t="str">
        <f>VLOOKUP(F691, TMHM!$B$10:$C1519, 2, FALSE)</f>
        <v>Hyper Beam</v>
      </c>
      <c r="H691" s="21"/>
      <c r="I691" s="25"/>
      <c r="J691" s="30"/>
    </row>
    <row r="692" spans="1:10" x14ac:dyDescent="0.2">
      <c r="A692" s="120"/>
      <c r="B692" s="34"/>
      <c r="C692" s="35"/>
      <c r="D692" s="34">
        <f t="shared" si="58"/>
        <v>1</v>
      </c>
      <c r="E692" s="35" t="str">
        <f t="array" ref="E692">INDEX(Moves!$B$2:'Moves'!$B$177, SUM(HEX2DEC("38"),1), 1)</f>
        <v>Rock Throw</v>
      </c>
      <c r="F692" s="11">
        <v>18</v>
      </c>
      <c r="G692" s="20" t="str">
        <f>VLOOKUP(F692, TMHM!$B$10:$C1519, 2, FALSE)</f>
        <v>AncientPower</v>
      </c>
      <c r="H692" s="21"/>
      <c r="I692" s="25"/>
      <c r="J692" s="30"/>
    </row>
    <row r="693" spans="1:10" x14ac:dyDescent="0.2">
      <c r="A693" s="120"/>
      <c r="B693" s="50">
        <f>HEX2DEC("06")</f>
        <v>6</v>
      </c>
      <c r="C693" s="51" t="str">
        <f t="array" ref="C693">INDEX(Moves!$B$2:'Moves'!$B$177, SUM(HEX2DEC("30"),1), 1)</f>
        <v>Mud Slap</v>
      </c>
      <c r="D693" s="50">
        <f>HEX2DEC("06")</f>
        <v>6</v>
      </c>
      <c r="E693" s="51" t="str">
        <f t="array" ref="E693">INDEX(Moves!$B$2:'Moves'!$B$177, SUM(HEX2DEC("A2"),1), 1)</f>
        <v>Defense Curl</v>
      </c>
      <c r="F693" s="11">
        <v>20</v>
      </c>
      <c r="G693" s="20" t="str">
        <f>VLOOKUP(F693, TMHM!$B$10:$C1519, 2, FALSE)</f>
        <v>Iron Defense</v>
      </c>
      <c r="H693" s="21"/>
      <c r="I693" s="25"/>
      <c r="J693" s="30"/>
    </row>
    <row r="694" spans="1:10" x14ac:dyDescent="0.2">
      <c r="A694" s="120"/>
      <c r="B694" s="16">
        <f>HEX2DEC("0B")</f>
        <v>11</v>
      </c>
      <c r="C694" s="17" t="str">
        <f t="array" ref="C694">INDEX(Moves!$B$2:'Moves'!$B$177, SUM(HEX2DEC("38"),1), 1)</f>
        <v>Rock Throw</v>
      </c>
      <c r="D694" s="16">
        <f>HEX2DEC("0B")</f>
        <v>11</v>
      </c>
      <c r="E694" s="17" t="str">
        <f t="array" ref="E694">INDEX(Moves!$B$2:'Moves'!$B$177, SUM(HEX2DEC("38"),1), 1)</f>
        <v>Rock Throw</v>
      </c>
      <c r="F694" s="11">
        <v>23</v>
      </c>
      <c r="G694" s="20" t="str">
        <f>VLOOKUP(F694, TMHM!$B$10:$C1519, 2, FALSE)</f>
        <v>Iron Tail</v>
      </c>
      <c r="H694" s="21"/>
      <c r="I694" s="25"/>
      <c r="J694" s="30"/>
    </row>
    <row r="695" spans="1:10" x14ac:dyDescent="0.2">
      <c r="A695" s="120"/>
      <c r="B695" s="48">
        <f>HEX2DEC("10")</f>
        <v>16</v>
      </c>
      <c r="C695" s="23" t="str">
        <f t="array" ref="C695">INDEX(Moves!$B$2:'Moves'!$B$177, SUM(HEX2DEC("3B"),1), 1)</f>
        <v>Rock Slide</v>
      </c>
      <c r="D695" s="48">
        <f>HEX2DEC("10")</f>
        <v>16</v>
      </c>
      <c r="E695" s="23" t="s">
        <v>111</v>
      </c>
      <c r="F695" s="11">
        <v>26</v>
      </c>
      <c r="G695" s="20" t="str">
        <f>VLOOKUP(F695, TMHM!$B$10:$C1519, 2, FALSE)</f>
        <v>Earthquake</v>
      </c>
      <c r="H695" s="21"/>
      <c r="I695" s="25"/>
      <c r="J695" s="30"/>
    </row>
    <row r="696" spans="1:10" x14ac:dyDescent="0.2">
      <c r="A696" s="120"/>
      <c r="B696" s="16">
        <f>HEX2DEC("15")</f>
        <v>21</v>
      </c>
      <c r="C696" s="17" t="str">
        <f t="array" ref="C696">INDEX(Moves!$B$2:'Moves'!$B$177, SUM(HEX2DEC("98"),1), 1)</f>
        <v>Selfdestruct</v>
      </c>
      <c r="D696" s="16">
        <f>HEX2DEC("15")</f>
        <v>21</v>
      </c>
      <c r="E696" s="17" t="str">
        <f t="array" ref="E696">INDEX(Moves!$B$2:'Moves'!$B$177, SUM(HEX2DEC("98"),1), 1)</f>
        <v>Selfdestruct</v>
      </c>
      <c r="F696" s="11">
        <v>28</v>
      </c>
      <c r="G696" s="20" t="str">
        <f>VLOOKUP(F696, TMHM!$B$10:$C1519, 2, FALSE)</f>
        <v>Dig</v>
      </c>
      <c r="H696" s="21"/>
      <c r="I696" s="25"/>
      <c r="J696" s="30"/>
    </row>
    <row r="697" spans="1:10" x14ac:dyDescent="0.2">
      <c r="A697" s="120"/>
      <c r="B697" s="50">
        <f>HEX2DEC("1B")</f>
        <v>27</v>
      </c>
      <c r="C697" s="51" t="str">
        <f t="array" ref="C697">INDEX(Moves!$B$2:'Moves'!$B$177, SUM(HEX2DEC("39"),1), 1)</f>
        <v>Rock Tomb</v>
      </c>
      <c r="D697" s="50">
        <f>HEX2DEC("1B")</f>
        <v>27</v>
      </c>
      <c r="E697" s="51" t="str">
        <f t="array" ref="E697">INDEX(Moves!$B$2:'Moves'!$B$177, SUM(HEX2DEC("A3"),1), 1)</f>
        <v>Harden</v>
      </c>
      <c r="F697" s="11">
        <v>35</v>
      </c>
      <c r="G697" s="20" t="str">
        <f>VLOOKUP(F697, TMHM!$B$10:$C1519, 2, FALSE)</f>
        <v>Harden</v>
      </c>
      <c r="H697" s="21"/>
      <c r="I697" s="25"/>
      <c r="J697" s="30"/>
    </row>
    <row r="698" spans="1:10" x14ac:dyDescent="0.2">
      <c r="A698" s="120"/>
      <c r="B698" s="48">
        <f>HEX2DEC("22")</f>
        <v>34</v>
      </c>
      <c r="C698" s="23" t="str">
        <f t="array" ref="C698">INDEX(Moves!$B$2:'Moves'!$B$177, SUM(HEX2DEC("31"),1), 1)</f>
        <v>Mud Shot</v>
      </c>
      <c r="D698" s="48">
        <f>HEX2DEC("22")</f>
        <v>34</v>
      </c>
      <c r="E698" s="23" t="s">
        <v>95</v>
      </c>
      <c r="F698" s="11">
        <v>39</v>
      </c>
      <c r="G698" s="20" t="str">
        <f>VLOOKUP(F698, TMHM!$B$10:$C1519, 2, FALSE)</f>
        <v>Rock Tomb</v>
      </c>
      <c r="H698" s="21"/>
      <c r="I698" s="25"/>
      <c r="J698" s="30"/>
    </row>
    <row r="699" spans="1:10" x14ac:dyDescent="0.2">
      <c r="A699" s="120"/>
      <c r="B699" s="16">
        <f>HEX2DEC("29")</f>
        <v>41</v>
      </c>
      <c r="C699" s="17" t="str">
        <f t="array" ref="C699">INDEX(Moves!$B$2:'Moves'!$B$177, SUM(HEX2DEC("34"),1), 1)</f>
        <v>Earthquake</v>
      </c>
      <c r="D699" s="16">
        <f>HEX2DEC("29")</f>
        <v>41</v>
      </c>
      <c r="E699" s="17" t="str">
        <f t="array" ref="E699">INDEX(Moves!$B$2:'Moves'!$B$177, SUM(HEX2DEC("34"),1), 1)</f>
        <v>Earthquake</v>
      </c>
      <c r="F699" s="11"/>
      <c r="H699" s="21"/>
      <c r="I699" s="25"/>
      <c r="J699" s="30"/>
    </row>
    <row r="700" spans="1:10" x14ac:dyDescent="0.2">
      <c r="A700" s="120"/>
      <c r="B700" s="16">
        <f>HEX2DEC("30")</f>
        <v>48</v>
      </c>
      <c r="C700" s="17" t="str">
        <f t="array" ref="C700">INDEX(Moves!$B$2:'Moves'!$B$177, SUM(HEX2DEC("99"),1), 1)</f>
        <v>Explosion</v>
      </c>
      <c r="D700" s="16">
        <f>HEX2DEC("30")</f>
        <v>48</v>
      </c>
      <c r="E700" s="17" t="str">
        <f t="array" ref="E700">INDEX(Moves!$B$2:'Moves'!$B$177, SUM(HEX2DEC("99"),1), 1)</f>
        <v>Explosion</v>
      </c>
      <c r="F700" s="11"/>
      <c r="H700" s="21"/>
      <c r="I700" s="25"/>
      <c r="J700" s="30"/>
    </row>
    <row r="701" spans="1:10" x14ac:dyDescent="0.2">
      <c r="A701" s="121" t="s">
        <v>152</v>
      </c>
      <c r="B701" s="70">
        <f>HEX2DEC("00")</f>
        <v>0</v>
      </c>
      <c r="C701" s="71" t="str">
        <f t="array" ref="C701">INDEX(Moves!$B$2:'Moves'!$B$177, SUM(HEX2DEC("89"),1), 1)</f>
        <v>Tackle</v>
      </c>
      <c r="D701" s="70">
        <f t="shared" ref="D701:D704" si="59">HEX2DEC("01")</f>
        <v>1</v>
      </c>
      <c r="E701" s="71" t="str">
        <f t="array" ref="E701">INDEX(Moves!$B$2:'Moves'!$B$177, SUM(HEX2DEC("89"),1), 1)</f>
        <v>Tackle</v>
      </c>
      <c r="F701" s="41">
        <v>7</v>
      </c>
      <c r="G701" s="12" t="str">
        <f>VLOOKUP(F701, TMHM!$B$10:$C1519, 2, FALSE)</f>
        <v>Secret Power</v>
      </c>
      <c r="H701" s="13">
        <v>4</v>
      </c>
      <c r="I701" s="14" t="str">
        <f>VLOOKUP(H701, TMHM!$B$2:$C$7, 2, FALSE)</f>
        <v>Strength</v>
      </c>
      <c r="J701" s="30"/>
    </row>
    <row r="702" spans="1:10" x14ac:dyDescent="0.2">
      <c r="A702" s="120"/>
      <c r="B702" s="34"/>
      <c r="C702" s="35"/>
      <c r="D702" s="34">
        <f t="shared" si="59"/>
        <v>1</v>
      </c>
      <c r="E702" s="35" t="str">
        <f t="array" ref="E702">INDEX(Moves!$B$2:'Moves'!$B$177, SUM(HEX2DEC("A2"),1), 1)</f>
        <v>Defense Curl</v>
      </c>
      <c r="F702" s="11">
        <v>15</v>
      </c>
      <c r="G702" s="20" t="str">
        <f>VLOOKUP(F702, TMHM!$B$10:$C1519, 2, FALSE)</f>
        <v>Hyper Beam</v>
      </c>
      <c r="H702" s="21"/>
      <c r="I702" s="25"/>
      <c r="J702" s="30"/>
    </row>
    <row r="703" spans="1:10" x14ac:dyDescent="0.2">
      <c r="A703" s="120"/>
      <c r="B703" s="34"/>
      <c r="C703" s="35"/>
      <c r="D703" s="34">
        <f t="shared" si="59"/>
        <v>1</v>
      </c>
      <c r="E703" s="35" t="str">
        <f t="array" ref="E703">INDEX(Moves!$B$2:'Moves'!$B$177, SUM(HEX2DEC("38"),1), 1)</f>
        <v>Rock Throw</v>
      </c>
      <c r="F703" s="11">
        <v>18</v>
      </c>
      <c r="G703" s="20" t="str">
        <f>VLOOKUP(F703, TMHM!$B$10:$C1519, 2, FALSE)</f>
        <v>AncientPower</v>
      </c>
      <c r="H703" s="21"/>
      <c r="I703" s="25"/>
      <c r="J703" s="30"/>
    </row>
    <row r="704" spans="1:10" x14ac:dyDescent="0.2">
      <c r="A704" s="120"/>
      <c r="B704" s="34"/>
      <c r="C704" s="35"/>
      <c r="D704" s="34">
        <f t="shared" si="59"/>
        <v>1</v>
      </c>
      <c r="E704" s="35" t="s">
        <v>111</v>
      </c>
      <c r="F704" s="11">
        <v>20</v>
      </c>
      <c r="G704" s="20" t="str">
        <f>VLOOKUP(F704, TMHM!$B$10:$C1519, 2, FALSE)</f>
        <v>Iron Defense</v>
      </c>
      <c r="H704" s="21"/>
      <c r="I704" s="25"/>
      <c r="J704" s="30"/>
    </row>
    <row r="705" spans="1:10" x14ac:dyDescent="0.2">
      <c r="A705" s="120"/>
      <c r="B705" s="50">
        <f>HEX2DEC("06")</f>
        <v>6</v>
      </c>
      <c r="C705" s="51" t="str">
        <f t="array" ref="C705">INDEX(Moves!$B$2:'Moves'!$B$177, SUM(HEX2DEC("30"),1), 1)</f>
        <v>Mud Slap</v>
      </c>
      <c r="D705" s="50">
        <f>HEX2DEC("06")</f>
        <v>6</v>
      </c>
      <c r="E705" s="51" t="str">
        <f t="array" ref="E705">INDEX(Moves!$B$2:'Moves'!$B$177, SUM(HEX2DEC("A2"),1), 1)</f>
        <v>Defense Curl</v>
      </c>
      <c r="F705" s="11">
        <v>23</v>
      </c>
      <c r="G705" s="20" t="str">
        <f>VLOOKUP(F705, TMHM!$B$10:$C1519, 2, FALSE)</f>
        <v>Iron Tail</v>
      </c>
      <c r="H705" s="21"/>
      <c r="I705" s="25"/>
      <c r="J705" s="30"/>
    </row>
    <row r="706" spans="1:10" x14ac:dyDescent="0.2">
      <c r="A706" s="120"/>
      <c r="B706" s="16">
        <f>HEX2DEC("0B")</f>
        <v>11</v>
      </c>
      <c r="C706" s="17" t="str">
        <f t="array" ref="C706">INDEX(Moves!$B$2:'Moves'!$B$177, SUM(HEX2DEC("38"),1), 1)</f>
        <v>Rock Throw</v>
      </c>
      <c r="D706" s="16">
        <f>HEX2DEC("0B")</f>
        <v>11</v>
      </c>
      <c r="E706" s="17" t="str">
        <f t="array" ref="E706">INDEX(Moves!$B$2:'Moves'!$B$177, SUM(HEX2DEC("38"),1), 1)</f>
        <v>Rock Throw</v>
      </c>
      <c r="F706" s="11">
        <v>26</v>
      </c>
      <c r="G706" s="20" t="str">
        <f>VLOOKUP(F706, TMHM!$B$10:$C1519, 2, FALSE)</f>
        <v>Earthquake</v>
      </c>
      <c r="H706" s="21"/>
      <c r="I706" s="25"/>
      <c r="J706" s="30"/>
    </row>
    <row r="707" spans="1:10" x14ac:dyDescent="0.2">
      <c r="A707" s="120"/>
      <c r="B707" s="48">
        <f>HEX2DEC("10")</f>
        <v>16</v>
      </c>
      <c r="C707" s="23" t="str">
        <f t="array" ref="C707">INDEX(Moves!$B$2:'Moves'!$B$177, SUM(HEX2DEC("3B"),1), 1)</f>
        <v>Rock Slide</v>
      </c>
      <c r="D707" s="48">
        <f>HEX2DEC("10")</f>
        <v>16</v>
      </c>
      <c r="E707" s="23" t="s">
        <v>111</v>
      </c>
      <c r="F707" s="11">
        <v>28</v>
      </c>
      <c r="G707" s="20" t="str">
        <f>VLOOKUP(F707, TMHM!$B$10:$C1519, 2, FALSE)</f>
        <v>Dig</v>
      </c>
      <c r="H707" s="21"/>
      <c r="I707" s="25"/>
      <c r="J707" s="30"/>
    </row>
    <row r="708" spans="1:10" x14ac:dyDescent="0.2">
      <c r="A708" s="120"/>
      <c r="B708" s="16">
        <f>HEX2DEC("15")</f>
        <v>21</v>
      </c>
      <c r="C708" s="17" t="str">
        <f t="array" ref="C708">INDEX(Moves!$B$2:'Moves'!$B$177, SUM(HEX2DEC("98"),1), 1)</f>
        <v>Selfdestruct</v>
      </c>
      <c r="D708" s="16">
        <f>HEX2DEC("15")</f>
        <v>21</v>
      </c>
      <c r="E708" s="17" t="str">
        <f t="array" ref="E708">INDEX(Moves!$B$2:'Moves'!$B$177, SUM(HEX2DEC("98"),1), 1)</f>
        <v>Selfdestruct</v>
      </c>
      <c r="F708" s="11">
        <v>35</v>
      </c>
      <c r="G708" s="20" t="str">
        <f>VLOOKUP(F708, TMHM!$B$10:$C1519, 2, FALSE)</f>
        <v>Harden</v>
      </c>
      <c r="H708" s="21"/>
      <c r="I708" s="25"/>
      <c r="J708" s="30"/>
    </row>
    <row r="709" spans="1:10" x14ac:dyDescent="0.2">
      <c r="A709" s="120"/>
      <c r="B709" s="50">
        <f>HEX2DEC("1B")</f>
        <v>27</v>
      </c>
      <c r="C709" s="51" t="str">
        <f t="array" ref="C709">INDEX(Moves!$B$2:'Moves'!$B$177, SUM(HEX2DEC("39"),1), 1)</f>
        <v>Rock Tomb</v>
      </c>
      <c r="D709" s="50">
        <f>HEX2DEC("1B")</f>
        <v>27</v>
      </c>
      <c r="E709" s="51" t="str">
        <f t="array" ref="E709">INDEX(Moves!$B$2:'Moves'!$B$177, SUM(HEX2DEC("A3"),1), 1)</f>
        <v>Harden</v>
      </c>
      <c r="F709" s="11">
        <v>39</v>
      </c>
      <c r="G709" s="20" t="str">
        <f>VLOOKUP(F709, TMHM!$B$10:$C1519, 2, FALSE)</f>
        <v>Rock Tomb</v>
      </c>
      <c r="H709" s="21"/>
      <c r="I709" s="25"/>
      <c r="J709" s="30"/>
    </row>
    <row r="710" spans="1:10" x14ac:dyDescent="0.2">
      <c r="A710" s="120"/>
      <c r="B710" s="48">
        <f>HEX2DEC("22")</f>
        <v>34</v>
      </c>
      <c r="C710" s="23" t="str">
        <f t="array" ref="C710">INDEX(Moves!$B$2:'Moves'!$B$177, SUM(HEX2DEC("31"),1), 1)</f>
        <v>Mud Shot</v>
      </c>
      <c r="D710" s="48">
        <f>HEX2DEC("22")</f>
        <v>34</v>
      </c>
      <c r="E710" s="23" t="s">
        <v>95</v>
      </c>
      <c r="F710" s="11"/>
      <c r="H710" s="21"/>
      <c r="I710" s="25"/>
      <c r="J710" s="30"/>
    </row>
    <row r="711" spans="1:10" x14ac:dyDescent="0.2">
      <c r="A711" s="120"/>
      <c r="B711" s="16">
        <f>HEX2DEC("29")</f>
        <v>41</v>
      </c>
      <c r="C711" s="17" t="str">
        <f t="array" ref="C711">INDEX(Moves!$B$2:'Moves'!$B$177, SUM(HEX2DEC("34"),1), 1)</f>
        <v>Earthquake</v>
      </c>
      <c r="D711" s="16">
        <f>HEX2DEC("29")</f>
        <v>41</v>
      </c>
      <c r="E711" s="17" t="str">
        <f t="array" ref="E711">INDEX(Moves!$B$2:'Moves'!$B$177, SUM(HEX2DEC("34"),1), 1)</f>
        <v>Earthquake</v>
      </c>
      <c r="F711" s="11"/>
      <c r="H711" s="21"/>
      <c r="I711" s="25"/>
      <c r="J711" s="30"/>
    </row>
    <row r="712" spans="1:10" x14ac:dyDescent="0.2">
      <c r="A712" s="120"/>
      <c r="B712" s="16">
        <f>HEX2DEC("30")</f>
        <v>48</v>
      </c>
      <c r="C712" s="17" t="str">
        <f t="array" ref="C712">INDEX(Moves!$B$2:'Moves'!$B$177, SUM(HEX2DEC("99"),1), 1)</f>
        <v>Explosion</v>
      </c>
      <c r="D712" s="16">
        <f>HEX2DEC("30")</f>
        <v>48</v>
      </c>
      <c r="E712" s="17" t="str">
        <f t="array" ref="E712">INDEX(Moves!$B$2:'Moves'!$B$177, SUM(HEX2DEC("99"),1), 1)</f>
        <v>Explosion</v>
      </c>
      <c r="F712" s="11"/>
      <c r="H712" s="21"/>
      <c r="I712" s="25"/>
      <c r="J712" s="30"/>
    </row>
    <row r="713" spans="1:10" x14ac:dyDescent="0.2">
      <c r="A713" s="121" t="s">
        <v>153</v>
      </c>
      <c r="B713" s="70">
        <f>HEX2DEC("00")</f>
        <v>0</v>
      </c>
      <c r="C713" s="71" t="str">
        <f t="array" ref="C713">INDEX(Moves!$B$2:'Moves'!$B$177, SUM(HEX2DEC("89"),1), 1)</f>
        <v>Tackle</v>
      </c>
      <c r="D713" s="70">
        <f>HEX2DEC("01")</f>
        <v>1</v>
      </c>
      <c r="E713" s="71" t="str">
        <f t="array" ref="E713">INDEX(Moves!$B$2:'Moves'!$B$177, SUM(HEX2DEC("89"),1), 1)</f>
        <v>Tackle</v>
      </c>
      <c r="F713" s="41">
        <v>1</v>
      </c>
      <c r="G713" s="12" t="str">
        <f>VLOOKUP(F713, TMHM!$B$10:$C1519, 2, FALSE)</f>
        <v>Focus Punch</v>
      </c>
      <c r="H713" s="13">
        <v>5</v>
      </c>
      <c r="I713" s="14" t="str">
        <f>VLOOKUP(H713, TMHM!$B$2:$C$7, 2, FALSE)</f>
        <v>Flash</v>
      </c>
      <c r="J713" s="30"/>
    </row>
    <row r="714" spans="1:10" x14ac:dyDescent="0.2">
      <c r="A714" s="120"/>
      <c r="B714" s="16">
        <f>HEX2DEC("04")</f>
        <v>4</v>
      </c>
      <c r="C714" s="17" t="str">
        <f t="array" ref="C714">INDEX(Moves!$B$2:'Moves'!$B$177, SUM(HEX2DEC("A0"),1), 1)</f>
        <v>Growl</v>
      </c>
      <c r="D714" s="16">
        <f>HEX2DEC("04")</f>
        <v>4</v>
      </c>
      <c r="E714" s="17" t="str">
        <f t="array" ref="E714">INDEX(Moves!$B$2:'Moves'!$B$177, SUM(HEX2DEC("A0"),1), 1)</f>
        <v>Growl</v>
      </c>
      <c r="F714" s="11">
        <v>5</v>
      </c>
      <c r="G714" s="20" t="str">
        <f>VLOOKUP(F714, TMHM!$B$10:$C1519, 2, FALSE)</f>
        <v>Roar</v>
      </c>
      <c r="H714" s="21"/>
      <c r="I714" s="25"/>
      <c r="J714" s="30"/>
    </row>
    <row r="715" spans="1:10" x14ac:dyDescent="0.2">
      <c r="A715" s="120"/>
      <c r="B715" s="16">
        <f>HEX2DEC("08")</f>
        <v>8</v>
      </c>
      <c r="C715" s="17" t="str">
        <f t="array" ref="C715">INDEX(Moves!$B$2:'Moves'!$B$177, SUM(HEX2DEC("A4"),1), 1)</f>
        <v>Tail Whip</v>
      </c>
      <c r="D715" s="16">
        <f>HEX2DEC("08")</f>
        <v>8</v>
      </c>
      <c r="E715" s="17" t="str">
        <f t="array" ref="E715">INDEX(Moves!$B$2:'Moves'!$B$177, SUM(HEX2DEC("A4"),1), 1)</f>
        <v>Tail Whip</v>
      </c>
      <c r="F715" s="11">
        <v>21</v>
      </c>
      <c r="G715" s="20" t="str">
        <f>VLOOKUP(F715, TMHM!$B$10:$C1519, 2, FALSE)</f>
        <v>Recover</v>
      </c>
      <c r="H715" s="21"/>
      <c r="I715" s="25"/>
      <c r="J715" s="30"/>
    </row>
    <row r="716" spans="1:10" x14ac:dyDescent="0.2">
      <c r="A716" s="120"/>
      <c r="B716" s="16">
        <f>HEX2DEC("0D")</f>
        <v>13</v>
      </c>
      <c r="C716" s="17" t="str">
        <f t="array" ref="C716">INDEX(Moves!$B$2:'Moves'!$B$177, SUM(HEX2DEC("00"),1), 1)</f>
        <v>Ember</v>
      </c>
      <c r="D716" s="16">
        <f>HEX2DEC("0D")</f>
        <v>13</v>
      </c>
      <c r="E716" s="17" t="str">
        <f t="array" ref="E716">INDEX(Moves!$B$2:'Moves'!$B$177, SUM(HEX2DEC("00"),1), 1)</f>
        <v>Ember</v>
      </c>
      <c r="F716" s="11">
        <v>27</v>
      </c>
      <c r="G716" s="20" t="str">
        <f>VLOOKUP(F716, TMHM!$B$10:$C1519, 2, FALSE)</f>
        <v>Fire Punch</v>
      </c>
      <c r="H716" s="21"/>
      <c r="I716" s="25"/>
      <c r="J716" s="30"/>
    </row>
    <row r="717" spans="1:10" x14ac:dyDescent="0.2">
      <c r="A717" s="120"/>
      <c r="B717" s="48">
        <f>HEX2DEC("13")</f>
        <v>19</v>
      </c>
      <c r="C717" s="23" t="str">
        <f t="array" ref="C717">INDEX(Moves!$B$2:'Moves'!$B$177, SUM(HEX2DEC("91"),1), 1)</f>
        <v>Horn Attack</v>
      </c>
      <c r="D717" s="48">
        <f>HEX2DEC("13")</f>
        <v>19</v>
      </c>
      <c r="E717" s="23" t="s">
        <v>154</v>
      </c>
      <c r="F717" s="11">
        <v>38</v>
      </c>
      <c r="G717" s="20" t="str">
        <f>VLOOKUP(F717, TMHM!$B$10:$C1519, 2, FALSE)</f>
        <v>Fire Blast</v>
      </c>
      <c r="H717" s="21"/>
      <c r="I717" s="25"/>
      <c r="J717" s="30"/>
    </row>
    <row r="718" spans="1:10" x14ac:dyDescent="0.2">
      <c r="A718" s="120"/>
      <c r="B718" s="48">
        <f>HEX2DEC("1A")</f>
        <v>26</v>
      </c>
      <c r="C718" s="23" t="str">
        <f t="array" ref="C718">INDEX(Moves!$B$2:'Moves'!$B$177, SUM(HEX2DEC("03"),1), 1)</f>
        <v>Flamethrower</v>
      </c>
      <c r="D718" s="48">
        <f>HEX2DEC("1A")</f>
        <v>26</v>
      </c>
      <c r="E718" s="23" t="s">
        <v>30</v>
      </c>
      <c r="F718" s="11"/>
      <c r="H718" s="21"/>
      <c r="I718" s="25"/>
      <c r="J718" s="30"/>
    </row>
    <row r="719" spans="1:10" x14ac:dyDescent="0.2">
      <c r="A719" s="120"/>
      <c r="B719" s="48">
        <f>HEX2DEC("22")</f>
        <v>34</v>
      </c>
      <c r="C719" s="23" t="str">
        <f t="array" ref="C719">INDEX(Moves!$B$2:'Moves'!$B$177, SUM(HEX2DEC("96"),1), 1)</f>
        <v>Double-Edge</v>
      </c>
      <c r="D719" s="48">
        <f>HEX2DEC("22")</f>
        <v>34</v>
      </c>
      <c r="E719" s="23" t="s">
        <v>124</v>
      </c>
      <c r="F719" s="11"/>
      <c r="H719" s="21"/>
      <c r="I719" s="25"/>
      <c r="J719" s="30"/>
    </row>
    <row r="720" spans="1:10" x14ac:dyDescent="0.2">
      <c r="A720" s="120"/>
      <c r="B720" s="16">
        <f>HEX2DEC("2B")</f>
        <v>43</v>
      </c>
      <c r="C720" s="17" t="str">
        <f t="array" ref="C720">INDEX(Moves!$B$2:'Moves'!$B$177, SUM(HEX2DEC("71"),1), 1)</f>
        <v>Agility</v>
      </c>
      <c r="D720" s="16">
        <f>HEX2DEC("2B")</f>
        <v>43</v>
      </c>
      <c r="E720" s="17" t="str">
        <f t="array" ref="E720">INDEX(Moves!$B$2:'Moves'!$B$177, SUM(HEX2DEC("71"),1), 1)</f>
        <v>Agility</v>
      </c>
      <c r="F720" s="11"/>
      <c r="H720" s="21"/>
      <c r="I720" s="25"/>
      <c r="J720" s="30"/>
    </row>
    <row r="721" spans="1:10" x14ac:dyDescent="0.2">
      <c r="A721" s="120"/>
      <c r="B721" s="16">
        <f>HEX2DEC("35")</f>
        <v>53</v>
      </c>
      <c r="C721" s="17" t="str">
        <f t="array" ref="C721">INDEX(Moves!$B$2:'Moves'!$B$177, SUM(HEX2DEC("05"),1), 1)</f>
        <v>Fire Blast</v>
      </c>
      <c r="D721" s="16">
        <f>HEX2DEC("35")</f>
        <v>53</v>
      </c>
      <c r="E721" s="17" t="str">
        <f t="array" ref="E721">INDEX(Moves!$B$2:'Moves'!$B$177, SUM(HEX2DEC("05"),1), 1)</f>
        <v>Fire Blast</v>
      </c>
      <c r="F721" s="11"/>
      <c r="H721" s="21"/>
      <c r="I721" s="25"/>
      <c r="J721" s="30"/>
    </row>
    <row r="722" spans="1:10" x14ac:dyDescent="0.2">
      <c r="A722" s="121" t="s">
        <v>155</v>
      </c>
      <c r="B722" s="64">
        <f>HEX2DEC("00")</f>
        <v>0</v>
      </c>
      <c r="C722" s="65" t="str">
        <f t="array" ref="C722">INDEX(Moves!$B$2:'Moves'!$B$177, SUM(HEX2DEC("A0"),1), 1)</f>
        <v>Growl</v>
      </c>
      <c r="D722" s="64">
        <f t="shared" ref="D722:D725" si="60">HEX2DEC("01")</f>
        <v>1</v>
      </c>
      <c r="E722" s="65" t="str">
        <f t="array" ref="E722">INDEX(Moves!$B$2:'Moves'!$B$177, SUM(HEX2DEC("89"),1), 1)</f>
        <v>Tackle</v>
      </c>
      <c r="F722" s="41">
        <v>1</v>
      </c>
      <c r="G722" s="12" t="str">
        <f>VLOOKUP(F722, TMHM!$B$10:$C1519, 2, FALSE)</f>
        <v>Focus Punch</v>
      </c>
      <c r="H722" s="13">
        <v>5</v>
      </c>
      <c r="I722" s="14" t="str">
        <f>VLOOKUP(H722, TMHM!$B$2:$C$7, 2, FALSE)</f>
        <v>Flash</v>
      </c>
      <c r="J722" s="30"/>
    </row>
    <row r="723" spans="1:10" x14ac:dyDescent="0.2">
      <c r="A723" s="120"/>
      <c r="B723" s="34"/>
      <c r="C723" s="35"/>
      <c r="D723" s="34">
        <f t="shared" si="60"/>
        <v>1</v>
      </c>
      <c r="E723" s="35" t="str">
        <f t="array" ref="E723">INDEX(Moves!$B$2:'Moves'!$B$177, SUM(HEX2DEC("A0"),1), 1)</f>
        <v>Growl</v>
      </c>
      <c r="F723" s="11">
        <v>5</v>
      </c>
      <c r="G723" s="20" t="str">
        <f>VLOOKUP(F723, TMHM!$B$10:$C1519, 2, FALSE)</f>
        <v>Roar</v>
      </c>
      <c r="H723" s="21"/>
      <c r="I723" s="25"/>
      <c r="J723" s="30"/>
    </row>
    <row r="724" spans="1:10" x14ac:dyDescent="0.2">
      <c r="A724" s="120"/>
      <c r="B724" s="34"/>
      <c r="C724" s="35"/>
      <c r="D724" s="34">
        <f t="shared" si="60"/>
        <v>1</v>
      </c>
      <c r="E724" s="35" t="str">
        <f t="array" ref="E724">INDEX(Moves!$B$2:'Moves'!$B$177, SUM(HEX2DEC("A4"),1), 1)</f>
        <v>Tail Whip</v>
      </c>
      <c r="F724" s="11">
        <v>21</v>
      </c>
      <c r="G724" s="20" t="str">
        <f>VLOOKUP(F724, TMHM!$B$10:$C1519, 2, FALSE)</f>
        <v>Recover</v>
      </c>
      <c r="H724" s="21"/>
      <c r="I724" s="25"/>
      <c r="J724" s="30"/>
    </row>
    <row r="725" spans="1:10" x14ac:dyDescent="0.2">
      <c r="A725" s="120"/>
      <c r="B725" s="34"/>
      <c r="C725" s="35"/>
      <c r="D725" s="34">
        <f t="shared" si="60"/>
        <v>1</v>
      </c>
      <c r="E725" s="35" t="str">
        <f t="array" ref="E725">INDEX(Moves!$B$2:'Moves'!$B$177, SUM(HEX2DEC("00"),1), 1)</f>
        <v>Ember</v>
      </c>
      <c r="F725" s="11">
        <v>27</v>
      </c>
      <c r="G725" s="20" t="str">
        <f>VLOOKUP(F725, TMHM!$B$10:$C1519, 2, FALSE)</f>
        <v>Fire Punch</v>
      </c>
      <c r="H725" s="21"/>
      <c r="I725" s="25"/>
      <c r="J725" s="30"/>
    </row>
    <row r="726" spans="1:10" x14ac:dyDescent="0.2">
      <c r="A726" s="120"/>
      <c r="B726" s="34"/>
      <c r="C726" s="35"/>
      <c r="D726" s="34">
        <f>HEX2DEC("04")</f>
        <v>4</v>
      </c>
      <c r="E726" s="35" t="str">
        <f t="array" ref="E726">INDEX(Moves!$B$2:'Moves'!$B$177, SUM(HEX2DEC("A0"),1), 1)</f>
        <v>Growl</v>
      </c>
      <c r="F726" s="11">
        <v>38</v>
      </c>
      <c r="G726" s="20" t="str">
        <f>VLOOKUP(F726, TMHM!$B$10:$C1519, 2, FALSE)</f>
        <v>Fire Blast</v>
      </c>
      <c r="H726" s="21"/>
      <c r="I726" s="25"/>
      <c r="J726" s="30"/>
    </row>
    <row r="727" spans="1:10" x14ac:dyDescent="0.2">
      <c r="A727" s="120"/>
      <c r="B727" s="50">
        <f>HEX2DEC("08")</f>
        <v>8</v>
      </c>
      <c r="C727" s="51" t="str">
        <f t="array" ref="C727">INDEX(Moves!$B$2:'Moves'!$B$177, SUM(HEX2DEC("02"),1), 1)</f>
        <v>Fire Punch</v>
      </c>
      <c r="D727" s="50">
        <f>HEX2DEC("08")</f>
        <v>8</v>
      </c>
      <c r="E727" s="51" t="str">
        <f t="array" ref="E727">INDEX(Moves!$B$2:'Moves'!$B$177, SUM(HEX2DEC("A4"),1), 1)</f>
        <v>Tail Whip</v>
      </c>
      <c r="F727" s="11"/>
      <c r="H727" s="21"/>
      <c r="I727" s="25"/>
      <c r="J727" s="30" t="s">
        <v>156</v>
      </c>
    </row>
    <row r="728" spans="1:10" x14ac:dyDescent="0.2">
      <c r="A728" s="120"/>
      <c r="B728" s="73">
        <f>HEX2DEC("0D")</f>
        <v>13</v>
      </c>
      <c r="C728" s="76" t="str">
        <f t="array" ref="C728">INDEX(Moves!$B$2:'Moves'!$B$177, SUM(HEX2DEC("00"),1), 1)</f>
        <v>Ember</v>
      </c>
      <c r="D728" s="16">
        <f>HEX2DEC("0D")</f>
        <v>13</v>
      </c>
      <c r="E728" s="17" t="str">
        <f t="array" ref="E728">INDEX(Moves!$B$2:'Moves'!$B$177, SUM(HEX2DEC("00"),1), 1)</f>
        <v>Ember</v>
      </c>
      <c r="F728" s="11"/>
      <c r="H728" s="21"/>
      <c r="I728" s="25"/>
      <c r="J728" s="30"/>
    </row>
    <row r="729" spans="1:10" x14ac:dyDescent="0.2">
      <c r="A729" s="120"/>
      <c r="B729" s="48">
        <f>HEX2DEC("13")</f>
        <v>19</v>
      </c>
      <c r="C729" s="23" t="str">
        <f t="array" ref="C729">INDEX(Moves!$B$2:'Moves'!$B$177, SUM(HEX2DEC("91"),1), 1)</f>
        <v>Horn Attack</v>
      </c>
      <c r="D729" s="48">
        <f>HEX2DEC("13")</f>
        <v>19</v>
      </c>
      <c r="E729" s="23" t="s">
        <v>154</v>
      </c>
      <c r="F729" s="11"/>
      <c r="H729" s="21"/>
      <c r="I729" s="25"/>
      <c r="J729" s="30"/>
    </row>
    <row r="730" spans="1:10" x14ac:dyDescent="0.2">
      <c r="A730" s="120"/>
      <c r="B730" s="48">
        <f>HEX2DEC("1A")</f>
        <v>26</v>
      </c>
      <c r="C730" s="23" t="str">
        <f t="array" ref="C730">INDEX(Moves!$B$2:'Moves'!$B$177, SUM(HEX2DEC("03"),1), 1)</f>
        <v>Flamethrower</v>
      </c>
      <c r="D730" s="48">
        <f>HEX2DEC("1A")</f>
        <v>26</v>
      </c>
      <c r="E730" s="23" t="s">
        <v>30</v>
      </c>
      <c r="F730" s="11"/>
      <c r="H730" s="21"/>
      <c r="I730" s="25"/>
      <c r="J730" s="30"/>
    </row>
    <row r="731" spans="1:10" x14ac:dyDescent="0.2">
      <c r="A731" s="120"/>
      <c r="B731" s="48">
        <f>HEX2DEC("22")</f>
        <v>34</v>
      </c>
      <c r="C731" s="23" t="str">
        <f t="array" ref="C731">INDEX(Moves!$B$2:'Moves'!$B$177, SUM(HEX2DEC("96"),1), 1)</f>
        <v>Double-Edge</v>
      </c>
      <c r="D731" s="48">
        <f>HEX2DEC("22")</f>
        <v>34</v>
      </c>
      <c r="E731" s="23" t="s">
        <v>124</v>
      </c>
      <c r="F731" s="11"/>
      <c r="H731" s="21"/>
      <c r="I731" s="25"/>
      <c r="J731" s="30"/>
    </row>
    <row r="732" spans="1:10" x14ac:dyDescent="0.2">
      <c r="A732" s="120"/>
      <c r="B732" s="48">
        <f>HEX2DEC("28")</f>
        <v>40</v>
      </c>
      <c r="C732" s="23" t="str">
        <f t="array" ref="C732">INDEX(Moves!$B$2:'Moves'!$B$177, SUM(HEX2DEC("92"),1), 1)</f>
        <v>Crush Claw</v>
      </c>
      <c r="D732" s="48">
        <f>HEX2DEC("28")</f>
        <v>40</v>
      </c>
      <c r="E732" s="23" t="s">
        <v>48</v>
      </c>
      <c r="F732" s="11"/>
      <c r="H732" s="21"/>
      <c r="I732" s="25"/>
      <c r="J732" s="30"/>
    </row>
    <row r="733" spans="1:10" x14ac:dyDescent="0.2">
      <c r="A733" s="120"/>
      <c r="B733" s="73">
        <f>HEX2DEC("2F")</f>
        <v>47</v>
      </c>
      <c r="C733" s="76" t="str">
        <f t="array" ref="C733">INDEX(Moves!$B$2:'Moves'!$B$177, SUM(HEX2DEC("71"),1), 1)</f>
        <v>Agility</v>
      </c>
      <c r="D733" s="16">
        <f>HEX2DEC("2F")</f>
        <v>47</v>
      </c>
      <c r="E733" s="17" t="str">
        <f t="array" ref="E733">INDEX(Moves!$B$2:'Moves'!$B$177, SUM(HEX2DEC("71"),1), 1)</f>
        <v>Agility</v>
      </c>
      <c r="F733" s="11"/>
      <c r="H733" s="21"/>
      <c r="I733" s="25"/>
      <c r="J733" s="30"/>
    </row>
    <row r="734" spans="1:10" x14ac:dyDescent="0.2">
      <c r="A734" s="120"/>
      <c r="B734" s="73">
        <f>HEX2DEC("3D")</f>
        <v>61</v>
      </c>
      <c r="C734" s="76" t="str">
        <f t="array" ref="C734">INDEX(Moves!$B$2:'Moves'!$B$177, SUM(HEX2DEC("05"),1), 1)</f>
        <v>Fire Blast</v>
      </c>
      <c r="D734" s="16">
        <f>HEX2DEC("3D")</f>
        <v>61</v>
      </c>
      <c r="E734" s="17" t="str">
        <f t="array" ref="E734">INDEX(Moves!$B$2:'Moves'!$B$177, SUM(HEX2DEC("05"),1), 1)</f>
        <v>Fire Blast</v>
      </c>
      <c r="F734" s="11"/>
      <c r="H734" s="21"/>
      <c r="I734" s="25"/>
      <c r="J734" s="30"/>
    </row>
    <row r="735" spans="1:10" x14ac:dyDescent="0.2">
      <c r="A735" s="121" t="s">
        <v>157</v>
      </c>
      <c r="B735" s="79"/>
      <c r="C735" s="80"/>
      <c r="D735" s="79">
        <f t="shared" ref="D735:D736" si="61">HEX2DEC("01")</f>
        <v>1</v>
      </c>
      <c r="E735" s="80" t="s">
        <v>158</v>
      </c>
      <c r="F735" s="41">
        <v>3</v>
      </c>
      <c r="G735" s="12" t="str">
        <f>VLOOKUP(F735, TMHM!$B$10:$C1519, 2, FALSE)</f>
        <v>Water Pulse</v>
      </c>
      <c r="H735" s="13">
        <v>3</v>
      </c>
      <c r="I735" s="14" t="str">
        <f>VLOOKUP(H735, TMHM!$B$2:$C$7, 2, FALSE)</f>
        <v>Surf</v>
      </c>
      <c r="J735" s="30"/>
    </row>
    <row r="736" spans="1:10" x14ac:dyDescent="0.2">
      <c r="A736" s="120"/>
      <c r="B736" s="77">
        <f>HEX2DEC("00")</f>
        <v>0</v>
      </c>
      <c r="C736" s="74" t="str">
        <f t="array" ref="C736">INDEX(Moves!$B$2:'Moves'!$B$177, SUM(HEX2DEC("89"),1), 1)</f>
        <v>Tackle</v>
      </c>
      <c r="D736" s="77">
        <f t="shared" si="61"/>
        <v>1</v>
      </c>
      <c r="E736" s="74" t="str">
        <f t="array" ref="E736">INDEX(Moves!$B$2:'Moves'!$B$177, SUM(HEX2DEC("89"),1), 1)</f>
        <v>Tackle</v>
      </c>
      <c r="F736" s="11">
        <v>8</v>
      </c>
      <c r="G736" s="20" t="str">
        <f>VLOOKUP(F736, TMHM!$B$10:$C1519, 2, FALSE)</f>
        <v>Charm</v>
      </c>
      <c r="H736" s="21">
        <v>4</v>
      </c>
      <c r="I736" s="20" t="str">
        <f>VLOOKUP(H736, TMHM!$B$2:$C$7, 2, FALSE)</f>
        <v>Strength</v>
      </c>
      <c r="J736" s="30"/>
    </row>
    <row r="737" spans="1:10" x14ac:dyDescent="0.2">
      <c r="A737" s="120"/>
      <c r="B737" s="77">
        <f>HEX2DEC("06")</f>
        <v>6</v>
      </c>
      <c r="C737" s="74" t="str">
        <f t="array" ref="C737">INDEX(Moves!$B$2:'Moves'!$B$177, SUM(HEX2DEC("A0"),1), 1)</f>
        <v>Growl</v>
      </c>
      <c r="D737" s="77">
        <f>HEX2DEC("06")</f>
        <v>6</v>
      </c>
      <c r="E737" s="74" t="str">
        <f t="array" ref="E737">INDEX(Moves!$B$2:'Moves'!$B$177, SUM(HEX2DEC("A0"),1), 1)</f>
        <v>Growl</v>
      </c>
      <c r="F737" s="11">
        <v>11</v>
      </c>
      <c r="G737" s="20" t="str">
        <f>VLOOKUP(F737, TMHM!$B$10:$C1519, 2, FALSE)</f>
        <v>Bubblebeam</v>
      </c>
      <c r="H737" s="21"/>
      <c r="I737" s="25"/>
      <c r="J737" s="30"/>
    </row>
    <row r="738" spans="1:10" x14ac:dyDescent="0.2">
      <c r="A738" s="120"/>
      <c r="B738" s="77">
        <f>HEX2DEC("0F")</f>
        <v>15</v>
      </c>
      <c r="C738" s="74" t="str">
        <f t="array" ref="C738">INDEX(Moves!$B$2:'Moves'!$B$177, SUM(HEX2DEC("09"),1), 1)</f>
        <v>Water Gun</v>
      </c>
      <c r="D738" s="77">
        <f>HEX2DEC("0F")</f>
        <v>15</v>
      </c>
      <c r="E738" s="74" t="str">
        <f t="array" ref="E738">INDEX(Moves!$B$2:'Moves'!$B$177, SUM(HEX2DEC("09"),1), 1)</f>
        <v>Water Gun</v>
      </c>
      <c r="F738" s="11">
        <v>13</v>
      </c>
      <c r="G738" s="20" t="str">
        <f>VLOOKUP(F738, TMHM!$B$10:$C1519, 2, FALSE)</f>
        <v>Ice Beam</v>
      </c>
      <c r="H738" s="21"/>
      <c r="I738" s="25"/>
      <c r="J738" s="30"/>
    </row>
    <row r="739" spans="1:10" x14ac:dyDescent="0.2">
      <c r="A739" s="120"/>
      <c r="B739" s="77">
        <f>HEX2DEC("14")</f>
        <v>20</v>
      </c>
      <c r="C739" s="74" t="str">
        <f t="array" ref="C739">INDEX(Moves!$B$2:'Moves'!$B$177, SUM(HEX2DEC("65"),1), 1)</f>
        <v>Confusion</v>
      </c>
      <c r="D739" s="77">
        <f>HEX2DEC("14")</f>
        <v>20</v>
      </c>
      <c r="E739" s="74" t="str">
        <f t="array" ref="E739">INDEX(Moves!$B$2:'Moves'!$B$177, SUM(HEX2DEC("65"),1), 1)</f>
        <v>Confusion</v>
      </c>
      <c r="F739" s="11">
        <v>21</v>
      </c>
      <c r="G739" s="20" t="str">
        <f>VLOOKUP(F739, TMHM!$B$10:$C1519, 2, FALSE)</f>
        <v>Recover</v>
      </c>
      <c r="H739" s="21"/>
      <c r="I739" s="25"/>
      <c r="J739" s="30"/>
    </row>
    <row r="740" spans="1:10" x14ac:dyDescent="0.2">
      <c r="A740" s="120"/>
      <c r="B740" s="81">
        <f>HEX2DEC("1D")</f>
        <v>29</v>
      </c>
      <c r="C740" s="39" t="str">
        <f t="array" ref="C740">INDEX(Moves!$B$2:'Moves'!$B$177, SUM(HEX2DEC("66"),1), 1)</f>
        <v>Psybeam</v>
      </c>
      <c r="D740" s="81">
        <f>HEX2DEC("1D")</f>
        <v>29</v>
      </c>
      <c r="E740" s="39" t="s">
        <v>94</v>
      </c>
      <c r="F740" s="11">
        <v>32</v>
      </c>
      <c r="G740" s="20" t="str">
        <f>VLOOKUP(F740, TMHM!$B$10:$C1519, 2, FALSE)</f>
        <v>Double Team</v>
      </c>
      <c r="H740" s="21"/>
      <c r="I740" s="25"/>
      <c r="J740" s="30"/>
    </row>
    <row r="741" spans="1:10" x14ac:dyDescent="0.2">
      <c r="A741" s="120"/>
      <c r="B741" s="81">
        <f>HEX2DEC("22")</f>
        <v>34</v>
      </c>
      <c r="C741" s="39" t="str">
        <f t="array" ref="C741">INDEX(Moves!$B$2:'Moves'!$B$177, SUM(HEX2DEC("46"),1), 1)</f>
        <v>Poison Tail</v>
      </c>
      <c r="D741" s="81">
        <f>HEX2DEC("22")</f>
        <v>34</v>
      </c>
      <c r="E741" s="39" t="s">
        <v>159</v>
      </c>
      <c r="F741" s="11">
        <v>35</v>
      </c>
      <c r="G741" s="20" t="str">
        <f>VLOOKUP(F741, TMHM!$B$10:$C1519, 2, FALSE)</f>
        <v>Harden</v>
      </c>
      <c r="H741" s="21"/>
      <c r="I741" s="25"/>
      <c r="J741" s="30"/>
    </row>
    <row r="742" spans="1:10" x14ac:dyDescent="0.2">
      <c r="A742" s="120"/>
      <c r="B742" s="81">
        <f>HEX2DEC("2B")</f>
        <v>43</v>
      </c>
      <c r="C742" s="39" t="str">
        <f t="array" ref="C742">INDEX(Moves!$B$2:'Moves'!$B$177, SUM(HEX2DEC("70"),1), 1)</f>
        <v>Calm Mind</v>
      </c>
      <c r="D742" s="81">
        <f>HEX2DEC("2B")</f>
        <v>43</v>
      </c>
      <c r="E742" s="39" t="s">
        <v>160</v>
      </c>
      <c r="F742" s="11"/>
      <c r="H742" s="21"/>
      <c r="I742" s="25"/>
      <c r="J742" s="30"/>
    </row>
    <row r="743" spans="1:10" x14ac:dyDescent="0.2">
      <c r="A743" s="120"/>
      <c r="B743" s="77">
        <f>HEX2DEC("30")</f>
        <v>48</v>
      </c>
      <c r="C743" s="74" t="str">
        <f t="array" ref="C743">INDEX(Moves!$B$2:'Moves'!$B$177, SUM(HEX2DEC("6A"),1), 1)</f>
        <v>Psychic</v>
      </c>
      <c r="D743" s="77">
        <f>HEX2DEC("30")</f>
        <v>48</v>
      </c>
      <c r="E743" s="74" t="str">
        <f t="array" ref="E743">INDEX(Moves!$B$2:'Moves'!$B$177, SUM(HEX2DEC("6A"),1), 1)</f>
        <v>Psychic</v>
      </c>
      <c r="F743" s="11"/>
      <c r="H743" s="21"/>
      <c r="I743" s="25"/>
      <c r="J743" s="30"/>
    </row>
    <row r="744" spans="1:10" x14ac:dyDescent="0.2">
      <c r="A744" s="121" t="s">
        <v>161</v>
      </c>
      <c r="B744" s="79"/>
      <c r="C744" s="80"/>
      <c r="D744" s="79">
        <f t="shared" ref="D744:D747" si="62">HEX2DEC("01")</f>
        <v>1</v>
      </c>
      <c r="E744" s="80" t="s">
        <v>158</v>
      </c>
      <c r="F744" s="41">
        <v>3</v>
      </c>
      <c r="G744" s="12" t="str">
        <f>VLOOKUP(F744, TMHM!$B$10:$C1519, 2, FALSE)</f>
        <v>Water Pulse</v>
      </c>
      <c r="H744" s="13">
        <v>3</v>
      </c>
      <c r="I744" s="14" t="str">
        <f>VLOOKUP(H744, TMHM!$B$2:$C$7, 2, FALSE)</f>
        <v>Surf</v>
      </c>
      <c r="J744" s="30"/>
    </row>
    <row r="745" spans="1:10" x14ac:dyDescent="0.2">
      <c r="A745" s="120"/>
      <c r="B745" s="77">
        <f>HEX2DEC("00")</f>
        <v>0</v>
      </c>
      <c r="C745" s="74" t="str">
        <f t="array" ref="C745">INDEX(Moves!$B$2:'Moves'!$B$177, SUM(HEX2DEC("89"),1), 1)</f>
        <v>Tackle</v>
      </c>
      <c r="D745" s="77">
        <f t="shared" si="62"/>
        <v>1</v>
      </c>
      <c r="E745" s="74" t="str">
        <f t="array" ref="E745">INDEX(Moves!$B$2:'Moves'!$B$177, SUM(HEX2DEC("89"),1), 1)</f>
        <v>Tackle</v>
      </c>
      <c r="F745" s="11">
        <v>8</v>
      </c>
      <c r="G745" s="20" t="str">
        <f>VLOOKUP(F745, TMHM!$B$10:$C1519, 2, FALSE)</f>
        <v>Charm</v>
      </c>
      <c r="H745" s="21">
        <v>4</v>
      </c>
      <c r="I745" s="20" t="str">
        <f>VLOOKUP(H745, TMHM!$B$2:$C$7, 2, FALSE)</f>
        <v>Strength</v>
      </c>
      <c r="J745" s="30"/>
    </row>
    <row r="746" spans="1:10" x14ac:dyDescent="0.2">
      <c r="A746" s="120"/>
      <c r="B746" s="58"/>
      <c r="C746" s="37"/>
      <c r="D746" s="58">
        <f t="shared" si="62"/>
        <v>1</v>
      </c>
      <c r="E746" s="37" t="str">
        <f t="array" ref="E746">INDEX(Moves!$B$2:'Moves'!$B$177, SUM(HEX2DEC("A0"),1), 1)</f>
        <v>Growl</v>
      </c>
      <c r="F746" s="11">
        <v>11</v>
      </c>
      <c r="G746" s="20" t="str">
        <f>VLOOKUP(F746, TMHM!$B$10:$C1519, 2, FALSE)</f>
        <v>Bubblebeam</v>
      </c>
      <c r="H746" s="21"/>
      <c r="I746" s="25"/>
      <c r="J746" s="30"/>
    </row>
    <row r="747" spans="1:10" x14ac:dyDescent="0.2">
      <c r="A747" s="120"/>
      <c r="B747" s="58"/>
      <c r="C747" s="37"/>
      <c r="D747" s="58">
        <f t="shared" si="62"/>
        <v>1</v>
      </c>
      <c r="E747" s="37" t="str">
        <f t="array" ref="E747">INDEX(Moves!$B$2:'Moves'!$B$177, SUM(HEX2DEC("09"),1), 1)</f>
        <v>Water Gun</v>
      </c>
      <c r="F747" s="11">
        <v>13</v>
      </c>
      <c r="G747" s="20" t="str">
        <f>VLOOKUP(F747, TMHM!$B$10:$C1519, 2, FALSE)</f>
        <v>Ice Beam</v>
      </c>
      <c r="H747" s="21"/>
      <c r="I747" s="25"/>
      <c r="J747" s="30"/>
    </row>
    <row r="748" spans="1:10" x14ac:dyDescent="0.2">
      <c r="A748" s="120"/>
      <c r="B748" s="77">
        <f>HEX2DEC("06")</f>
        <v>6</v>
      </c>
      <c r="C748" s="74" t="str">
        <f t="array" ref="C748">INDEX(Moves!$B$2:'Moves'!$B$177, SUM(HEX2DEC("A0"),1), 1)</f>
        <v>Growl</v>
      </c>
      <c r="D748" s="77">
        <f>HEX2DEC("06")</f>
        <v>6</v>
      </c>
      <c r="E748" s="74" t="str">
        <f t="array" ref="E748">INDEX(Moves!$B$2:'Moves'!$B$177, SUM(HEX2DEC("A0"),1), 1)</f>
        <v>Growl</v>
      </c>
      <c r="F748" s="11">
        <v>21</v>
      </c>
      <c r="G748" s="20" t="str">
        <f>VLOOKUP(F748, TMHM!$B$10:$C1519, 2, FALSE)</f>
        <v>Recover</v>
      </c>
      <c r="H748" s="21"/>
      <c r="I748" s="25"/>
      <c r="J748" s="30"/>
    </row>
    <row r="749" spans="1:10" x14ac:dyDescent="0.2">
      <c r="A749" s="120"/>
      <c r="B749" s="77">
        <f>HEX2DEC("0F")</f>
        <v>15</v>
      </c>
      <c r="C749" s="74" t="str">
        <f t="array" ref="C749">INDEX(Moves!$B$2:'Moves'!$B$177, SUM(HEX2DEC("09"),1), 1)</f>
        <v>Water Gun</v>
      </c>
      <c r="D749" s="77">
        <f>HEX2DEC("0F")</f>
        <v>15</v>
      </c>
      <c r="E749" s="74" t="str">
        <f t="array" ref="E749">INDEX(Moves!$B$2:'Moves'!$B$177, SUM(HEX2DEC("09"),1), 1)</f>
        <v>Water Gun</v>
      </c>
      <c r="F749" s="11">
        <v>32</v>
      </c>
      <c r="G749" s="20" t="str">
        <f>VLOOKUP(F749, TMHM!$B$10:$C1519, 2, FALSE)</f>
        <v>Double Team</v>
      </c>
      <c r="H749" s="21"/>
      <c r="I749" s="25"/>
      <c r="J749" s="30"/>
    </row>
    <row r="750" spans="1:10" x14ac:dyDescent="0.2">
      <c r="A750" s="120"/>
      <c r="B750" s="77">
        <f>HEX2DEC("14")</f>
        <v>20</v>
      </c>
      <c r="C750" s="74" t="str">
        <f t="array" ref="C750">INDEX(Moves!$B$2:'Moves'!$B$177, SUM(HEX2DEC("65"),1), 1)</f>
        <v>Confusion</v>
      </c>
      <c r="D750" s="77">
        <f>HEX2DEC("14")</f>
        <v>20</v>
      </c>
      <c r="E750" s="74" t="str">
        <f t="array" ref="E750">INDEX(Moves!$B$2:'Moves'!$B$177, SUM(HEX2DEC("65"),1), 1)</f>
        <v>Confusion</v>
      </c>
      <c r="F750" s="11">
        <v>35</v>
      </c>
      <c r="G750" s="20" t="str">
        <f>VLOOKUP(F750, TMHM!$B$10:$C1519, 2, FALSE)</f>
        <v>Harden</v>
      </c>
      <c r="H750" s="21"/>
      <c r="I750" s="25"/>
      <c r="J750" s="30"/>
    </row>
    <row r="751" spans="1:10" x14ac:dyDescent="0.2">
      <c r="A751" s="120"/>
      <c r="B751" s="81">
        <f>HEX2DEC("1D")</f>
        <v>29</v>
      </c>
      <c r="C751" s="39" t="str">
        <f t="array" ref="C751">INDEX(Moves!$B$2:'Moves'!$B$177, SUM(HEX2DEC("66"),1), 1)</f>
        <v>Psybeam</v>
      </c>
      <c r="D751" s="81">
        <f>HEX2DEC("1D")</f>
        <v>29</v>
      </c>
      <c r="E751" s="39" t="s">
        <v>94</v>
      </c>
      <c r="F751" s="11"/>
      <c r="H751" s="21"/>
      <c r="I751" s="25"/>
      <c r="J751" s="30"/>
    </row>
    <row r="752" spans="1:10" x14ac:dyDescent="0.2">
      <c r="A752" s="120"/>
      <c r="B752" s="81">
        <f>HEX2DEC("22")</f>
        <v>34</v>
      </c>
      <c r="C752" s="39" t="str">
        <f t="array" ref="C752">INDEX(Moves!$B$2:'Moves'!$B$177, SUM(HEX2DEC("46"),1), 1)</f>
        <v>Poison Tail</v>
      </c>
      <c r="D752" s="81">
        <f>HEX2DEC("22")</f>
        <v>34</v>
      </c>
      <c r="E752" s="39" t="s">
        <v>159</v>
      </c>
      <c r="F752" s="11"/>
      <c r="H752" s="21"/>
      <c r="I752" s="25"/>
      <c r="J752" s="30"/>
    </row>
    <row r="753" spans="1:10" x14ac:dyDescent="0.2">
      <c r="A753" s="120"/>
      <c r="B753" s="77">
        <f>HEX2DEC("25")</f>
        <v>37</v>
      </c>
      <c r="C753" s="74" t="str">
        <f t="array" ref="C753">INDEX(Moves!$B$2:'Moves'!$B$177, SUM(HEX2DEC("12"),1), 1)</f>
        <v>Withdraw</v>
      </c>
      <c r="D753" s="77">
        <f>HEX2DEC("25")</f>
        <v>37</v>
      </c>
      <c r="E753" s="74" t="str">
        <f t="array" ref="E753">INDEX(Moves!$B$2:'Moves'!$B$177, SUM(HEX2DEC("12"),1), 1)</f>
        <v>Withdraw</v>
      </c>
      <c r="F753" s="11"/>
      <c r="H753" s="21"/>
      <c r="I753" s="25"/>
      <c r="J753" s="30"/>
    </row>
    <row r="754" spans="1:10" x14ac:dyDescent="0.2">
      <c r="A754" s="120"/>
      <c r="B754" s="81">
        <f>HEX2DEC("2E")</f>
        <v>46</v>
      </c>
      <c r="C754" s="39" t="str">
        <f t="array" ref="C754">INDEX(Moves!$B$2:'Moves'!$B$177, SUM(HEX2DEC("70"),1), 1)</f>
        <v>Calm Mind</v>
      </c>
      <c r="D754" s="81">
        <f>HEX2DEC("2E")</f>
        <v>46</v>
      </c>
      <c r="E754" s="39" t="s">
        <v>160</v>
      </c>
      <c r="F754" s="11"/>
      <c r="H754" s="21"/>
      <c r="I754" s="25"/>
      <c r="J754" s="30"/>
    </row>
    <row r="755" spans="1:10" x14ac:dyDescent="0.2">
      <c r="A755" s="120"/>
      <c r="B755" s="77">
        <f>HEX2DEC("36")</f>
        <v>54</v>
      </c>
      <c r="C755" s="74" t="str">
        <f t="array" ref="C755">INDEX(Moves!$B$2:'Moves'!$B$177, SUM(HEX2DEC("6A"),1), 1)</f>
        <v>Psychic</v>
      </c>
      <c r="D755" s="77">
        <f>HEX2DEC("36")</f>
        <v>54</v>
      </c>
      <c r="E755" s="74" t="str">
        <f t="array" ref="E755">INDEX(Moves!$B$2:'Moves'!$B$177, SUM(HEX2DEC("6A"),1), 1)</f>
        <v>Psychic</v>
      </c>
      <c r="F755" s="11"/>
      <c r="H755" s="21"/>
      <c r="I755" s="25"/>
      <c r="J755" s="30"/>
    </row>
    <row r="756" spans="1:10" x14ac:dyDescent="0.2">
      <c r="A756" s="121" t="s">
        <v>162</v>
      </c>
      <c r="B756" s="70">
        <f>HEX2DEC("00")</f>
        <v>0</v>
      </c>
      <c r="C756" s="71" t="str">
        <f t="array" ref="C756">INDEX(Moves!$B$2:'Moves'!$B$177, SUM(HEX2DEC("89"),1), 1)</f>
        <v>Tackle</v>
      </c>
      <c r="D756" s="70">
        <f>HEX2DEC("01")</f>
        <v>1</v>
      </c>
      <c r="E756" s="71" t="str">
        <f t="array" ref="E756">INDEX(Moves!$B$2:'Moves'!$B$177, SUM(HEX2DEC("89"),1), 1)</f>
        <v>Tackle</v>
      </c>
      <c r="F756" s="41">
        <v>4</v>
      </c>
      <c r="G756" s="12" t="str">
        <f>VLOOKUP(F756, TMHM!$B$10:$C1519, 2, FALSE)</f>
        <v>Calm Mind</v>
      </c>
      <c r="H756" s="13">
        <v>5</v>
      </c>
      <c r="I756" s="14" t="str">
        <f>VLOOKUP(H756, TMHM!$B$2:$C$7, 2, FALSE)</f>
        <v>Flash</v>
      </c>
      <c r="J756" s="30"/>
    </row>
    <row r="757" spans="1:10" x14ac:dyDescent="0.2">
      <c r="A757" s="120"/>
      <c r="B757" s="16">
        <f>HEX2DEC("06")</f>
        <v>6</v>
      </c>
      <c r="C757" s="17" t="str">
        <f t="array" ref="C757">INDEX(Moves!$B$2:'Moves'!$B$177, SUM(HEX2DEC("13"),1), 1)</f>
        <v>Thundershock</v>
      </c>
      <c r="D757" s="16">
        <f>HEX2DEC("06")</f>
        <v>6</v>
      </c>
      <c r="E757" s="17" t="str">
        <f t="array" ref="E757">INDEX(Moves!$B$2:'Moves'!$B$177, SUM(HEX2DEC("13"),1), 1)</f>
        <v>Thundershock</v>
      </c>
      <c r="F757" s="11">
        <v>12</v>
      </c>
      <c r="G757" s="20" t="str">
        <f>VLOOKUP(F757, TMHM!$B$10:$C1519, 2, FALSE)</f>
        <v>Steel Wing</v>
      </c>
      <c r="H757" s="21"/>
      <c r="I757" s="25"/>
      <c r="J757" s="30"/>
    </row>
    <row r="758" spans="1:10" x14ac:dyDescent="0.2">
      <c r="A758" s="120"/>
      <c r="B758" s="16">
        <f>HEX2DEC("0B")</f>
        <v>11</v>
      </c>
      <c r="C758" s="17" t="str">
        <f t="array" ref="C758">INDEX(Moves!$B$2:'Moves'!$B$177, SUM(HEX2DEC("9E"),1), 1)</f>
        <v>Supersonic</v>
      </c>
      <c r="D758" s="16">
        <f>HEX2DEC("0B")</f>
        <v>11</v>
      </c>
      <c r="E758" s="17" t="str">
        <f t="array" ref="E758">INDEX(Moves!$B$2:'Moves'!$B$177, SUM(HEX2DEC("9E"),1), 1)</f>
        <v>Supersonic</v>
      </c>
      <c r="F758" s="11">
        <v>15</v>
      </c>
      <c r="G758" s="20" t="str">
        <f>VLOOKUP(F758, TMHM!$B$10:$C1519, 2, FALSE)</f>
        <v>Hyper Beam</v>
      </c>
      <c r="H758" s="21"/>
      <c r="I758" s="25"/>
      <c r="J758" s="30"/>
    </row>
    <row r="759" spans="1:10" x14ac:dyDescent="0.2">
      <c r="A759" s="120"/>
      <c r="B759" s="50">
        <f>HEX2DEC("10")</f>
        <v>16</v>
      </c>
      <c r="C759" s="51" t="str">
        <f t="array" ref="C759">INDEX(Moves!$B$2:'Moves'!$B$177, SUM(HEX2DEC("A3"),1), 1)</f>
        <v>Harden</v>
      </c>
      <c r="D759" s="50">
        <f>HEX2DEC("10")</f>
        <v>16</v>
      </c>
      <c r="E759" s="51" t="str">
        <f t="array" ref="E759">INDEX(Moves!$B$2:'Moves'!$B$177, SUM(HEX2DEC("88"),1), 1)</f>
        <v>SonicBoom</v>
      </c>
      <c r="F759" s="11">
        <v>20</v>
      </c>
      <c r="G759" s="20" t="str">
        <f>VLOOKUP(F759, TMHM!$B$10:$C1519, 2, FALSE)</f>
        <v>Iron Defense</v>
      </c>
      <c r="H759" s="21"/>
      <c r="I759" s="25"/>
      <c r="J759" s="30"/>
    </row>
    <row r="760" spans="1:10" x14ac:dyDescent="0.2">
      <c r="A760" s="120"/>
      <c r="B760" s="16">
        <f>HEX2DEC("15")</f>
        <v>21</v>
      </c>
      <c r="C760" s="17" t="str">
        <f t="array" ref="C760">INDEX(Moves!$B$2:'Moves'!$B$177, SUM(HEX2DEC("1B"),1), 1)</f>
        <v>Thunder Wave</v>
      </c>
      <c r="D760" s="16">
        <f>HEX2DEC("15")</f>
        <v>21</v>
      </c>
      <c r="E760" s="17" t="str">
        <f t="array" ref="E760">INDEX(Moves!$B$2:'Moves'!$B$177, SUM(HEX2DEC("1B"),1), 1)</f>
        <v>Thunder Wave</v>
      </c>
      <c r="F760" s="11">
        <v>23</v>
      </c>
      <c r="G760" s="20" t="str">
        <f>VLOOKUP(F760, TMHM!$B$10:$C1519, 2, FALSE)</f>
        <v>Iron Tail</v>
      </c>
      <c r="H760" s="21"/>
      <c r="I760" s="25"/>
      <c r="J760" s="30"/>
    </row>
    <row r="761" spans="1:10" x14ac:dyDescent="0.2">
      <c r="A761" s="120"/>
      <c r="B761" s="48">
        <f>HEX2DEC("1B")</f>
        <v>27</v>
      </c>
      <c r="C761" s="23" t="str">
        <f t="array" ref="C761">INDEX(Moves!$B$2:'Moves'!$B$177, SUM(HEX2DEC("88"),1), 1)</f>
        <v>SonicBoom</v>
      </c>
      <c r="D761" s="48">
        <f>HEX2DEC("1B")</f>
        <v>27</v>
      </c>
      <c r="E761" s="23" t="s">
        <v>163</v>
      </c>
      <c r="F761" s="11">
        <v>24</v>
      </c>
      <c r="G761" s="20" t="str">
        <f>VLOOKUP(F761, TMHM!$B$10:$C1519, 2, FALSE)</f>
        <v>Thunderbolt</v>
      </c>
      <c r="H761" s="21"/>
      <c r="I761" s="25"/>
      <c r="J761" s="30"/>
    </row>
    <row r="762" spans="1:10" x14ac:dyDescent="0.2">
      <c r="A762" s="120"/>
      <c r="B762" s="16">
        <f>HEX2DEC("21")</f>
        <v>33</v>
      </c>
      <c r="C762" s="17" t="str">
        <f t="array" ref="C762">INDEX(Moves!$B$2:'Moves'!$B$177, SUM(HEX2DEC("90"),1), 1)</f>
        <v>Swift</v>
      </c>
      <c r="D762" s="16">
        <f>HEX2DEC("21")</f>
        <v>33</v>
      </c>
      <c r="E762" s="17" t="str">
        <f t="array" ref="E762">INDEX(Moves!$B$2:'Moves'!$B$177, SUM(HEX2DEC("90"),1), 1)</f>
        <v>Swift</v>
      </c>
      <c r="F762" s="11">
        <v>25</v>
      </c>
      <c r="G762" s="20" t="str">
        <f>VLOOKUP(F762, TMHM!$B$10:$C1519, 2, FALSE)</f>
        <v>Thunder</v>
      </c>
      <c r="H762" s="21"/>
      <c r="I762" s="25"/>
      <c r="J762" s="30"/>
    </row>
    <row r="763" spans="1:10" x14ac:dyDescent="0.2">
      <c r="A763" s="120"/>
      <c r="B763" s="48">
        <f>HEX2DEC("27")</f>
        <v>39</v>
      </c>
      <c r="C763" s="23" t="str">
        <f t="array" ref="C763">INDEX(Moves!$B$2:'Moves'!$B$177, SUM(HEX2DEC("86"),1), 1)</f>
        <v>Iron Defense</v>
      </c>
      <c r="D763" s="48">
        <f>HEX2DEC("27")</f>
        <v>39</v>
      </c>
      <c r="E763" s="23" t="s">
        <v>63</v>
      </c>
      <c r="F763" s="11">
        <v>29</v>
      </c>
      <c r="G763" s="20" t="str">
        <f>VLOOKUP(F763, TMHM!$B$10:$C1519, 2, FALSE)</f>
        <v>Psychic</v>
      </c>
      <c r="H763" s="21"/>
      <c r="I763" s="25"/>
      <c r="J763" s="30"/>
    </row>
    <row r="764" spans="1:10" x14ac:dyDescent="0.2">
      <c r="A764" s="120"/>
      <c r="B764" s="16">
        <f>HEX2DEC("2D")</f>
        <v>45</v>
      </c>
      <c r="C764" s="17" t="str">
        <f t="array" ref="C764">INDEX(Moves!$B$2:'Moves'!$B$177, SUM(HEX2DEC("18"),1), 1)</f>
        <v>Zap Cannon</v>
      </c>
      <c r="D764" s="16">
        <f>HEX2DEC("2D")</f>
        <v>45</v>
      </c>
      <c r="E764" s="17" t="str">
        <f t="array" ref="E764">INDEX(Moves!$B$2:'Moves'!$B$177, SUM(HEX2DEC("18"),1), 1)</f>
        <v>Zap Cannon</v>
      </c>
      <c r="F764" s="11">
        <v>34</v>
      </c>
      <c r="G764" s="20" t="str">
        <f>VLOOKUP(F764, TMHM!$B$10:$C1519, 2, FALSE)</f>
        <v>Shock Wave</v>
      </c>
      <c r="H764" s="21"/>
      <c r="I764" s="25"/>
      <c r="J764" s="30"/>
    </row>
    <row r="765" spans="1:10" x14ac:dyDescent="0.2">
      <c r="A765" s="121" t="s">
        <v>164</v>
      </c>
      <c r="B765" s="70">
        <f>HEX2DEC("00")</f>
        <v>0</v>
      </c>
      <c r="C765" s="71" t="str">
        <f t="array" ref="C765">INDEX(Moves!$B$2:'Moves'!$B$177, SUM(HEX2DEC("89"),1), 1)</f>
        <v>Tackle</v>
      </c>
      <c r="D765" s="70">
        <f>HEX2DEC("01")</f>
        <v>1</v>
      </c>
      <c r="E765" s="71" t="str">
        <f t="array" ref="E765">INDEX(Moves!$B$2:'Moves'!$B$177, SUM(HEX2DEC("89"),1), 1)</f>
        <v>Tackle</v>
      </c>
      <c r="F765" s="41">
        <v>4</v>
      </c>
      <c r="G765" s="12" t="str">
        <f>VLOOKUP(F765, TMHM!$B$10:$C1519, 2, FALSE)</f>
        <v>Calm Mind</v>
      </c>
      <c r="H765" s="13">
        <v>5</v>
      </c>
      <c r="I765" s="14" t="str">
        <f>VLOOKUP(H765, TMHM!$B$2:$C$7, 2, FALSE)</f>
        <v>Flash</v>
      </c>
      <c r="J765" s="30"/>
    </row>
    <row r="766" spans="1:10" x14ac:dyDescent="0.2">
      <c r="A766" s="120"/>
      <c r="B766" s="16">
        <f>HEX2DEC("06")</f>
        <v>6</v>
      </c>
      <c r="C766" s="17" t="str">
        <f t="array" ref="C766">INDEX(Moves!$B$2:'Moves'!$B$177, SUM(HEX2DEC("13"),1), 1)</f>
        <v>Thundershock</v>
      </c>
      <c r="D766" s="16">
        <f>HEX2DEC("06")</f>
        <v>6</v>
      </c>
      <c r="E766" s="17" t="str">
        <f t="array" ref="E766">INDEX(Moves!$B$2:'Moves'!$B$177, SUM(HEX2DEC("13"),1), 1)</f>
        <v>Thundershock</v>
      </c>
      <c r="F766" s="11">
        <v>12</v>
      </c>
      <c r="G766" s="20" t="str">
        <f>VLOOKUP(F766, TMHM!$B$10:$C1519, 2, FALSE)</f>
        <v>Steel Wing</v>
      </c>
      <c r="H766" s="21"/>
      <c r="I766" s="25"/>
      <c r="J766" s="30"/>
    </row>
    <row r="767" spans="1:10" x14ac:dyDescent="0.2">
      <c r="A767" s="120"/>
      <c r="B767" s="16">
        <f>HEX2DEC("0B")</f>
        <v>11</v>
      </c>
      <c r="C767" s="17" t="str">
        <f t="array" ref="C767">INDEX(Moves!$B$2:'Moves'!$B$177, SUM(HEX2DEC("9E"),1), 1)</f>
        <v>Supersonic</v>
      </c>
      <c r="D767" s="16">
        <f>HEX2DEC("0B")</f>
        <v>11</v>
      </c>
      <c r="E767" s="17" t="str">
        <f t="array" ref="E767">INDEX(Moves!$B$2:'Moves'!$B$177, SUM(HEX2DEC("9E"),1), 1)</f>
        <v>Supersonic</v>
      </c>
      <c r="F767" s="11">
        <v>15</v>
      </c>
      <c r="G767" s="20" t="str">
        <f>VLOOKUP(F767, TMHM!$B$10:$C1519, 2, FALSE)</f>
        <v>Hyper Beam</v>
      </c>
      <c r="H767" s="21"/>
      <c r="I767" s="25"/>
      <c r="J767" s="30"/>
    </row>
    <row r="768" spans="1:10" x14ac:dyDescent="0.2">
      <c r="A768" s="120"/>
      <c r="B768" s="50">
        <f>HEX2DEC("10")</f>
        <v>16</v>
      </c>
      <c r="C768" s="51" t="str">
        <f t="array" ref="C768">INDEX(Moves!$B$2:'Moves'!$B$177, SUM(HEX2DEC("A3"),1), 1)</f>
        <v>Harden</v>
      </c>
      <c r="D768" s="50">
        <f>HEX2DEC("10")</f>
        <v>16</v>
      </c>
      <c r="E768" s="51" t="str">
        <f t="array" ref="E768">INDEX(Moves!$B$2:'Moves'!$B$177, SUM(HEX2DEC("88"),1), 1)</f>
        <v>SonicBoom</v>
      </c>
      <c r="F768" s="11">
        <v>20</v>
      </c>
      <c r="G768" s="20" t="str">
        <f>VLOOKUP(F768, TMHM!$B$10:$C1519, 2, FALSE)</f>
        <v>Iron Defense</v>
      </c>
      <c r="H768" s="21"/>
      <c r="I768" s="25"/>
      <c r="J768" s="30"/>
    </row>
    <row r="769" spans="1:10" x14ac:dyDescent="0.2">
      <c r="A769" s="120"/>
      <c r="B769" s="16">
        <f>HEX2DEC("15")</f>
        <v>21</v>
      </c>
      <c r="C769" s="17" t="str">
        <f t="array" ref="C769">INDEX(Moves!$B$2:'Moves'!$B$177, SUM(HEX2DEC("1B"),1), 1)</f>
        <v>Thunder Wave</v>
      </c>
      <c r="D769" s="16">
        <f>HEX2DEC("15")</f>
        <v>21</v>
      </c>
      <c r="E769" s="17" t="str">
        <f t="array" ref="E769">INDEX(Moves!$B$2:'Moves'!$B$177, SUM(HEX2DEC("1B"),1), 1)</f>
        <v>Thunder Wave</v>
      </c>
      <c r="F769" s="11">
        <v>23</v>
      </c>
      <c r="G769" s="20" t="str">
        <f>VLOOKUP(F769, TMHM!$B$10:$C1519, 2, FALSE)</f>
        <v>Iron Tail</v>
      </c>
      <c r="H769" s="21"/>
      <c r="I769" s="25"/>
      <c r="J769" s="30"/>
    </row>
    <row r="770" spans="1:10" x14ac:dyDescent="0.2">
      <c r="A770" s="120"/>
      <c r="B770" s="48">
        <f>HEX2DEC("1B")</f>
        <v>27</v>
      </c>
      <c r="C770" s="23" t="str">
        <f t="array" ref="C770">INDEX(Moves!$B$2:'Moves'!$B$177, SUM(HEX2DEC("88"),1), 1)</f>
        <v>SonicBoom</v>
      </c>
      <c r="D770" s="48">
        <f>HEX2DEC("1B")</f>
        <v>27</v>
      </c>
      <c r="E770" s="23" t="s">
        <v>163</v>
      </c>
      <c r="F770" s="11">
        <v>24</v>
      </c>
      <c r="G770" s="20" t="str">
        <f>VLOOKUP(F770, TMHM!$B$10:$C1519, 2, FALSE)</f>
        <v>Thunderbolt</v>
      </c>
      <c r="H770" s="21"/>
      <c r="I770" s="25"/>
      <c r="J770" s="30"/>
    </row>
    <row r="771" spans="1:10" x14ac:dyDescent="0.2">
      <c r="A771" s="120"/>
      <c r="B771" s="73">
        <f>HEX2DEC("23")</f>
        <v>35</v>
      </c>
      <c r="C771" s="76" t="str">
        <f t="array" ref="C771">INDEX(Moves!$B$2:'Moves'!$B$177, SUM(HEX2DEC("90"),1), 1)</f>
        <v>Swift</v>
      </c>
      <c r="D771" s="73">
        <f>HEX2DEC("23")</f>
        <v>35</v>
      </c>
      <c r="E771" s="76" t="s">
        <v>165</v>
      </c>
      <c r="F771" s="11">
        <v>25</v>
      </c>
      <c r="G771" s="20" t="str">
        <f>VLOOKUP(F771, TMHM!$B$10:$C1519, 2, FALSE)</f>
        <v>Thunder</v>
      </c>
      <c r="H771" s="21"/>
      <c r="I771" s="25"/>
      <c r="J771" s="30"/>
    </row>
    <row r="772" spans="1:10" x14ac:dyDescent="0.2">
      <c r="A772" s="120"/>
      <c r="B772" s="48">
        <f>HEX2DEC("2B")</f>
        <v>43</v>
      </c>
      <c r="C772" s="23" t="str">
        <f t="array" ref="C772">INDEX(Moves!$B$2:'Moves'!$B$177, SUM(HEX2DEC("86"),1), 1)</f>
        <v>Iron Defense</v>
      </c>
      <c r="D772" s="48">
        <f>HEX2DEC("2B")</f>
        <v>43</v>
      </c>
      <c r="E772" s="23" t="s">
        <v>63</v>
      </c>
      <c r="F772" s="11">
        <v>29</v>
      </c>
      <c r="G772" s="20" t="str">
        <f>VLOOKUP(F772, TMHM!$B$10:$C1519, 2, FALSE)</f>
        <v>Psychic</v>
      </c>
      <c r="H772" s="21"/>
      <c r="I772" s="25"/>
      <c r="J772" s="30"/>
    </row>
    <row r="773" spans="1:10" x14ac:dyDescent="0.2">
      <c r="A773" s="120"/>
      <c r="B773" s="16">
        <f>HEX2DEC("35")</f>
        <v>53</v>
      </c>
      <c r="C773" s="17" t="str">
        <f t="array" ref="C773">INDEX(Moves!$B$2:'Moves'!$B$177, SUM(HEX2DEC("18"),1), 1)</f>
        <v>Zap Cannon</v>
      </c>
      <c r="D773" s="16">
        <f>HEX2DEC("35")</f>
        <v>53</v>
      </c>
      <c r="E773" s="17" t="str">
        <f t="array" ref="E773">INDEX(Moves!$B$2:'Moves'!$B$177, SUM(HEX2DEC("18"),1), 1)</f>
        <v>Zap Cannon</v>
      </c>
      <c r="F773" s="11">
        <v>34</v>
      </c>
      <c r="G773" s="20" t="str">
        <f>VLOOKUP(F773, TMHM!$B$10:$C1519, 2, FALSE)</f>
        <v>Shock Wave</v>
      </c>
      <c r="H773" s="21"/>
      <c r="I773" s="25"/>
      <c r="J773" s="30"/>
    </row>
    <row r="774" spans="1:10" x14ac:dyDescent="0.2">
      <c r="A774" s="121" t="s">
        <v>166</v>
      </c>
      <c r="B774" s="70">
        <f>HEX2DEC("00")</f>
        <v>0</v>
      </c>
      <c r="C774" s="71" t="str">
        <f t="array" ref="C774">INDEX(Moves!$B$2:'Moves'!$B$177, SUM(HEX2DEC("5B"),1), 1)</f>
        <v>Peck</v>
      </c>
      <c r="D774" s="70">
        <f>HEX2DEC("01")</f>
        <v>1</v>
      </c>
      <c r="E774" s="71" t="str">
        <f t="array" ref="E774">INDEX(Moves!$B$2:'Moves'!$B$177, SUM(HEX2DEC("5B"),1), 1)</f>
        <v>Peck</v>
      </c>
      <c r="F774" s="41">
        <v>5</v>
      </c>
      <c r="G774" s="12" t="str">
        <f>VLOOKUP(F774, TMHM!$B$10:$C1519, 2, FALSE)</f>
        <v>Roar</v>
      </c>
      <c r="H774" s="13">
        <v>2</v>
      </c>
      <c r="I774" s="14" t="str">
        <f>VLOOKUP(H774, TMHM!$B$2:$C$7, 2, FALSE)</f>
        <v>Fly</v>
      </c>
      <c r="J774" s="30"/>
    </row>
    <row r="775" spans="1:10" x14ac:dyDescent="0.2">
      <c r="A775" s="120"/>
      <c r="B775" s="16">
        <f>HEX2DEC("07")</f>
        <v>7</v>
      </c>
      <c r="C775" s="17" t="str">
        <f t="array" ref="C775">INDEX(Moves!$B$2:'Moves'!$B$177, SUM(HEX2DEC("37"),1), 1)</f>
        <v>Sand Attack</v>
      </c>
      <c r="D775" s="16">
        <f>HEX2DEC("07")</f>
        <v>7</v>
      </c>
      <c r="E775" s="17" t="str">
        <f t="array" ref="E775">INDEX(Moves!$B$2:'Moves'!$B$177, SUM(HEX2DEC("37"),1), 1)</f>
        <v>Sand Attack</v>
      </c>
      <c r="F775" s="11">
        <v>8</v>
      </c>
      <c r="G775" s="20" t="str">
        <f>VLOOKUP(F775, TMHM!$B$10:$C1519, 2, FALSE)</f>
        <v>Charm</v>
      </c>
      <c r="H775" s="21"/>
      <c r="I775" s="25"/>
      <c r="J775" s="30"/>
    </row>
    <row r="776" spans="1:10" x14ac:dyDescent="0.2">
      <c r="A776" s="120"/>
      <c r="B776" s="48">
        <f>HEX2DEC("0D")</f>
        <v>13</v>
      </c>
      <c r="C776" s="23" t="str">
        <f t="array" ref="C776">INDEX(Moves!$B$2:'Moves'!$B$177, SUM(HEX2DEC("A0"),1), 1)</f>
        <v>Growl</v>
      </c>
      <c r="D776" s="48">
        <f>HEX2DEC("0D")</f>
        <v>13</v>
      </c>
      <c r="E776" s="23" t="s">
        <v>59</v>
      </c>
      <c r="F776" s="11">
        <v>9</v>
      </c>
      <c r="G776" s="20" t="str">
        <f>VLOOKUP(F776, TMHM!$B$10:$C1519, 2, FALSE)</f>
        <v>Snore</v>
      </c>
      <c r="H776" s="21"/>
      <c r="I776" s="25"/>
      <c r="J776" s="30"/>
    </row>
    <row r="777" spans="1:10" x14ac:dyDescent="0.2">
      <c r="A777" s="120"/>
      <c r="B777" s="48">
        <f>HEX2DEC("13")</f>
        <v>19</v>
      </c>
      <c r="C777" s="23" t="str">
        <f t="array" ref="C777">INDEX(Moves!$B$2:'Moves'!$B$177, SUM(HEX2DEC("92"),1), 1)</f>
        <v>Crush Claw</v>
      </c>
      <c r="D777" s="48">
        <f>HEX2DEC("13")</f>
        <v>19</v>
      </c>
      <c r="E777" s="23" t="s">
        <v>48</v>
      </c>
      <c r="F777" s="11">
        <v>12</v>
      </c>
      <c r="G777" s="20" t="str">
        <f>VLOOKUP(F777, TMHM!$B$10:$C1519, 2, FALSE)</f>
        <v>Steel Wing</v>
      </c>
      <c r="H777" s="21"/>
      <c r="I777" s="25"/>
      <c r="J777" s="30"/>
    </row>
    <row r="778" spans="1:10" x14ac:dyDescent="0.2">
      <c r="A778" s="120"/>
      <c r="B778" s="16">
        <f>HEX2DEC("19")</f>
        <v>25</v>
      </c>
      <c r="C778" s="17" t="str">
        <f t="array" ref="C778">INDEX(Moves!$B$2:'Moves'!$B$177, SUM(HEX2DEC("9F"),1), 1)</f>
        <v>Sword Dance</v>
      </c>
      <c r="D778" s="16">
        <f>HEX2DEC("19")</f>
        <v>25</v>
      </c>
      <c r="E778" s="17" t="str">
        <f t="array" ref="E778">INDEX(Moves!$B$2:'Moves'!$B$177, SUM(HEX2DEC("9F"),1), 1)</f>
        <v>Sword Dance</v>
      </c>
      <c r="F778" s="11">
        <v>21</v>
      </c>
      <c r="G778" s="20" t="str">
        <f>VLOOKUP(F778, TMHM!$B$10:$C1519, 2, FALSE)</f>
        <v>Recover</v>
      </c>
      <c r="H778" s="21"/>
      <c r="I778" s="25"/>
      <c r="J778" s="30"/>
    </row>
    <row r="779" spans="1:10" x14ac:dyDescent="0.2">
      <c r="A779" s="120"/>
      <c r="B779" s="16">
        <f>HEX2DEC("1F")</f>
        <v>31</v>
      </c>
      <c r="C779" s="17" t="str">
        <f t="array" ref="C779">INDEX(Moves!$B$2:'Moves'!$B$177, SUM(HEX2DEC("71"),1), 1)</f>
        <v>Agility</v>
      </c>
      <c r="D779" s="16">
        <f>HEX2DEC("1F")</f>
        <v>31</v>
      </c>
      <c r="E779" s="17" t="str">
        <f t="array" ref="E779">INDEX(Moves!$B$2:'Moves'!$B$177, SUM(HEX2DEC("71"),1), 1)</f>
        <v>Agility</v>
      </c>
      <c r="F779" s="11">
        <v>32</v>
      </c>
      <c r="G779" s="20" t="str">
        <f>VLOOKUP(F779, TMHM!$B$10:$C1519, 2, FALSE)</f>
        <v>Double Team</v>
      </c>
      <c r="H779" s="21"/>
      <c r="I779" s="25"/>
      <c r="J779" s="30"/>
    </row>
    <row r="780" spans="1:10" x14ac:dyDescent="0.2">
      <c r="A780" s="120"/>
      <c r="B780" s="48">
        <f>HEX2DEC("25")</f>
        <v>37</v>
      </c>
      <c r="C780" s="23" t="str">
        <f t="array" ref="C780">INDEX(Moves!$B$2:'Moves'!$B$177, SUM(HEX2DEC("56"),1), 1)</f>
        <v>Sky Uppercut</v>
      </c>
      <c r="D780" s="48">
        <f>HEX2DEC("25")</f>
        <v>37</v>
      </c>
      <c r="E780" s="23" t="s">
        <v>28</v>
      </c>
      <c r="F780" s="11">
        <v>37</v>
      </c>
      <c r="G780" s="20" t="str">
        <f>VLOOKUP(F780, TMHM!$B$10:$C1519, 2, FALSE)</f>
        <v>Aerial Ace</v>
      </c>
      <c r="H780" s="21"/>
      <c r="I780" s="25"/>
      <c r="J780" s="30"/>
    </row>
    <row r="781" spans="1:10" x14ac:dyDescent="0.2">
      <c r="A781" s="120"/>
      <c r="B781" s="16">
        <f>HEX2DEC("2C")</f>
        <v>44</v>
      </c>
      <c r="C781" s="17" t="str">
        <f t="array" ref="C781">INDEX(Moves!$B$2:'Moves'!$B$177, SUM(HEX2DEC("8A"),1), 1)</f>
        <v>False Swipe</v>
      </c>
      <c r="D781" s="16">
        <f>HEX2DEC("2C")</f>
        <v>44</v>
      </c>
      <c r="E781" s="17" t="str">
        <f t="array" ref="E781">INDEX(Moves!$B$2:'Moves'!$B$177, SUM(HEX2DEC("8A"),1), 1)</f>
        <v>False Swipe</v>
      </c>
      <c r="F781" s="11"/>
      <c r="H781" s="21"/>
      <c r="I781" s="25"/>
      <c r="J781" s="30"/>
    </row>
    <row r="782" spans="1:10" x14ac:dyDescent="0.2">
      <c r="A782" s="121" t="s">
        <v>167</v>
      </c>
      <c r="B782" s="70">
        <f>HEX2DEC("00")</f>
        <v>0</v>
      </c>
      <c r="C782" s="71" t="str">
        <f t="array" ref="C782">INDEX(Moves!$B$2:'Moves'!$B$177, SUM(HEX2DEC("5B"),1), 1)</f>
        <v>Peck</v>
      </c>
      <c r="D782" s="70">
        <f t="shared" ref="D782:D783" si="63">HEX2DEC("01")</f>
        <v>1</v>
      </c>
      <c r="E782" s="71" t="str">
        <f t="array" ref="E782">INDEX(Moves!$B$2:'Moves'!$B$177, SUM(HEX2DEC("5B"),1), 1)</f>
        <v>Peck</v>
      </c>
      <c r="F782" s="41">
        <v>5</v>
      </c>
      <c r="G782" s="12" t="str">
        <f>VLOOKUP(F782, TMHM!$B$10:$C1519, 2, FALSE)</f>
        <v>Roar</v>
      </c>
      <c r="H782" s="13">
        <v>2</v>
      </c>
      <c r="I782" s="14" t="str">
        <f>VLOOKUP(H782, TMHM!$B$2:$C$7, 2, FALSE)</f>
        <v>Fly</v>
      </c>
      <c r="J782" s="30"/>
    </row>
    <row r="783" spans="1:10" x14ac:dyDescent="0.2">
      <c r="A783" s="120"/>
      <c r="B783" s="43">
        <f>HEX2DEC("02")</f>
        <v>2</v>
      </c>
      <c r="C783" s="17" t="str">
        <f t="array" ref="C783">INDEX(Moves!$B$2:'Moves'!$B$177, SUM(HEX2DEC("A0"),1), 1)</f>
        <v>Growl</v>
      </c>
      <c r="D783" s="43">
        <f t="shared" si="63"/>
        <v>1</v>
      </c>
      <c r="E783" s="17" t="str">
        <f t="array" ref="E783">INDEX(Moves!$B$2:'Moves'!$B$177, SUM(HEX2DEC("A0"),1), 1)</f>
        <v>Growl</v>
      </c>
      <c r="F783" s="11">
        <v>8</v>
      </c>
      <c r="G783" s="20" t="str">
        <f>VLOOKUP(F783, TMHM!$B$10:$C1519, 2, FALSE)</f>
        <v>Charm</v>
      </c>
      <c r="H783" s="21"/>
      <c r="I783" s="25"/>
      <c r="J783" s="30"/>
    </row>
    <row r="784" spans="1:10" x14ac:dyDescent="0.2">
      <c r="A784" s="120"/>
      <c r="B784" s="16">
        <f>HEX2DEC("09")</f>
        <v>9</v>
      </c>
      <c r="C784" s="17" t="str">
        <f t="array" ref="C784">INDEX(Moves!$B$2:'Moves'!$B$177, SUM(HEX2DEC("7F"),1), 1)</f>
        <v>Pursuit</v>
      </c>
      <c r="D784" s="16">
        <f>HEX2DEC("09")</f>
        <v>9</v>
      </c>
      <c r="E784" s="17" t="str">
        <f t="array" ref="E784">INDEX(Moves!$B$2:'Moves'!$B$177, SUM(HEX2DEC("7F"),1), 1)</f>
        <v>Pursuit</v>
      </c>
      <c r="F784" s="11">
        <v>9</v>
      </c>
      <c r="G784" s="20" t="str">
        <f>VLOOKUP(F784, TMHM!$B$10:$C1519, 2, FALSE)</f>
        <v>Snore</v>
      </c>
      <c r="H784" s="21"/>
      <c r="I784" s="25"/>
      <c r="J784" s="30"/>
    </row>
    <row r="785" spans="1:10" x14ac:dyDescent="0.2">
      <c r="A785" s="120"/>
      <c r="B785" s="48">
        <f>HEX2DEC("0D")</f>
        <v>13</v>
      </c>
      <c r="C785" s="23" t="str">
        <f t="array" ref="C785">INDEX(Moves!$B$2:'Moves'!$B$177, SUM(HEX2DEC("92"),1), 1)</f>
        <v>Crush Claw</v>
      </c>
      <c r="D785" s="48">
        <f>HEX2DEC("0D")</f>
        <v>13</v>
      </c>
      <c r="E785" s="23" t="s">
        <v>48</v>
      </c>
      <c r="F785" s="11">
        <v>12</v>
      </c>
      <c r="G785" s="20" t="str">
        <f>VLOOKUP(F785, TMHM!$B$10:$C1519, 2, FALSE)</f>
        <v>Steel Wing</v>
      </c>
      <c r="H785" s="21"/>
      <c r="I785" s="25"/>
      <c r="J785" s="30"/>
    </row>
    <row r="786" spans="1:10" x14ac:dyDescent="0.2">
      <c r="A786" s="120"/>
      <c r="B786" s="50">
        <f>HEX2DEC("15")</f>
        <v>21</v>
      </c>
      <c r="C786" s="51" t="str">
        <f t="array" ref="C786">INDEX(Moves!$B$2:'Moves'!$B$177, SUM(HEX2DEC("91"),1), 1)</f>
        <v>Horn Attack</v>
      </c>
      <c r="D786" s="50">
        <f>HEX2DEC("15")</f>
        <v>21</v>
      </c>
      <c r="E786" s="51" t="str">
        <f t="array" ref="E786">INDEX(Moves!$B$2:'Moves'!$B$177, SUM(HEX2DEC("95"),1), 1)</f>
        <v>Tri Attack</v>
      </c>
      <c r="F786" s="11">
        <v>21</v>
      </c>
      <c r="G786" s="20" t="str">
        <f>VLOOKUP(F786, TMHM!$B$10:$C1519, 2, FALSE)</f>
        <v>Recover</v>
      </c>
      <c r="H786" s="21"/>
      <c r="I786" s="25"/>
      <c r="J786" s="30"/>
    </row>
    <row r="787" spans="1:10" x14ac:dyDescent="0.2">
      <c r="A787" s="120"/>
      <c r="B787" s="48">
        <f>HEX2DEC("19")</f>
        <v>25</v>
      </c>
      <c r="C787" s="23" t="str">
        <f t="array" ref="C787">INDEX(Moves!$B$2:'Moves'!$B$177, SUM(HEX2DEC("80"),1), 1)</f>
        <v>Bite</v>
      </c>
      <c r="D787" s="48">
        <f>HEX2DEC("19")</f>
        <v>25</v>
      </c>
      <c r="E787" s="23" t="s">
        <v>26</v>
      </c>
      <c r="F787" s="11">
        <v>32</v>
      </c>
      <c r="G787" s="20" t="str">
        <f>VLOOKUP(F787, TMHM!$B$10:$C1519, 2, FALSE)</f>
        <v>Double Team</v>
      </c>
      <c r="H787" s="21"/>
      <c r="I787" s="25"/>
      <c r="J787" s="30"/>
    </row>
    <row r="788" spans="1:10" x14ac:dyDescent="0.2">
      <c r="A788" s="120"/>
      <c r="B788" s="50">
        <f>HEX2DEC("21")</f>
        <v>33</v>
      </c>
      <c r="C788" s="51" t="str">
        <f t="array" ref="C788">INDEX(Moves!$B$2:'Moves'!$B$177, SUM(HEX2DEC("95"),1), 1)</f>
        <v>Tri Attack</v>
      </c>
      <c r="D788" s="50">
        <f>HEX2DEC("21")</f>
        <v>33</v>
      </c>
      <c r="E788" s="51" t="str">
        <f t="array" ref="E788">INDEX(Moves!$B$2:'Moves'!$B$177, SUM(HEX2DEC("61"),1), 1)</f>
        <v>Drill Peck</v>
      </c>
      <c r="F788" s="11">
        <v>37</v>
      </c>
      <c r="G788" s="20" t="str">
        <f>VLOOKUP(F788, TMHM!$B$10:$C1519, 2, FALSE)</f>
        <v>Aerial Ace</v>
      </c>
      <c r="H788" s="21"/>
      <c r="I788" s="25"/>
      <c r="J788" s="30"/>
    </row>
    <row r="789" spans="1:10" x14ac:dyDescent="0.2">
      <c r="A789" s="120"/>
      <c r="B789" s="16">
        <f>HEX2DEC("25")</f>
        <v>37</v>
      </c>
      <c r="C789" s="17" t="str">
        <f t="array" ref="C789">INDEX(Moves!$B$2:'Moves'!$B$177, SUM(HEX2DEC("71"),1), 1)</f>
        <v>Agility</v>
      </c>
      <c r="D789" s="16">
        <f>HEX2DEC("25")</f>
        <v>37</v>
      </c>
      <c r="E789" s="17" t="str">
        <f t="array" ref="E789">INDEX(Moves!$B$2:'Moves'!$B$177, SUM(HEX2DEC("71"),1), 1)</f>
        <v>Agility</v>
      </c>
      <c r="F789" s="11"/>
      <c r="H789" s="21"/>
      <c r="I789" s="25"/>
      <c r="J789" s="30"/>
    </row>
    <row r="790" spans="1:10" x14ac:dyDescent="0.2">
      <c r="A790" s="121" t="s">
        <v>168</v>
      </c>
      <c r="B790" s="70">
        <f>HEX2DEC("00")</f>
        <v>0</v>
      </c>
      <c r="C790" s="71" t="str">
        <f t="array" ref="C790">INDEX(Moves!$B$2:'Moves'!$B$177, SUM(HEX2DEC("5B"),1), 1)</f>
        <v>Peck</v>
      </c>
      <c r="D790" s="70">
        <f t="shared" ref="D790:D793" si="64">HEX2DEC("01")</f>
        <v>1</v>
      </c>
      <c r="E790" s="71" t="str">
        <f t="array" ref="E790">INDEX(Moves!$B$2:'Moves'!$B$177, SUM(HEX2DEC("5B"),1), 1)</f>
        <v>Peck</v>
      </c>
      <c r="F790" s="41">
        <v>5</v>
      </c>
      <c r="G790" s="12" t="str">
        <f>VLOOKUP(F790, TMHM!$B$10:$C1519, 2, FALSE)</f>
        <v>Roar</v>
      </c>
      <c r="H790" s="13">
        <v>2</v>
      </c>
      <c r="I790" s="14" t="str">
        <f>VLOOKUP(H790, TMHM!$B$2:$C$7, 2, FALSE)</f>
        <v>Fly</v>
      </c>
      <c r="J790" s="30"/>
    </row>
    <row r="791" spans="1:10" x14ac:dyDescent="0.2">
      <c r="A791" s="120"/>
      <c r="B791" s="43">
        <f>HEX2DEC("02")</f>
        <v>2</v>
      </c>
      <c r="C791" s="17" t="str">
        <f t="array" ref="C791">INDEX(Moves!$B$2:'Moves'!$B$177, SUM(HEX2DEC("A0"),1), 1)</f>
        <v>Growl</v>
      </c>
      <c r="D791" s="43">
        <f t="shared" si="64"/>
        <v>1</v>
      </c>
      <c r="E791" s="17" t="str">
        <f t="array" ref="E791">INDEX(Moves!$B$2:'Moves'!$B$177, SUM(HEX2DEC("A0"),1), 1)</f>
        <v>Growl</v>
      </c>
      <c r="F791" s="11">
        <v>8</v>
      </c>
      <c r="G791" s="20" t="str">
        <f>VLOOKUP(F791, TMHM!$B$10:$C1519, 2, FALSE)</f>
        <v>Charm</v>
      </c>
      <c r="H791" s="21"/>
      <c r="I791" s="25"/>
      <c r="J791" s="30"/>
    </row>
    <row r="792" spans="1:10" x14ac:dyDescent="0.2">
      <c r="A792" s="120"/>
      <c r="B792" s="34"/>
      <c r="C792" s="35"/>
      <c r="D792" s="34">
        <f t="shared" si="64"/>
        <v>1</v>
      </c>
      <c r="E792" s="35" t="str">
        <f t="array" ref="E792">INDEX(Moves!$B$2:'Moves'!$B$177, SUM(HEX2DEC("7F"),1), 1)</f>
        <v>Pursuit</v>
      </c>
      <c r="F792" s="11">
        <v>9</v>
      </c>
      <c r="G792" s="20" t="str">
        <f>VLOOKUP(F792, TMHM!$B$10:$C1519, 2, FALSE)</f>
        <v>Snore</v>
      </c>
      <c r="H792" s="21"/>
      <c r="I792" s="25"/>
      <c r="J792" s="30"/>
    </row>
    <row r="793" spans="1:10" x14ac:dyDescent="0.2">
      <c r="A793" s="120"/>
      <c r="B793" s="34"/>
      <c r="C793" s="35"/>
      <c r="D793" s="34">
        <f t="shared" si="64"/>
        <v>1</v>
      </c>
      <c r="E793" s="35" t="s">
        <v>48</v>
      </c>
      <c r="F793" s="11">
        <v>12</v>
      </c>
      <c r="G793" s="20" t="str">
        <f>VLOOKUP(F793, TMHM!$B$10:$C1519, 2, FALSE)</f>
        <v>Steel Wing</v>
      </c>
      <c r="H793" s="21"/>
      <c r="I793" s="25"/>
      <c r="J793" s="30"/>
    </row>
    <row r="794" spans="1:10" x14ac:dyDescent="0.2">
      <c r="A794" s="120"/>
      <c r="B794" s="16">
        <f>HEX2DEC("09")</f>
        <v>9</v>
      </c>
      <c r="C794" s="17" t="str">
        <f t="array" ref="C794">INDEX(Moves!$B$2:'Moves'!$B$177, SUM(HEX2DEC("7F"),1), 1)</f>
        <v>Pursuit</v>
      </c>
      <c r="D794" s="16">
        <f>HEX2DEC("09")</f>
        <v>9</v>
      </c>
      <c r="E794" s="17" t="str">
        <f t="array" ref="E794">INDEX(Moves!$B$2:'Moves'!$B$177, SUM(HEX2DEC("7F"),1), 1)</f>
        <v>Pursuit</v>
      </c>
      <c r="F794" s="11">
        <v>21</v>
      </c>
      <c r="G794" s="20" t="str">
        <f>VLOOKUP(F794, TMHM!$B$10:$C1519, 2, FALSE)</f>
        <v>Recover</v>
      </c>
      <c r="H794" s="21"/>
      <c r="I794" s="25"/>
      <c r="J794" s="30"/>
    </row>
    <row r="795" spans="1:10" x14ac:dyDescent="0.2">
      <c r="A795" s="120"/>
      <c r="B795" s="48">
        <f>HEX2DEC("0D")</f>
        <v>13</v>
      </c>
      <c r="C795" s="23" t="str">
        <f t="array" ref="C795">INDEX(Moves!$B$2:'Moves'!$B$177, SUM(HEX2DEC("92"),1), 1)</f>
        <v>Crush Claw</v>
      </c>
      <c r="D795" s="48">
        <f>HEX2DEC("0D")</f>
        <v>13</v>
      </c>
      <c r="E795" s="23" t="s">
        <v>48</v>
      </c>
      <c r="F795" s="11">
        <v>32</v>
      </c>
      <c r="G795" s="20" t="str">
        <f>VLOOKUP(F795, TMHM!$B$10:$C1519, 2, FALSE)</f>
        <v>Double Team</v>
      </c>
      <c r="H795" s="21"/>
      <c r="I795" s="25"/>
      <c r="J795" s="30"/>
    </row>
    <row r="796" spans="1:10" x14ac:dyDescent="0.2">
      <c r="A796" s="120"/>
      <c r="B796" s="50">
        <f>HEX2DEC("15")</f>
        <v>21</v>
      </c>
      <c r="C796" s="51" t="str">
        <f t="array" ref="C796">INDEX(Moves!$B$2:'Moves'!$B$177, SUM(HEX2DEC("91"),1), 1)</f>
        <v>Horn Attack</v>
      </c>
      <c r="D796" s="50">
        <f>HEX2DEC("15")</f>
        <v>21</v>
      </c>
      <c r="E796" s="51" t="str">
        <f t="array" ref="E796">INDEX(Moves!$B$2:'Moves'!$B$177, SUM(HEX2DEC("95"),1), 1)</f>
        <v>Tri Attack</v>
      </c>
      <c r="F796" s="11">
        <v>37</v>
      </c>
      <c r="G796" s="20" t="str">
        <f>VLOOKUP(F796, TMHM!$B$10:$C1519, 2, FALSE)</f>
        <v>Aerial Ace</v>
      </c>
      <c r="H796" s="21"/>
      <c r="I796" s="25"/>
      <c r="J796" s="30"/>
    </row>
    <row r="797" spans="1:10" x14ac:dyDescent="0.2">
      <c r="A797" s="120"/>
      <c r="B797" s="48">
        <f>HEX2DEC("19")</f>
        <v>25</v>
      </c>
      <c r="C797" s="23" t="str">
        <f t="array" ref="C797">INDEX(Moves!$B$2:'Moves'!$B$177, SUM(HEX2DEC("80"),1), 1)</f>
        <v>Bite</v>
      </c>
      <c r="D797" s="48">
        <f>HEX2DEC("19")</f>
        <v>25</v>
      </c>
      <c r="E797" s="23" t="s">
        <v>26</v>
      </c>
      <c r="F797" s="11"/>
      <c r="H797" s="21"/>
      <c r="I797" s="25"/>
      <c r="J797" s="30"/>
    </row>
    <row r="798" spans="1:10" x14ac:dyDescent="0.2">
      <c r="A798" s="120"/>
      <c r="B798" s="50">
        <f>HEX2DEC("26")</f>
        <v>38</v>
      </c>
      <c r="C798" s="51" t="str">
        <f t="array" ref="C798">INDEX(Moves!$B$2:'Moves'!$B$177, SUM(HEX2DEC("95"),1), 1)</f>
        <v>Tri Attack</v>
      </c>
      <c r="D798" s="50">
        <f>HEX2DEC("26")</f>
        <v>38</v>
      </c>
      <c r="E798" s="51" t="str">
        <f t="array" ref="E798">INDEX(Moves!$B$2:'Moves'!$B$177, SUM(HEX2DEC("61"),1), 1)</f>
        <v>Drill Peck</v>
      </c>
      <c r="F798" s="11"/>
      <c r="H798" s="21"/>
      <c r="I798" s="25"/>
      <c r="J798" s="30"/>
    </row>
    <row r="799" spans="1:10" x14ac:dyDescent="0.2">
      <c r="A799" s="120"/>
      <c r="B799" s="16">
        <f>HEX2DEC("2F")</f>
        <v>47</v>
      </c>
      <c r="C799" s="17" t="str">
        <f t="array" ref="C799">INDEX(Moves!$B$2:'Moves'!$B$177, SUM(HEX2DEC("71"),1), 1)</f>
        <v>Agility</v>
      </c>
      <c r="D799" s="16">
        <f>HEX2DEC("2F")</f>
        <v>47</v>
      </c>
      <c r="E799" s="17" t="str">
        <f t="array" ref="E799">INDEX(Moves!$B$2:'Moves'!$B$177, SUM(HEX2DEC("71"),1), 1)</f>
        <v>Agility</v>
      </c>
      <c r="F799" s="11"/>
      <c r="H799" s="21"/>
      <c r="I799" s="25"/>
      <c r="J799" s="30"/>
    </row>
    <row r="800" spans="1:10" x14ac:dyDescent="0.2">
      <c r="A800" s="121" t="s">
        <v>169</v>
      </c>
      <c r="B800" s="61">
        <f>HEX2DEC("00")</f>
        <v>0</v>
      </c>
      <c r="C800" s="62" t="str">
        <f t="array" ref="C800">INDEX(Moves!$B$2:'Moves'!$B$177, SUM(HEX2DEC("8B"),1), 1)</f>
        <v>Scratch</v>
      </c>
      <c r="D800" s="61">
        <f>HEX2DEC("01")</f>
        <v>1</v>
      </c>
      <c r="E800" s="62" t="s">
        <v>159</v>
      </c>
      <c r="F800" s="41">
        <v>3</v>
      </c>
      <c r="G800" s="12" t="str">
        <f>VLOOKUP(F800, TMHM!$B$10:$C1519, 2, FALSE)</f>
        <v>Water Pulse</v>
      </c>
      <c r="H800" s="13">
        <v>3</v>
      </c>
      <c r="I800" s="14" t="str">
        <f>VLOOKUP(H800, TMHM!$B$2:$C$7, 2, FALSE)</f>
        <v>Surf</v>
      </c>
      <c r="J800" s="30"/>
    </row>
    <row r="801" spans="1:10" x14ac:dyDescent="0.2">
      <c r="A801" s="120"/>
      <c r="B801" s="73">
        <f>HEX2DEC("05")</f>
        <v>5</v>
      </c>
      <c r="C801" s="76" t="str">
        <f t="array" ref="C801">INDEX(Moves!$B$2:'Moves'!$B$177, SUM(HEX2DEC("A0"),1), 1)</f>
        <v>Growl</v>
      </c>
      <c r="D801" s="73">
        <f>HEX2DEC("05")</f>
        <v>5</v>
      </c>
      <c r="E801" s="76" t="str">
        <f t="array" ref="E801">INDEX(Moves!$B$2:'Moves'!$B$177, SUM(HEX2DEC("A0"),1), 1)</f>
        <v>Growl</v>
      </c>
      <c r="F801" s="11">
        <v>8</v>
      </c>
      <c r="G801" s="20" t="str">
        <f>VLOOKUP(F801, TMHM!$B$10:$C1519, 2, FALSE)</f>
        <v>Charm</v>
      </c>
      <c r="H801" s="21">
        <v>4</v>
      </c>
      <c r="I801" s="20" t="str">
        <f>VLOOKUP(H801, TMHM!$B$2:$C$7, 2, FALSE)</f>
        <v>Strength</v>
      </c>
      <c r="J801" s="30"/>
    </row>
    <row r="802" spans="1:10" x14ac:dyDescent="0.2">
      <c r="A802" s="120"/>
      <c r="B802" s="73">
        <f>HEX2DEC("10")</f>
        <v>16</v>
      </c>
      <c r="C802" s="76" t="str">
        <f t="array" ref="C802">INDEX(Moves!$B$2:'Moves'!$B$177, SUM(HEX2DEC("2B"),1), 1)</f>
        <v>Aurora Beam</v>
      </c>
      <c r="D802" s="73">
        <f>HEX2DEC("10")</f>
        <v>16</v>
      </c>
      <c r="E802" s="76" t="str">
        <f t="array" ref="E802">INDEX(Moves!$B$2:'Moves'!$B$177, SUM(HEX2DEC("2B"),1), 1)</f>
        <v>Aurora Beam</v>
      </c>
      <c r="F802" s="11">
        <v>11</v>
      </c>
      <c r="G802" s="20" t="str">
        <f>VLOOKUP(F802, TMHM!$B$10:$C1519, 2, FALSE)</f>
        <v>Bubblebeam</v>
      </c>
      <c r="H802" s="21"/>
      <c r="I802" s="25"/>
      <c r="J802" s="30"/>
    </row>
    <row r="803" spans="1:10" x14ac:dyDescent="0.2">
      <c r="A803" s="120"/>
      <c r="B803" s="73">
        <f>HEX2DEC("15")</f>
        <v>21</v>
      </c>
      <c r="C803" s="76" t="str">
        <f t="array" ref="C803">INDEX(Moves!$B$2:'Moves'!$B$177, SUM(HEX2DEC("6E"),1), 1)</f>
        <v>Rest</v>
      </c>
      <c r="D803" s="73">
        <f>HEX2DEC("15")</f>
        <v>21</v>
      </c>
      <c r="E803" s="76" t="str">
        <f t="array" ref="E803">INDEX(Moves!$B$2:'Moves'!$B$177, SUM(HEX2DEC("6E"),1), 1)</f>
        <v>Rest</v>
      </c>
      <c r="F803" s="11">
        <v>13</v>
      </c>
      <c r="G803" s="20" t="str">
        <f>VLOOKUP(F803, TMHM!$B$10:$C1519, 2, FALSE)</f>
        <v>Ice Beam</v>
      </c>
      <c r="H803" s="21"/>
      <c r="I803" s="25"/>
      <c r="J803" s="30"/>
    </row>
    <row r="804" spans="1:10" x14ac:dyDescent="0.2">
      <c r="A804" s="120"/>
      <c r="B804" s="48">
        <f>HEX2DEC("20")</f>
        <v>32</v>
      </c>
      <c r="C804" s="23" t="str">
        <f t="array" ref="C804">INDEX(Moves!$B$2:'Moves'!$B$177, SUM(HEX2DEC("4E"),1), 1)</f>
        <v>Mach Punch</v>
      </c>
      <c r="D804" s="48">
        <f>HEX2DEC("20")</f>
        <v>32</v>
      </c>
      <c r="E804" s="23" t="s">
        <v>124</v>
      </c>
      <c r="F804" s="11">
        <v>14</v>
      </c>
      <c r="G804" s="20" t="str">
        <f>VLOOKUP(F804, TMHM!$B$10:$C1519, 2, FALSE)</f>
        <v>Blizzard</v>
      </c>
      <c r="H804" s="21"/>
      <c r="I804" s="25"/>
      <c r="J804" s="30"/>
    </row>
    <row r="805" spans="1:10" x14ac:dyDescent="0.2">
      <c r="A805" s="120"/>
      <c r="B805" s="73">
        <f>HEX2DEC("25")</f>
        <v>37</v>
      </c>
      <c r="C805" s="76" t="str">
        <f t="array" ref="C805">INDEX(Moves!$B$2:'Moves'!$B$177, SUM(HEX2DEC("2D"),1), 1)</f>
        <v>Ice Beam</v>
      </c>
      <c r="D805" s="73">
        <f>HEX2DEC("25")</f>
        <v>37</v>
      </c>
      <c r="E805" s="76" t="str">
        <f t="array" ref="E805">INDEX(Moves!$B$2:'Moves'!$B$177, SUM(HEX2DEC("2D"),1), 1)</f>
        <v>Ice Beam</v>
      </c>
      <c r="F805" s="11">
        <v>21</v>
      </c>
      <c r="G805" s="20" t="str">
        <f>VLOOKUP(F805, TMHM!$B$10:$C1519, 2, FALSE)</f>
        <v>Recover</v>
      </c>
      <c r="H805" s="21"/>
      <c r="I805" s="25"/>
      <c r="J805" s="30"/>
    </row>
    <row r="806" spans="1:10" x14ac:dyDescent="0.2">
      <c r="A806" s="120"/>
      <c r="B806" s="48">
        <f>HEX2DEC("30")</f>
        <v>48</v>
      </c>
      <c r="C806" s="23" t="str">
        <f t="array" ref="C806">INDEX(Moves!$B$2:'Moves'!$B$177, SUM(HEX2DEC("A6"),1), 1)</f>
        <v>SmokeScreen</v>
      </c>
      <c r="D806" s="48">
        <f>HEX2DEC("30")</f>
        <v>48</v>
      </c>
      <c r="E806" s="23" t="s">
        <v>44</v>
      </c>
      <c r="F806" s="11">
        <v>32</v>
      </c>
      <c r="G806" s="20" t="str">
        <f>VLOOKUP(F806, TMHM!$B$10:$C1519, 2, FALSE)</f>
        <v>Double Team</v>
      </c>
      <c r="H806" s="21"/>
      <c r="I806" s="25"/>
      <c r="J806" s="30"/>
    </row>
    <row r="807" spans="1:10" x14ac:dyDescent="0.2">
      <c r="A807" s="120"/>
      <c r="B807" s="73"/>
      <c r="C807" s="74"/>
      <c r="D807" s="73"/>
      <c r="E807" s="74"/>
      <c r="F807" s="11">
        <v>35</v>
      </c>
      <c r="G807" s="20" t="str">
        <f>VLOOKUP(F807, TMHM!$B$10:$C1519, 2, FALSE)</f>
        <v>Harden</v>
      </c>
      <c r="H807" s="21"/>
      <c r="I807" s="25"/>
      <c r="J807" s="30"/>
    </row>
    <row r="808" spans="1:10" x14ac:dyDescent="0.2">
      <c r="A808" s="121" t="s">
        <v>170</v>
      </c>
      <c r="B808" s="61">
        <f>HEX2DEC("00")</f>
        <v>0</v>
      </c>
      <c r="C808" s="62" t="str">
        <f t="array" ref="C808">INDEX(Moves!$B$2:'Moves'!$B$177, SUM(HEX2DEC("8B"),1), 1)</f>
        <v>Scratch</v>
      </c>
      <c r="D808" s="61">
        <f t="shared" ref="D808:D810" si="65">HEX2DEC("01")</f>
        <v>1</v>
      </c>
      <c r="E808" s="62" t="s">
        <v>159</v>
      </c>
      <c r="F808" s="41">
        <v>3</v>
      </c>
      <c r="G808" s="12" t="str">
        <f>VLOOKUP(F808, TMHM!$B$10:$C1519, 2, FALSE)</f>
        <v>Water Pulse</v>
      </c>
      <c r="H808" s="13">
        <v>3</v>
      </c>
      <c r="I808" s="14" t="str">
        <f>VLOOKUP(H808, TMHM!$B$2:$C$7, 2, FALSE)</f>
        <v>Surf</v>
      </c>
      <c r="J808" s="30"/>
    </row>
    <row r="809" spans="1:10" x14ac:dyDescent="0.2">
      <c r="A809" s="120"/>
      <c r="B809" s="34"/>
      <c r="C809" s="35"/>
      <c r="D809" s="34">
        <f t="shared" si="65"/>
        <v>1</v>
      </c>
      <c r="E809" s="35" t="str">
        <f t="array" ref="E809">INDEX(Moves!$B$2:'Moves'!$B$177, SUM(HEX2DEC("A0"),1), 1)</f>
        <v>Growl</v>
      </c>
      <c r="F809" s="11">
        <v>8</v>
      </c>
      <c r="G809" s="20" t="str">
        <f>VLOOKUP(F809, TMHM!$B$10:$C1519, 2, FALSE)</f>
        <v>Charm</v>
      </c>
      <c r="H809" s="21">
        <v>4</v>
      </c>
      <c r="I809" s="20" t="str">
        <f>VLOOKUP(H809, TMHM!$B$2:$C$7, 2, FALSE)</f>
        <v>Strength</v>
      </c>
      <c r="J809" s="30"/>
    </row>
    <row r="810" spans="1:10" x14ac:dyDescent="0.2">
      <c r="A810" s="120"/>
      <c r="B810" s="34"/>
      <c r="C810" s="35"/>
      <c r="D810" s="34">
        <f t="shared" si="65"/>
        <v>1</v>
      </c>
      <c r="E810" s="35" t="str">
        <f t="array" ref="E810">INDEX(Moves!$B$2:'Moves'!$B$177, SUM(HEX2DEC("2B"),1), 1)</f>
        <v>Aurora Beam</v>
      </c>
      <c r="F810" s="11">
        <v>11</v>
      </c>
      <c r="G810" s="20" t="str">
        <f>VLOOKUP(F810, TMHM!$B$10:$C1519, 2, FALSE)</f>
        <v>Bubblebeam</v>
      </c>
      <c r="H810" s="21"/>
      <c r="I810" s="25"/>
      <c r="J810" s="30"/>
    </row>
    <row r="811" spans="1:10" x14ac:dyDescent="0.2">
      <c r="A811" s="120"/>
      <c r="B811" s="73">
        <f>HEX2DEC("05")</f>
        <v>5</v>
      </c>
      <c r="C811" s="76" t="str">
        <f t="array" ref="C811">INDEX(Moves!$B$2:'Moves'!$B$177, SUM(HEX2DEC("A0"),1), 1)</f>
        <v>Growl</v>
      </c>
      <c r="D811" s="73">
        <f>HEX2DEC("05")</f>
        <v>5</v>
      </c>
      <c r="E811" s="76" t="str">
        <f t="array" ref="E811">INDEX(Moves!$B$2:'Moves'!$B$177, SUM(HEX2DEC("A0"),1), 1)</f>
        <v>Growl</v>
      </c>
      <c r="F811" s="11">
        <v>13</v>
      </c>
      <c r="G811" s="20" t="str">
        <f>VLOOKUP(F811, TMHM!$B$10:$C1519, 2, FALSE)</f>
        <v>Ice Beam</v>
      </c>
      <c r="H811" s="21"/>
      <c r="I811" s="25"/>
      <c r="J811" s="30"/>
    </row>
    <row r="812" spans="1:10" x14ac:dyDescent="0.2">
      <c r="A812" s="120"/>
      <c r="B812" s="73">
        <f>HEX2DEC("10")</f>
        <v>16</v>
      </c>
      <c r="C812" s="76" t="str">
        <f t="array" ref="C812">INDEX(Moves!$B$2:'Moves'!$B$177, SUM(HEX2DEC("2B"),1), 1)</f>
        <v>Aurora Beam</v>
      </c>
      <c r="D812" s="73">
        <f>HEX2DEC("10")</f>
        <v>16</v>
      </c>
      <c r="E812" s="76" t="str">
        <f t="array" ref="E812">INDEX(Moves!$B$2:'Moves'!$B$177, SUM(HEX2DEC("2B"),1), 1)</f>
        <v>Aurora Beam</v>
      </c>
      <c r="F812" s="11">
        <v>14</v>
      </c>
      <c r="G812" s="20" t="str">
        <f>VLOOKUP(F812, TMHM!$B$10:$C1519, 2, FALSE)</f>
        <v>Blizzard</v>
      </c>
      <c r="H812" s="21"/>
      <c r="I812" s="25"/>
      <c r="J812" s="30"/>
    </row>
    <row r="813" spans="1:10" x14ac:dyDescent="0.2">
      <c r="A813" s="120"/>
      <c r="B813" s="73">
        <f>HEX2DEC("15")</f>
        <v>21</v>
      </c>
      <c r="C813" s="76" t="str">
        <f t="array" ref="C813">INDEX(Moves!$B$2:'Moves'!$B$177, SUM(HEX2DEC("6E"),1), 1)</f>
        <v>Rest</v>
      </c>
      <c r="D813" s="73">
        <f>HEX2DEC("15")</f>
        <v>21</v>
      </c>
      <c r="E813" s="76" t="str">
        <f t="array" ref="E813">INDEX(Moves!$B$2:'Moves'!$B$177, SUM(HEX2DEC("6E"),1), 1)</f>
        <v>Rest</v>
      </c>
      <c r="F813" s="11">
        <v>21</v>
      </c>
      <c r="G813" s="20" t="str">
        <f>VLOOKUP(F813, TMHM!$B$10:$C1519, 2, FALSE)</f>
        <v>Recover</v>
      </c>
      <c r="H813" s="21"/>
      <c r="I813" s="25"/>
      <c r="J813" s="30"/>
    </row>
    <row r="814" spans="1:10" x14ac:dyDescent="0.2">
      <c r="A814" s="120"/>
      <c r="B814" s="48">
        <f>HEX2DEC("20")</f>
        <v>32</v>
      </c>
      <c r="C814" s="23" t="str">
        <f t="array" ref="C814">INDEX(Moves!$B$2:'Moves'!$B$177, SUM(HEX2DEC("4E"),1), 1)</f>
        <v>Mach Punch</v>
      </c>
      <c r="D814" s="48">
        <f>HEX2DEC("20")</f>
        <v>32</v>
      </c>
      <c r="E814" s="23" t="s">
        <v>124</v>
      </c>
      <c r="F814" s="11">
        <v>32</v>
      </c>
      <c r="G814" s="20" t="str">
        <f>VLOOKUP(F814, TMHM!$B$10:$C1519, 2, FALSE)</f>
        <v>Double Team</v>
      </c>
      <c r="H814" s="21"/>
      <c r="I814" s="25"/>
      <c r="J814" s="30"/>
    </row>
    <row r="815" spans="1:10" x14ac:dyDescent="0.2">
      <c r="A815" s="120"/>
      <c r="B815" s="73">
        <f>HEX2DEC("2B")</f>
        <v>43</v>
      </c>
      <c r="C815" s="76" t="str">
        <f t="array" ref="C815">INDEX(Moves!$B$2:'Moves'!$B$177, SUM(HEX2DEC("2D"),1), 1)</f>
        <v>Ice Beam</v>
      </c>
      <c r="D815" s="73">
        <f>HEX2DEC("2B")</f>
        <v>43</v>
      </c>
      <c r="E815" s="76" t="str">
        <f t="array" ref="E815">INDEX(Moves!$B$2:'Moves'!$B$177, SUM(HEX2DEC("2D"),1), 1)</f>
        <v>Ice Beam</v>
      </c>
      <c r="F815" s="11">
        <v>35</v>
      </c>
      <c r="G815" s="20" t="str">
        <f>VLOOKUP(F815, TMHM!$B$10:$C1519, 2, FALSE)</f>
        <v>Harden</v>
      </c>
      <c r="H815" s="21"/>
      <c r="I815" s="25"/>
      <c r="J815" s="30"/>
    </row>
    <row r="816" spans="1:10" x14ac:dyDescent="0.2">
      <c r="A816" s="120"/>
      <c r="B816" s="48">
        <f>HEX2DEC("3C")</f>
        <v>60</v>
      </c>
      <c r="C816" s="23" t="str">
        <f t="array" ref="C816">INDEX(Moves!$B$2:'Moves'!$B$177, SUM(HEX2DEC("A6"),1), 1)</f>
        <v>SmokeScreen</v>
      </c>
      <c r="D816" s="48">
        <f>HEX2DEC("3C")</f>
        <v>60</v>
      </c>
      <c r="E816" s="23" t="s">
        <v>44</v>
      </c>
      <c r="F816" s="11"/>
      <c r="H816" s="21"/>
      <c r="I816" s="25"/>
      <c r="J816" s="30"/>
    </row>
    <row r="817" spans="1:10" x14ac:dyDescent="0.2">
      <c r="A817" s="121" t="s">
        <v>171</v>
      </c>
      <c r="B817" s="64">
        <f>HEX2DEC("00")</f>
        <v>0</v>
      </c>
      <c r="C817" s="65" t="str">
        <f t="array" ref="C817">INDEX(Moves!$B$2:'Moves'!$B$177, SUM(HEX2DEC("44"),1), 1)</f>
        <v>Smog</v>
      </c>
      <c r="D817" s="64">
        <f t="shared" ref="D817:D818" si="66">HEX2DEC("01")</f>
        <v>1</v>
      </c>
      <c r="E817" s="65" t="str">
        <f t="array" ref="E817">INDEX(Moves!$B$2:'Moves'!$B$177, SUM(HEX2DEC("4A"),1), 1)</f>
        <v>Poison Gas</v>
      </c>
      <c r="F817" s="41">
        <v>6</v>
      </c>
      <c r="G817" s="12" t="str">
        <f>VLOOKUP(F817, TMHM!$B$10:$C1519, 2, FALSE)</f>
        <v>Toxic</v>
      </c>
      <c r="H817" s="13">
        <v>4</v>
      </c>
      <c r="I817" s="14" t="str">
        <f>VLOOKUP(H817, TMHM!$B$2:$C$7, 2, FALSE)</f>
        <v>Strength</v>
      </c>
      <c r="J817" s="30"/>
    </row>
    <row r="818" spans="1:10" x14ac:dyDescent="0.2">
      <c r="A818" s="120"/>
      <c r="B818" s="50">
        <f>HEX2DEC("02")</f>
        <v>2</v>
      </c>
      <c r="C818" s="51" t="str">
        <f t="array" ref="C818">INDEX(Moves!$B$2:'Moves'!$B$177, SUM(HEX2DEC("89"),1), 1)</f>
        <v>Tackle</v>
      </c>
      <c r="D818" s="50">
        <f t="shared" si="66"/>
        <v>1</v>
      </c>
      <c r="E818" s="51" t="s">
        <v>84</v>
      </c>
      <c r="F818" s="11">
        <v>8</v>
      </c>
      <c r="G818" s="20" t="str">
        <f>VLOOKUP(F818, TMHM!$B$10:$C1519, 2, FALSE)</f>
        <v>Charm</v>
      </c>
      <c r="H818" s="21"/>
      <c r="I818" s="25"/>
      <c r="J818" s="30"/>
    </row>
    <row r="819" spans="1:10" x14ac:dyDescent="0.2">
      <c r="A819" s="120"/>
      <c r="B819" s="50">
        <f>HEX2DEC("05")</f>
        <v>5</v>
      </c>
      <c r="C819" s="51" t="str">
        <f t="array" ref="C819">INDEX(Moves!$B$2:'Moves'!$B$177, SUM(HEX2DEC("86"),1), 1)</f>
        <v>Iron Defense</v>
      </c>
      <c r="D819" s="50">
        <f>HEX2DEC("05")</f>
        <v>5</v>
      </c>
      <c r="E819" s="51" t="str">
        <f t="array" ref="E819">INDEX(Moves!$B$2:'Moves'!$B$177, SUM(HEX2DEC("A3"),1), 1)</f>
        <v>Harden</v>
      </c>
      <c r="F819" s="11">
        <v>9</v>
      </c>
      <c r="G819" s="20" t="str">
        <f>VLOOKUP(F819, TMHM!$B$10:$C1519, 2, FALSE)</f>
        <v>Snore</v>
      </c>
      <c r="H819" s="21"/>
      <c r="I819" s="25"/>
      <c r="J819" s="30"/>
    </row>
    <row r="820" spans="1:10" x14ac:dyDescent="0.2">
      <c r="A820" s="120"/>
      <c r="B820" s="48">
        <f>HEX2DEC("0A")</f>
        <v>10</v>
      </c>
      <c r="C820" s="23" t="str">
        <f t="array" ref="C820">INDEX(Moves!$B$2:'Moves'!$B$177, SUM(HEX2DEC("66"),1), 1)</f>
        <v>Psybeam</v>
      </c>
      <c r="D820" s="48">
        <f>HEX2DEC("0A")</f>
        <v>10</v>
      </c>
      <c r="E820" s="23" t="s">
        <v>94</v>
      </c>
      <c r="F820" s="11">
        <v>20</v>
      </c>
      <c r="G820" s="20" t="str">
        <f>VLOOKUP(F820, TMHM!$B$10:$C1519, 2, FALSE)</f>
        <v>Iron Defense</v>
      </c>
      <c r="H820" s="21"/>
      <c r="I820" s="25"/>
      <c r="J820" s="30"/>
    </row>
    <row r="821" spans="1:10" x14ac:dyDescent="0.2">
      <c r="A821" s="120"/>
      <c r="B821" s="16">
        <f>HEX2DEC("10")</f>
        <v>16</v>
      </c>
      <c r="C821" s="17" t="str">
        <f t="array" ref="C821">INDEX(Moves!$B$2:'Moves'!$B$177, SUM(HEX2DEC("48"),1), 1)</f>
        <v>Sludge</v>
      </c>
      <c r="D821" s="16">
        <f>HEX2DEC("10")</f>
        <v>16</v>
      </c>
      <c r="E821" s="17" t="str">
        <f t="array" ref="E821">INDEX(Moves!$B$2:'Moves'!$B$177, SUM(HEX2DEC("48"),1), 1)</f>
        <v>Sludge</v>
      </c>
      <c r="F821" s="11">
        <v>21</v>
      </c>
      <c r="G821" s="20" t="str">
        <f>VLOOKUP(F821, TMHM!$B$10:$C1519, 2, FALSE)</f>
        <v>Recover</v>
      </c>
      <c r="H821" s="21"/>
      <c r="I821" s="25"/>
      <c r="J821" s="30"/>
    </row>
    <row r="822" spans="1:10" x14ac:dyDescent="0.2">
      <c r="A822" s="120"/>
      <c r="B822" s="48">
        <f>HEX2DEC("17")</f>
        <v>23</v>
      </c>
      <c r="C822" s="23" t="str">
        <f t="array" ref="C822">INDEX(Moves!$B$2:'Moves'!$B$177, SUM(HEX2DEC("80"),1), 1)</f>
        <v>Bite</v>
      </c>
      <c r="D822" s="48">
        <f>HEX2DEC("17")</f>
        <v>23</v>
      </c>
      <c r="E822" s="23" t="s">
        <v>86</v>
      </c>
      <c r="F822" s="11">
        <v>32</v>
      </c>
      <c r="G822" s="20" t="str">
        <f>VLOOKUP(F822, TMHM!$B$10:$C1519, 2, FALSE)</f>
        <v>Double Team</v>
      </c>
      <c r="H822" s="21"/>
      <c r="I822" s="25"/>
      <c r="J822" s="30"/>
    </row>
    <row r="823" spans="1:10" x14ac:dyDescent="0.2">
      <c r="A823" s="120"/>
      <c r="B823" s="48">
        <f>HEX2DEC("1F")</f>
        <v>31</v>
      </c>
      <c r="C823" s="23" t="str">
        <f t="array" ref="C823">INDEX(Moves!$B$2:'Moves'!$B$177, SUM(HEX2DEC("9E"),1), 1)</f>
        <v>Supersonic</v>
      </c>
      <c r="D823" s="48">
        <f>HEX2DEC("1F")</f>
        <v>31</v>
      </c>
      <c r="E823" s="23" t="s">
        <v>63</v>
      </c>
      <c r="F823" s="11">
        <v>35</v>
      </c>
      <c r="G823" s="20" t="str">
        <f>VLOOKUP(F823, TMHM!$B$10:$C1519, 2, FALSE)</f>
        <v>Harden</v>
      </c>
      <c r="H823" s="21"/>
      <c r="I823" s="25"/>
      <c r="J823" s="30"/>
    </row>
    <row r="824" spans="1:10" x14ac:dyDescent="0.2">
      <c r="A824" s="120"/>
      <c r="B824" s="48">
        <f>HEX2DEC("28")</f>
        <v>40</v>
      </c>
      <c r="C824" s="23" t="str">
        <f t="array" ref="C824">INDEX(Moves!$B$2:'Moves'!$B$177, SUM(HEX2DEC("4C"),1), 1)</f>
        <v>Toxic</v>
      </c>
      <c r="D824" s="48">
        <f>HEX2DEC("28")</f>
        <v>40</v>
      </c>
      <c r="E824" s="23" t="s">
        <v>172</v>
      </c>
      <c r="F824" s="11">
        <v>36</v>
      </c>
      <c r="G824" s="20" t="str">
        <f>VLOOKUP(F824, TMHM!$B$10:$C1519, 2, FALSE)</f>
        <v>Sludge Bomb</v>
      </c>
      <c r="H824" s="21"/>
      <c r="I824" s="25"/>
      <c r="J824" s="30"/>
    </row>
    <row r="825" spans="1:10" x14ac:dyDescent="0.2">
      <c r="A825" s="120"/>
      <c r="B825" s="16">
        <f>HEX2DEC("32")</f>
        <v>50</v>
      </c>
      <c r="C825" s="17" t="str">
        <f t="array" ref="C825">INDEX(Moves!$B$2:'Moves'!$B$177, SUM(HEX2DEC("49"),1), 1)</f>
        <v>Sludge Bomb</v>
      </c>
      <c r="D825" s="16">
        <f>HEX2DEC("32")</f>
        <v>50</v>
      </c>
      <c r="E825" s="17" t="str">
        <f t="array" ref="E825">INDEX(Moves!$B$2:'Moves'!$B$177, SUM(HEX2DEC("49"),1), 1)</f>
        <v>Sludge Bomb</v>
      </c>
      <c r="F825" s="11"/>
      <c r="H825" s="21"/>
      <c r="I825" s="25"/>
      <c r="J825" s="30"/>
    </row>
    <row r="826" spans="1:10" x14ac:dyDescent="0.2">
      <c r="A826" s="121" t="s">
        <v>173</v>
      </c>
      <c r="B826" s="64">
        <f>HEX2DEC("00")</f>
        <v>0</v>
      </c>
      <c r="C826" s="65" t="str">
        <f t="array" ref="C826">INDEX(Moves!$B$2:'Moves'!$B$177, SUM(HEX2DEC("44"),1), 1)</f>
        <v>Smog</v>
      </c>
      <c r="D826" s="64">
        <f t="shared" ref="D826:D828" si="67">HEX2DEC("01")</f>
        <v>1</v>
      </c>
      <c r="E826" s="65" t="str">
        <f t="array" ref="E826">INDEX(Moves!$B$2:'Moves'!$B$177, SUM(HEX2DEC("4A"),1), 1)</f>
        <v>Poison Gas</v>
      </c>
      <c r="F826" s="41">
        <v>6</v>
      </c>
      <c r="G826" s="12" t="str">
        <f>VLOOKUP(F826, TMHM!$B$10:$C1519, 2, FALSE)</f>
        <v>Toxic</v>
      </c>
      <c r="H826" s="13">
        <v>4</v>
      </c>
      <c r="I826" s="14" t="str">
        <f>VLOOKUP(H826, TMHM!$B$2:$C$7, 2, FALSE)</f>
        <v>Strength</v>
      </c>
      <c r="J826" s="30"/>
    </row>
    <row r="827" spans="1:10" x14ac:dyDescent="0.2">
      <c r="A827" s="120"/>
      <c r="B827" s="43">
        <f>HEX2DEC("02")</f>
        <v>2</v>
      </c>
      <c r="C827" s="51" t="str">
        <f t="array" ref="C827">INDEX(Moves!$B$2:'Moves'!$B$177, SUM(HEX2DEC("89"),1), 1)</f>
        <v>Tackle</v>
      </c>
      <c r="D827" s="43">
        <f t="shared" si="67"/>
        <v>1</v>
      </c>
      <c r="E827" s="51" t="s">
        <v>84</v>
      </c>
      <c r="F827" s="11">
        <v>8</v>
      </c>
      <c r="G827" s="20" t="str">
        <f>VLOOKUP(F827, TMHM!$B$10:$C1519, 2, FALSE)</f>
        <v>Charm</v>
      </c>
      <c r="H827" s="21"/>
      <c r="I827" s="25"/>
      <c r="J827" s="30"/>
    </row>
    <row r="828" spans="1:10" x14ac:dyDescent="0.2">
      <c r="A828" s="120"/>
      <c r="B828" s="34"/>
      <c r="C828" s="35"/>
      <c r="D828" s="34">
        <f t="shared" si="67"/>
        <v>1</v>
      </c>
      <c r="E828" s="35" t="str">
        <f t="array" ref="E828">INDEX(Moves!$B$2:'Moves'!$B$177, SUM(HEX2DEC("A3"),1), 1)</f>
        <v>Harden</v>
      </c>
      <c r="F828" s="11">
        <v>9</v>
      </c>
      <c r="G828" s="20" t="str">
        <f>VLOOKUP(F828, TMHM!$B$10:$C1519, 2, FALSE)</f>
        <v>Snore</v>
      </c>
      <c r="H828" s="21"/>
      <c r="I828" s="25"/>
      <c r="J828" s="30"/>
    </row>
    <row r="829" spans="1:10" x14ac:dyDescent="0.2">
      <c r="A829" s="120"/>
      <c r="B829" s="43">
        <f>HEX2DEC("05")</f>
        <v>5</v>
      </c>
      <c r="C829" s="51" t="str">
        <f t="array" ref="C829">INDEX(Moves!$B$2:'Moves'!$B$177, SUM(HEX2DEC("86"),1), 1)</f>
        <v>Iron Defense</v>
      </c>
      <c r="D829" s="43">
        <f>HEX2DEC("21")</f>
        <v>33</v>
      </c>
      <c r="E829" s="51" t="str">
        <f t="array" ref="E829">INDEX(Moves!$B$2:'Moves'!$B$177, SUM(HEX2DEC("A3"),1), 1)</f>
        <v>Harden</v>
      </c>
      <c r="F829" s="11">
        <v>20</v>
      </c>
      <c r="G829" s="20" t="str">
        <f>VLOOKUP(F829, TMHM!$B$10:$C1519, 2, FALSE)</f>
        <v>Iron Defense</v>
      </c>
      <c r="H829" s="21"/>
      <c r="I829" s="25"/>
      <c r="J829" s="30"/>
    </row>
    <row r="830" spans="1:10" x14ac:dyDescent="0.2">
      <c r="A830" s="120"/>
      <c r="B830" s="43">
        <f>HEX2DEC("0F")</f>
        <v>15</v>
      </c>
      <c r="C830" s="23" t="str">
        <f t="array" ref="C830">INDEX(Moves!$B$2:'Moves'!$B$177, SUM(HEX2DEC("66"),1), 1)</f>
        <v>Psybeam</v>
      </c>
      <c r="D830" s="43">
        <f>HEX2DEC("25")</f>
        <v>37</v>
      </c>
      <c r="E830" s="23" t="s">
        <v>94</v>
      </c>
      <c r="F830" s="11">
        <v>21</v>
      </c>
      <c r="G830" s="20" t="str">
        <f>VLOOKUP(F830, TMHM!$B$10:$C1519, 2, FALSE)</f>
        <v>Recover</v>
      </c>
      <c r="H830" s="21"/>
      <c r="I830" s="25"/>
      <c r="J830" s="30"/>
    </row>
    <row r="831" spans="1:10" x14ac:dyDescent="0.2">
      <c r="A831" s="120"/>
      <c r="B831" s="43">
        <f>HEX2DEC("19")</f>
        <v>25</v>
      </c>
      <c r="C831" s="17" t="str">
        <f t="array" ref="C831">INDEX(Moves!$B$2:'Moves'!$B$177, SUM(HEX2DEC("48"),1), 1)</f>
        <v>Sludge</v>
      </c>
      <c r="D831" s="43">
        <f>HEX2DEC("2D")</f>
        <v>45</v>
      </c>
      <c r="E831" s="17" t="str">
        <f t="array" ref="E831">INDEX(Moves!$B$2:'Moves'!$B$177, SUM(HEX2DEC("48"),1), 1)</f>
        <v>Sludge</v>
      </c>
      <c r="F831" s="11">
        <v>32</v>
      </c>
      <c r="G831" s="20" t="str">
        <f>VLOOKUP(F831, TMHM!$B$10:$C1519, 2, FALSE)</f>
        <v>Double Team</v>
      </c>
      <c r="H831" s="21"/>
      <c r="I831" s="25"/>
      <c r="J831" s="30"/>
    </row>
    <row r="832" spans="1:10" x14ac:dyDescent="0.2">
      <c r="A832" s="120"/>
      <c r="B832" s="43">
        <f>HEX2DEC("21")</f>
        <v>33</v>
      </c>
      <c r="C832" s="23" t="str">
        <f t="array" ref="C832">INDEX(Moves!$B$2:'Moves'!$B$177, SUM(HEX2DEC("80"),1), 1)</f>
        <v>Bite</v>
      </c>
      <c r="D832" s="43">
        <f>HEX2DEC("17")</f>
        <v>23</v>
      </c>
      <c r="E832" s="23" t="s">
        <v>86</v>
      </c>
      <c r="F832" s="11">
        <v>35</v>
      </c>
      <c r="G832" s="20" t="str">
        <f>VLOOKUP(F832, TMHM!$B$10:$C1519, 2, FALSE)</f>
        <v>Harden</v>
      </c>
      <c r="H832" s="21"/>
      <c r="I832" s="25"/>
      <c r="J832" s="30"/>
    </row>
    <row r="833" spans="1:10" x14ac:dyDescent="0.2">
      <c r="A833" s="120"/>
      <c r="B833" s="43">
        <f>HEX2DEC("25")</f>
        <v>37</v>
      </c>
      <c r="C833" s="23" t="str">
        <f t="array" ref="C833">INDEX(Moves!$B$2:'Moves'!$B$177, SUM(HEX2DEC("9E"),1), 1)</f>
        <v>Supersonic</v>
      </c>
      <c r="D833" s="43">
        <f>HEX2DEC("1F")</f>
        <v>31</v>
      </c>
      <c r="E833" s="23" t="s">
        <v>63</v>
      </c>
      <c r="F833" s="11">
        <v>36</v>
      </c>
      <c r="G833" s="20" t="str">
        <f>VLOOKUP(F833, TMHM!$B$10:$C1519, 2, FALSE)</f>
        <v>Sludge Bomb</v>
      </c>
      <c r="H833" s="21"/>
      <c r="I833" s="25"/>
      <c r="J833" s="30"/>
    </row>
    <row r="834" spans="1:10" x14ac:dyDescent="0.2">
      <c r="A834" s="120"/>
      <c r="B834" s="48">
        <f>HEX2DEC("2D")</f>
        <v>45</v>
      </c>
      <c r="C834" s="23" t="str">
        <f t="array" ref="C834">INDEX(Moves!$B$2:'Moves'!$B$177, SUM(HEX2DEC("4C"),1), 1)</f>
        <v>Toxic</v>
      </c>
      <c r="D834" s="48">
        <f>HEX2DEC("2D")</f>
        <v>45</v>
      </c>
      <c r="E834" s="23" t="s">
        <v>172</v>
      </c>
      <c r="F834" s="11"/>
      <c r="H834" s="21"/>
      <c r="I834" s="25"/>
      <c r="J834" s="30"/>
    </row>
    <row r="835" spans="1:10" x14ac:dyDescent="0.2">
      <c r="A835" s="120"/>
      <c r="B835" s="16">
        <f>HEX2DEC("3C")</f>
        <v>60</v>
      </c>
      <c r="C835" s="17" t="str">
        <f t="array" ref="C835">INDEX(Moves!$B$2:'Moves'!$B$177, SUM(HEX2DEC("49"),1), 1)</f>
        <v>Sludge Bomb</v>
      </c>
      <c r="D835" s="16">
        <f>HEX2DEC("3C")</f>
        <v>60</v>
      </c>
      <c r="E835" s="17" t="str">
        <f t="array" ref="E835">INDEX(Moves!$B$2:'Moves'!$B$177, SUM(HEX2DEC("49"),1), 1)</f>
        <v>Sludge Bomb</v>
      </c>
      <c r="F835" s="11"/>
      <c r="H835" s="21"/>
      <c r="I835" s="25"/>
      <c r="J835" s="30"/>
    </row>
    <row r="836" spans="1:10" x14ac:dyDescent="0.2">
      <c r="A836" s="121" t="s">
        <v>174</v>
      </c>
      <c r="B836" s="70">
        <f>HEX2DEC("00")</f>
        <v>0</v>
      </c>
      <c r="C836" s="71" t="str">
        <f t="array" ref="C836">INDEX(Moves!$B$2:'Moves'!$B$177, SUM(HEX2DEC("89"),1), 1)</f>
        <v>Tackle</v>
      </c>
      <c r="D836" s="70">
        <f t="shared" ref="D836:D837" si="68">HEX2DEC("01")</f>
        <v>1</v>
      </c>
      <c r="E836" s="71" t="str">
        <f t="array" ref="E836">INDEX(Moves!$B$2:'Moves'!$B$177, SUM(HEX2DEC("89"),1), 1)</f>
        <v>Tackle</v>
      </c>
      <c r="F836" s="41">
        <v>3</v>
      </c>
      <c r="G836" s="12" t="str">
        <f>VLOOKUP(F836, TMHM!$B$10:$C1519, 2, FALSE)</f>
        <v>Water Pulse</v>
      </c>
      <c r="H836" s="13">
        <v>3</v>
      </c>
      <c r="I836" s="14" t="str">
        <f>VLOOKUP(H836, TMHM!$B$2:$C$7, 2, FALSE)</f>
        <v>Surf</v>
      </c>
      <c r="J836" s="30"/>
    </row>
    <row r="837" spans="1:10" x14ac:dyDescent="0.2">
      <c r="A837" s="120"/>
      <c r="B837" s="43">
        <f>HEX2DEC("02")</f>
        <v>2</v>
      </c>
      <c r="C837" s="17" t="str">
        <f t="array" ref="C837">INDEX(Moves!$B$2:'Moves'!$B$177, SUM(HEX2DEC("12"),1), 1)</f>
        <v>Withdraw</v>
      </c>
      <c r="D837" s="43">
        <f t="shared" si="68"/>
        <v>1</v>
      </c>
      <c r="E837" s="17" t="str">
        <f t="array" ref="E837">INDEX(Moves!$B$2:'Moves'!$B$177, SUM(HEX2DEC("12"),1), 1)</f>
        <v>Withdraw</v>
      </c>
      <c r="F837" s="11">
        <v>11</v>
      </c>
      <c r="G837" s="20" t="str">
        <f>VLOOKUP(F837, TMHM!$B$10:$C1519, 2, FALSE)</f>
        <v>Bubblebeam</v>
      </c>
      <c r="H837" s="21"/>
      <c r="I837" s="25"/>
      <c r="J837" s="30"/>
    </row>
    <row r="838" spans="1:10" x14ac:dyDescent="0.2">
      <c r="A838" s="120"/>
      <c r="B838" s="16">
        <f>HEX2DEC("09")</f>
        <v>9</v>
      </c>
      <c r="C838" s="17" t="str">
        <f t="array" ref="C838">INDEX(Moves!$B$2:'Moves'!$B$177, SUM(HEX2DEC("9E"),1), 1)</f>
        <v>Supersonic</v>
      </c>
      <c r="D838" s="16">
        <f>HEX2DEC("09")</f>
        <v>9</v>
      </c>
      <c r="E838" s="17" t="str">
        <f t="array" ref="E838">INDEX(Moves!$B$2:'Moves'!$B$177, SUM(HEX2DEC("9E"),1), 1)</f>
        <v>Supersonic</v>
      </c>
      <c r="F838" s="11">
        <v>13</v>
      </c>
      <c r="G838" s="20" t="str">
        <f>VLOOKUP(F838, TMHM!$B$10:$C1519, 2, FALSE)</f>
        <v>Ice Beam</v>
      </c>
      <c r="H838" s="21"/>
      <c r="I838" s="25"/>
      <c r="J838" s="30"/>
    </row>
    <row r="839" spans="1:10" x14ac:dyDescent="0.2">
      <c r="A839" s="120"/>
      <c r="B839" s="16">
        <f>HEX2DEC("11")</f>
        <v>17</v>
      </c>
      <c r="C839" s="17" t="str">
        <f t="array" ref="C839">INDEX(Moves!$B$2:'Moves'!$B$177, SUM(HEX2DEC("2B"),1), 1)</f>
        <v>Aurora Beam</v>
      </c>
      <c r="D839" s="16">
        <f>HEX2DEC("11")</f>
        <v>17</v>
      </c>
      <c r="E839" s="17" t="str">
        <f t="array" ref="E839">INDEX(Moves!$B$2:'Moves'!$B$177, SUM(HEX2DEC("2B"),1), 1)</f>
        <v>Aurora Beam</v>
      </c>
      <c r="F839" s="11">
        <v>14</v>
      </c>
      <c r="G839" s="20" t="str">
        <f>VLOOKUP(F839, TMHM!$B$10:$C1519, 2, FALSE)</f>
        <v>Blizzard</v>
      </c>
      <c r="H839" s="21"/>
      <c r="I839" s="25"/>
      <c r="J839" s="30"/>
    </row>
    <row r="840" spans="1:10" x14ac:dyDescent="0.2">
      <c r="A840" s="120"/>
      <c r="B840" s="48">
        <f>HEX2DEC("19")</f>
        <v>25</v>
      </c>
      <c r="C840" s="23" t="str">
        <f t="array" ref="C840">INDEX(Moves!$B$2:'Moves'!$B$177, SUM(HEX2DEC("A0"),1), 1)</f>
        <v>Growl</v>
      </c>
      <c r="D840" s="48">
        <f>HEX2DEC("19")</f>
        <v>25</v>
      </c>
      <c r="E840" s="23" t="s">
        <v>35</v>
      </c>
      <c r="F840" s="11">
        <v>20</v>
      </c>
      <c r="G840" s="20" t="str">
        <f>VLOOKUP(F840, TMHM!$B$10:$C1519, 2, FALSE)</f>
        <v>Iron Defense</v>
      </c>
      <c r="H840" s="21"/>
      <c r="I840" s="25"/>
      <c r="J840" s="30"/>
    </row>
    <row r="841" spans="1:10" x14ac:dyDescent="0.2">
      <c r="A841" s="120"/>
      <c r="B841" s="48">
        <f>HEX2DEC("21")</f>
        <v>33</v>
      </c>
      <c r="C841" s="23" t="str">
        <f t="array" ref="C841">INDEX(Moves!$B$2:'Moves'!$B$177, SUM(HEX2DEC("A3"),1), 1)</f>
        <v>Harden</v>
      </c>
      <c r="D841" s="48">
        <f>HEX2DEC("21")</f>
        <v>33</v>
      </c>
      <c r="E841" s="23" t="s">
        <v>59</v>
      </c>
      <c r="F841" s="11">
        <v>30</v>
      </c>
      <c r="G841" s="20" t="str">
        <f>VLOOKUP(F841, TMHM!$B$10:$C1519, 2, FALSE)</f>
        <v>Shadow Ball</v>
      </c>
      <c r="H841" s="21"/>
      <c r="I841" s="25"/>
      <c r="J841" s="30"/>
    </row>
    <row r="842" spans="1:10" x14ac:dyDescent="0.2">
      <c r="A842" s="120"/>
      <c r="B842" s="16">
        <f>HEX2DEC("29")</f>
        <v>41</v>
      </c>
      <c r="C842" s="17" t="str">
        <f t="array" ref="C842">INDEX(Moves!$B$2:'Moves'!$B$177, SUM(HEX2DEC("11"),1), 1)</f>
        <v>Clamp</v>
      </c>
      <c r="D842" s="16">
        <f>HEX2DEC("29")</f>
        <v>41</v>
      </c>
      <c r="E842" s="17" t="str">
        <f t="array" ref="E842">INDEX(Moves!$B$2:'Moves'!$B$177, SUM(HEX2DEC("11"),1), 1)</f>
        <v>Clamp</v>
      </c>
      <c r="F842" s="11"/>
      <c r="H842" s="21"/>
      <c r="I842" s="25"/>
      <c r="J842" s="30"/>
    </row>
    <row r="843" spans="1:10" x14ac:dyDescent="0.2">
      <c r="A843" s="120"/>
      <c r="B843" s="16">
        <f>HEX2DEC("31")</f>
        <v>49</v>
      </c>
      <c r="C843" s="17" t="str">
        <f t="array" ref="C843">INDEX(Moves!$B$2:'Moves'!$B$177, SUM(HEX2DEC("2D"),1), 1)</f>
        <v>Ice Beam</v>
      </c>
      <c r="D843" s="16">
        <f>HEX2DEC("31")</f>
        <v>49</v>
      </c>
      <c r="E843" s="17" t="str">
        <f t="array" ref="E843">INDEX(Moves!$B$2:'Moves'!$B$177, SUM(HEX2DEC("2D"),1), 1)</f>
        <v>Ice Beam</v>
      </c>
      <c r="F843" s="11"/>
      <c r="H843" s="21"/>
      <c r="I843" s="25"/>
      <c r="J843" s="30"/>
    </row>
    <row r="844" spans="1:10" x14ac:dyDescent="0.2">
      <c r="A844" s="121" t="s">
        <v>175</v>
      </c>
      <c r="B844" s="64">
        <f>HEX2DEC("00")</f>
        <v>0</v>
      </c>
      <c r="C844" s="65" t="str">
        <f t="array" ref="C844">INDEX(Moves!$B$2:'Moves'!$B$177, SUM(HEX2DEC("89"),1), 1)</f>
        <v>Tackle</v>
      </c>
      <c r="D844" s="64">
        <f t="shared" ref="D844:D845" si="69">HEX2DEC("01")</f>
        <v>1</v>
      </c>
      <c r="E844" s="65" t="str">
        <f t="array" ref="E844">INDEX(Moves!$B$2:'Moves'!$B$177, SUM(HEX2DEC("12"),1), 1)</f>
        <v>Withdraw</v>
      </c>
      <c r="F844" s="41">
        <v>3</v>
      </c>
      <c r="G844" s="12" t="str">
        <f>VLOOKUP(F844, TMHM!$B$10:$C1519, 2, FALSE)</f>
        <v>Water Pulse</v>
      </c>
      <c r="H844" s="13">
        <v>3</v>
      </c>
      <c r="I844" s="14" t="str">
        <f>VLOOKUP(H844, TMHM!$B$2:$C$7, 2, FALSE)</f>
        <v>Surf</v>
      </c>
      <c r="J844" s="30"/>
    </row>
    <row r="845" spans="1:10" x14ac:dyDescent="0.2">
      <c r="A845" s="120"/>
      <c r="B845" s="43">
        <f>HEX2DEC("02")</f>
        <v>2</v>
      </c>
      <c r="C845" s="51" t="str">
        <f t="array" ref="C845">INDEX(Moves!$B$2:'Moves'!$B$177, SUM(HEX2DEC("12"),1), 1)</f>
        <v>Withdraw</v>
      </c>
      <c r="D845" s="43">
        <f t="shared" si="69"/>
        <v>1</v>
      </c>
      <c r="E845" s="51" t="str">
        <f t="array" ref="E845">INDEX(Moves!$B$2:'Moves'!$B$177, SUM(HEX2DEC("9E"),1), 1)</f>
        <v>Supersonic</v>
      </c>
      <c r="F845" s="11">
        <v>11</v>
      </c>
      <c r="G845" s="20" t="str">
        <f>VLOOKUP(F845, TMHM!$B$10:$C1519, 2, FALSE)</f>
        <v>Bubblebeam</v>
      </c>
      <c r="H845" s="21"/>
      <c r="I845" s="25"/>
      <c r="J845" s="30"/>
    </row>
    <row r="846" spans="1:10" x14ac:dyDescent="0.2">
      <c r="A846" s="120"/>
      <c r="B846" s="43">
        <f>HEX2DEC("09")</f>
        <v>9</v>
      </c>
      <c r="C846" s="51" t="str">
        <f t="array" ref="C846">INDEX(Moves!$B$2:'Moves'!$B$177, SUM(HEX2DEC("9E"),1), 1)</f>
        <v>Supersonic</v>
      </c>
      <c r="D846" s="43">
        <f t="shared" ref="D846:D847" si="70">HEX2DEC("1")</f>
        <v>1</v>
      </c>
      <c r="E846" s="51" t="str">
        <f t="array" ref="E846">INDEX(Moves!$B$2:'Moves'!$B$177, SUM(HEX2DEC("2B"),1), 1)</f>
        <v>Aurora Beam</v>
      </c>
      <c r="F846" s="11">
        <v>13</v>
      </c>
      <c r="G846" s="20" t="str">
        <f>VLOOKUP(F846, TMHM!$B$10:$C1519, 2, FALSE)</f>
        <v>Ice Beam</v>
      </c>
      <c r="H846" s="21"/>
      <c r="I846" s="25"/>
      <c r="J846" s="30"/>
    </row>
    <row r="847" spans="1:10" x14ac:dyDescent="0.2">
      <c r="A847" s="120"/>
      <c r="B847" s="43">
        <f>HEX2DEC("11")</f>
        <v>17</v>
      </c>
      <c r="C847" s="23" t="str">
        <f t="array" ref="C847">INDEX(Moves!$B$2:'Moves'!$B$177, SUM(HEX2DEC("2B"),1), 1)</f>
        <v>Aurora Beam</v>
      </c>
      <c r="D847" s="43">
        <f t="shared" si="70"/>
        <v>1</v>
      </c>
      <c r="E847" s="23" t="s">
        <v>35</v>
      </c>
      <c r="F847" s="11">
        <v>14</v>
      </c>
      <c r="G847" s="20" t="str">
        <f>VLOOKUP(F847, TMHM!$B$10:$C1519, 2, FALSE)</f>
        <v>Blizzard</v>
      </c>
      <c r="H847" s="21"/>
      <c r="I847" s="25"/>
      <c r="J847" s="30"/>
    </row>
    <row r="848" spans="1:10" x14ac:dyDescent="0.2">
      <c r="A848" s="120"/>
      <c r="B848" s="43">
        <f>HEX2DEC("19")</f>
        <v>25</v>
      </c>
      <c r="C848" s="23" t="str">
        <f t="array" ref="C848">INDEX(Moves!$B$2:'Moves'!$B$177, SUM(HEX2DEC("11"),1), 1)</f>
        <v>Clamp</v>
      </c>
      <c r="D848" s="48">
        <f>HEX2DEC("29")</f>
        <v>41</v>
      </c>
      <c r="E848" s="23" t="s">
        <v>176</v>
      </c>
      <c r="F848" s="11">
        <v>20</v>
      </c>
      <c r="G848" s="20" t="str">
        <f>VLOOKUP(F848, TMHM!$B$10:$C1519, 2, FALSE)</f>
        <v>Iron Defense</v>
      </c>
      <c r="H848" s="21"/>
      <c r="I848" s="25"/>
      <c r="J848" s="30"/>
    </row>
    <row r="849" spans="1:10" x14ac:dyDescent="0.2">
      <c r="A849" s="120"/>
      <c r="B849" s="67">
        <f>HEX2DEC("29")</f>
        <v>41</v>
      </c>
      <c r="C849" s="68" t="str">
        <f t="array" ref="C849">INDEX(Moves!$B$2:'Moves'!$B$177, SUM(HEX2DEC("0F"),1), 1)</f>
        <v>Hydro Pump</v>
      </c>
      <c r="D849" s="67"/>
      <c r="E849" s="68"/>
      <c r="F849" s="11">
        <v>30</v>
      </c>
      <c r="G849" s="20" t="str">
        <f>VLOOKUP(F849, TMHM!$B$10:$C1519, 2, FALSE)</f>
        <v>Shadow Ball</v>
      </c>
      <c r="H849" s="21"/>
      <c r="I849" s="25"/>
      <c r="J849" s="30"/>
    </row>
    <row r="850" spans="1:10" x14ac:dyDescent="0.2">
      <c r="A850" s="121" t="s">
        <v>177</v>
      </c>
      <c r="B850" s="70">
        <f>HEX2DEC("00")</f>
        <v>0</v>
      </c>
      <c r="C850" s="71" t="str">
        <f t="array" ref="C850">INDEX(Moves!$B$2:'Moves'!$B$177, SUM(HEX2DEC("6D"),1), 1)</f>
        <v>Hypnosis</v>
      </c>
      <c r="D850" s="70">
        <f t="shared" ref="D850:D851" si="71">HEX2DEC("01")</f>
        <v>1</v>
      </c>
      <c r="E850" s="71" t="str">
        <f t="array" ref="E850">INDEX(Moves!$B$2:'Moves'!$B$177, SUM(HEX2DEC("6D"),1), 1)</f>
        <v>Hypnosis</v>
      </c>
      <c r="F850" s="41">
        <v>4</v>
      </c>
      <c r="G850" s="12" t="str">
        <f>VLOOKUP(F850, TMHM!$B$10:$C1519, 2, FALSE)</f>
        <v>Calm Mind</v>
      </c>
      <c r="H850" s="13">
        <v>5</v>
      </c>
      <c r="I850" s="14" t="str">
        <f>VLOOKUP(H850, TMHM!$B$2:$C$7, 2, FALSE)</f>
        <v>Flash</v>
      </c>
      <c r="J850" s="30"/>
    </row>
    <row r="851" spans="1:10" x14ac:dyDescent="0.2">
      <c r="A851" s="120"/>
      <c r="B851" s="43">
        <f>HEX2DEC("02")</f>
        <v>2</v>
      </c>
      <c r="C851" s="17" t="str">
        <f t="array" ref="C851">INDEX(Moves!$B$2:'Moves'!$B$177, SUM(HEX2DEC("72"),1), 1)</f>
        <v>Lick</v>
      </c>
      <c r="D851" s="43">
        <f t="shared" si="71"/>
        <v>1</v>
      </c>
      <c r="E851" s="17" t="str">
        <f t="array" ref="E851">INDEX(Moves!$B$2:'Moves'!$B$177, SUM(HEX2DEC("72"),1), 1)</f>
        <v>Lick</v>
      </c>
      <c r="F851" s="11">
        <v>6</v>
      </c>
      <c r="G851" s="20" t="str">
        <f>VLOOKUP(F851, TMHM!$B$10:$C1519, 2, FALSE)</f>
        <v>Toxic</v>
      </c>
      <c r="H851" s="21"/>
      <c r="I851" s="25"/>
      <c r="J851" s="30"/>
    </row>
    <row r="852" spans="1:10" x14ac:dyDescent="0.2">
      <c r="A852" s="120"/>
      <c r="B852" s="48">
        <f>HEX2DEC("08")</f>
        <v>8</v>
      </c>
      <c r="C852" s="23" t="str">
        <f t="array" ref="C852">INDEX(Moves!$B$2:'Moves'!$B$177, SUM(HEX2DEC("73"),1), 1)</f>
        <v>Astonish</v>
      </c>
      <c r="D852" s="48">
        <f>HEX2DEC("08")</f>
        <v>8</v>
      </c>
      <c r="E852" s="23" t="s">
        <v>178</v>
      </c>
      <c r="F852" s="11">
        <v>17</v>
      </c>
      <c r="G852" s="20" t="str">
        <f>VLOOKUP(F852, TMHM!$B$10:$C1519, 2, FALSE)</f>
        <v>SmokeScreen</v>
      </c>
      <c r="H852" s="21"/>
      <c r="I852" s="25"/>
      <c r="J852" s="30"/>
    </row>
    <row r="853" spans="1:10" x14ac:dyDescent="0.2">
      <c r="A853" s="120"/>
      <c r="B853" s="48">
        <f>HEX2DEC("0D")</f>
        <v>13</v>
      </c>
      <c r="C853" s="23" t="str">
        <f t="array" ref="C853">INDEX(Moves!$B$2:'Moves'!$B$177, SUM(HEX2DEC("AE"),1), 1)</f>
        <v>Curse</v>
      </c>
      <c r="D853" s="48">
        <f>HEX2DEC("0D")</f>
        <v>13</v>
      </c>
      <c r="E853" s="23" t="s">
        <v>99</v>
      </c>
      <c r="F853" s="11">
        <v>24</v>
      </c>
      <c r="G853" s="20" t="str">
        <f>VLOOKUP(F853, TMHM!$B$10:$C1519, 2, FALSE)</f>
        <v>Thunderbolt</v>
      </c>
      <c r="H853" s="21"/>
      <c r="I853" s="25"/>
      <c r="J853" s="30"/>
    </row>
    <row r="854" spans="1:10" x14ac:dyDescent="0.2">
      <c r="A854" s="120"/>
      <c r="B854" s="50">
        <f>HEX2DEC("10")</f>
        <v>16</v>
      </c>
      <c r="C854" s="51" t="str">
        <f t="array" ref="C854">INDEX(Moves!$B$2:'Moves'!$B$177, SUM(HEX2DEC("70"),1), 1)</f>
        <v>Calm Mind</v>
      </c>
      <c r="D854" s="50">
        <f>HEX2DEC("10")</f>
        <v>16</v>
      </c>
      <c r="E854" s="51" t="str">
        <f t="array" ref="E854">INDEX(Moves!$B$2:'Moves'!$B$177, SUM(HEX2DEC("AE"),1), 1)</f>
        <v>Curse</v>
      </c>
      <c r="F854" s="11">
        <v>29</v>
      </c>
      <c r="G854" s="20" t="str">
        <f>VLOOKUP(F854, TMHM!$B$10:$C1519, 2, FALSE)</f>
        <v>Psychic</v>
      </c>
      <c r="H854" s="21"/>
      <c r="I854" s="25"/>
      <c r="J854" s="30"/>
    </row>
    <row r="855" spans="1:10" x14ac:dyDescent="0.2">
      <c r="A855" s="120"/>
      <c r="B855" s="48">
        <f>HEX2DEC("15")</f>
        <v>21</v>
      </c>
      <c r="C855" s="23" t="str">
        <f t="array" ref="C855">INDEX(Moves!$B$2:'Moves'!$B$177, SUM(HEX2DEC("74"),1), 1)</f>
        <v>Shadow Punch</v>
      </c>
      <c r="D855" s="48">
        <f>HEX2DEC("15")</f>
        <v>21</v>
      </c>
      <c r="E855" s="23" t="s">
        <v>179</v>
      </c>
      <c r="F855" s="11">
        <v>36</v>
      </c>
      <c r="G855" s="20" t="str">
        <f>VLOOKUP(F855, TMHM!$B$10:$C1519, 2, FALSE)</f>
        <v>Sludge Bomb</v>
      </c>
      <c r="H855" s="21"/>
      <c r="I855" s="25"/>
      <c r="J855" s="30"/>
    </row>
    <row r="856" spans="1:10" x14ac:dyDescent="0.2">
      <c r="A856" s="120"/>
      <c r="B856" s="16">
        <f>HEX2DEC("1C")</f>
        <v>28</v>
      </c>
      <c r="C856" s="17" t="str">
        <f t="array" ref="C856">INDEX(Moves!$B$2:'Moves'!$B$177, SUM(HEX2DEC("77"),1), 1)</f>
        <v>Confuse Ray</v>
      </c>
      <c r="D856" s="16">
        <f>HEX2DEC("1C")</f>
        <v>28</v>
      </c>
      <c r="E856" s="17" t="str">
        <f t="array" ref="E856">INDEX(Moves!$B$2:'Moves'!$B$177, SUM(HEX2DEC("77"),1), 1)</f>
        <v>Confuse Ray</v>
      </c>
      <c r="F856" s="11">
        <v>40</v>
      </c>
      <c r="G856" s="20" t="str">
        <f>VLOOKUP(F856, TMHM!$B$10:$C1519, 2, FALSE)</f>
        <v>Psychic</v>
      </c>
      <c r="H856" s="21"/>
      <c r="I856" s="25"/>
      <c r="J856" s="30"/>
    </row>
    <row r="857" spans="1:10" x14ac:dyDescent="0.2">
      <c r="A857" s="120"/>
      <c r="B857" s="16">
        <f>HEX2DEC("21")</f>
        <v>33</v>
      </c>
      <c r="C857" s="17" t="str">
        <f t="array" ref="C857">INDEX(Moves!$B$2:'Moves'!$B$177, SUM(HEX2DEC("6B"),1), 1)</f>
        <v>Dream Eater</v>
      </c>
      <c r="D857" s="16">
        <f>HEX2DEC("21")</f>
        <v>33</v>
      </c>
      <c r="E857" s="17" t="str">
        <f t="array" ref="E857">INDEX(Moves!$B$2:'Moves'!$B$177, SUM(HEX2DEC("6B"),1), 1)</f>
        <v>Dream Eater</v>
      </c>
      <c r="F857" s="11"/>
      <c r="H857" s="21"/>
      <c r="I857" s="25"/>
      <c r="J857" s="30"/>
    </row>
    <row r="858" spans="1:10" x14ac:dyDescent="0.2">
      <c r="A858" s="120"/>
      <c r="B858" s="48">
        <f>HEX2DEC("24")</f>
        <v>36</v>
      </c>
      <c r="C858" s="23" t="str">
        <f t="array" ref="C858">INDEX(Moves!$B$2:'Moves'!$B$177, SUM(HEX2DEC("75"),1), 1)</f>
        <v>Shadow Ball</v>
      </c>
      <c r="D858" s="48">
        <f>HEX2DEC("24")</f>
        <v>36</v>
      </c>
      <c r="E858" s="23" t="s">
        <v>180</v>
      </c>
      <c r="F858" s="11"/>
      <c r="H858" s="21"/>
      <c r="I858" s="25"/>
      <c r="J858" s="30"/>
    </row>
    <row r="859" spans="1:10" x14ac:dyDescent="0.2">
      <c r="A859" s="121" t="s">
        <v>181</v>
      </c>
      <c r="B859" s="70">
        <f>HEX2DEC("00")</f>
        <v>0</v>
      </c>
      <c r="C859" s="71" t="str">
        <f t="array" ref="C859">INDEX(Moves!$B$2:'Moves'!$B$177, SUM(HEX2DEC("6D"),1), 1)</f>
        <v>Hypnosis</v>
      </c>
      <c r="D859" s="70">
        <f t="shared" ref="D859:D861" si="72">HEX2DEC("01")</f>
        <v>1</v>
      </c>
      <c r="E859" s="71" t="str">
        <f t="array" ref="E859">INDEX(Moves!$B$2:'Moves'!$B$177, SUM(HEX2DEC("6D"),1), 1)</f>
        <v>Hypnosis</v>
      </c>
      <c r="F859" s="41">
        <v>4</v>
      </c>
      <c r="G859" s="12" t="str">
        <f>VLOOKUP(F859, TMHM!$B$10:$C1519, 2, FALSE)</f>
        <v>Calm Mind</v>
      </c>
      <c r="H859" s="13">
        <v>5</v>
      </c>
      <c r="I859" s="14" t="str">
        <f>VLOOKUP(H859, TMHM!$B$2:$C$7, 2, FALSE)</f>
        <v>Flash</v>
      </c>
      <c r="J859" s="30"/>
    </row>
    <row r="860" spans="1:10" x14ac:dyDescent="0.2">
      <c r="A860" s="120"/>
      <c r="B860" s="43">
        <f>HEX2DEC("02")</f>
        <v>2</v>
      </c>
      <c r="C860" s="17" t="str">
        <f t="array" ref="C860">INDEX(Moves!$B$2:'Moves'!$B$177, SUM(HEX2DEC("72"),1), 1)</f>
        <v>Lick</v>
      </c>
      <c r="D860" s="43">
        <f t="shared" si="72"/>
        <v>1</v>
      </c>
      <c r="E860" s="17" t="str">
        <f t="array" ref="E860">INDEX(Moves!$B$2:'Moves'!$B$177, SUM(HEX2DEC("72"),1), 1)</f>
        <v>Lick</v>
      </c>
      <c r="F860" s="11">
        <v>6</v>
      </c>
      <c r="G860" s="20" t="str">
        <f>VLOOKUP(F860, TMHM!$B$10:$C1519, 2, FALSE)</f>
        <v>Toxic</v>
      </c>
      <c r="H860" s="21"/>
      <c r="I860" s="25"/>
      <c r="J860" s="30"/>
    </row>
    <row r="861" spans="1:10" x14ac:dyDescent="0.2">
      <c r="A861" s="120"/>
      <c r="B861" s="34"/>
      <c r="C861" s="35"/>
      <c r="D861" s="34">
        <f t="shared" si="72"/>
        <v>1</v>
      </c>
      <c r="E861" s="35" t="s">
        <v>178</v>
      </c>
      <c r="F861" s="11">
        <v>17</v>
      </c>
      <c r="G861" s="20" t="str">
        <f>VLOOKUP(F861, TMHM!$B$10:$C1519, 2, FALSE)</f>
        <v>SmokeScreen</v>
      </c>
      <c r="H861" s="21"/>
      <c r="I861" s="25"/>
      <c r="J861" s="30"/>
    </row>
    <row r="862" spans="1:10" x14ac:dyDescent="0.2">
      <c r="A862" s="120"/>
      <c r="B862" s="48">
        <f>HEX2DEC("08")</f>
        <v>8</v>
      </c>
      <c r="C862" s="23" t="str">
        <f t="array" ref="C862">INDEX(Moves!$B$2:'Moves'!$B$177, SUM(HEX2DEC("73"),1), 1)</f>
        <v>Astonish</v>
      </c>
      <c r="D862" s="48">
        <f>HEX2DEC("08")</f>
        <v>8</v>
      </c>
      <c r="E862" s="23" t="s">
        <v>178</v>
      </c>
      <c r="F862" s="11">
        <v>24</v>
      </c>
      <c r="G862" s="20" t="str">
        <f>VLOOKUP(F862, TMHM!$B$10:$C1519, 2, FALSE)</f>
        <v>Thunderbolt</v>
      </c>
      <c r="H862" s="21"/>
      <c r="I862" s="25"/>
      <c r="J862" s="30"/>
    </row>
    <row r="863" spans="1:10" x14ac:dyDescent="0.2">
      <c r="A863" s="120"/>
      <c r="B863" s="48">
        <f>HEX2DEC("0D")</f>
        <v>13</v>
      </c>
      <c r="C863" s="23" t="str">
        <f t="array" ref="C863">INDEX(Moves!$B$2:'Moves'!$B$177, SUM(HEX2DEC("AE"),1), 1)</f>
        <v>Curse</v>
      </c>
      <c r="D863" s="48">
        <f>HEX2DEC("0D")</f>
        <v>13</v>
      </c>
      <c r="E863" s="23" t="s">
        <v>99</v>
      </c>
      <c r="F863" s="11">
        <v>29</v>
      </c>
      <c r="G863" s="20" t="str">
        <f>VLOOKUP(F863, TMHM!$B$10:$C1519, 2, FALSE)</f>
        <v>Psychic</v>
      </c>
      <c r="H863" s="21"/>
      <c r="I863" s="25"/>
      <c r="J863" s="30"/>
    </row>
    <row r="864" spans="1:10" x14ac:dyDescent="0.2">
      <c r="A864" s="120"/>
      <c r="B864" s="50">
        <f>HEX2DEC("10")</f>
        <v>16</v>
      </c>
      <c r="C864" s="51" t="str">
        <f t="array" ref="C864">INDEX(Moves!$B$2:'Moves'!$B$177, SUM(HEX2DEC("70"),1), 1)</f>
        <v>Calm Mind</v>
      </c>
      <c r="D864" s="50">
        <f>HEX2DEC("10")</f>
        <v>16</v>
      </c>
      <c r="E864" s="51" t="str">
        <f t="array" ref="E864">INDEX(Moves!$B$2:'Moves'!$B$177, SUM(HEX2DEC("AE"),1), 1)</f>
        <v>Curse</v>
      </c>
      <c r="F864" s="11">
        <v>36</v>
      </c>
      <c r="G864" s="20" t="str">
        <f>VLOOKUP(F864, TMHM!$B$10:$C1519, 2, FALSE)</f>
        <v>Sludge Bomb</v>
      </c>
      <c r="H864" s="21"/>
      <c r="I864" s="25"/>
      <c r="J864" s="30"/>
    </row>
    <row r="865" spans="1:10" x14ac:dyDescent="0.2">
      <c r="A865" s="120"/>
      <c r="B865" s="48">
        <f>HEX2DEC("15")</f>
        <v>21</v>
      </c>
      <c r="C865" s="23" t="str">
        <f t="array" ref="C865">INDEX(Moves!$B$2:'Moves'!$B$177, SUM(HEX2DEC("74"),1), 1)</f>
        <v>Shadow Punch</v>
      </c>
      <c r="D865" s="48">
        <f>HEX2DEC("15")</f>
        <v>21</v>
      </c>
      <c r="E865" s="23" t="s">
        <v>179</v>
      </c>
      <c r="F865" s="11">
        <v>40</v>
      </c>
      <c r="G865" s="20" t="str">
        <f>VLOOKUP(F865, TMHM!$B$10:$C1519, 2, FALSE)</f>
        <v>Psychic</v>
      </c>
      <c r="H865" s="21"/>
      <c r="I865" s="25"/>
      <c r="J865" s="30"/>
    </row>
    <row r="866" spans="1:10" x14ac:dyDescent="0.2">
      <c r="A866" s="120"/>
      <c r="B866" s="16">
        <f>HEX2DEC("1F")</f>
        <v>31</v>
      </c>
      <c r="C866" s="17" t="str">
        <f t="array" ref="C866">INDEX(Moves!$B$2:'Moves'!$B$177, SUM(HEX2DEC("77"),1), 1)</f>
        <v>Confuse Ray</v>
      </c>
      <c r="D866" s="16">
        <f>HEX2DEC("1C")</f>
        <v>28</v>
      </c>
      <c r="E866" s="17" t="str">
        <f t="array" ref="E866">INDEX(Moves!$B$2:'Moves'!$B$177, SUM(HEX2DEC("77"),1), 1)</f>
        <v>Confuse Ray</v>
      </c>
      <c r="F866" s="11"/>
      <c r="H866" s="21"/>
      <c r="I866" s="25"/>
      <c r="J866" s="30"/>
    </row>
    <row r="867" spans="1:10" x14ac:dyDescent="0.2">
      <c r="A867" s="120"/>
      <c r="B867" s="16">
        <f>HEX2DEC("27")</f>
        <v>39</v>
      </c>
      <c r="C867" s="17" t="str">
        <f t="array" ref="C867">INDEX(Moves!$B$2:'Moves'!$B$177, SUM(HEX2DEC("6B"),1), 1)</f>
        <v>Dream Eater</v>
      </c>
      <c r="D867" s="16">
        <f>HEX2DEC("21")</f>
        <v>33</v>
      </c>
      <c r="E867" s="17" t="str">
        <f t="array" ref="E867">INDEX(Moves!$B$2:'Moves'!$B$177, SUM(HEX2DEC("6B"),1), 1)</f>
        <v>Dream Eater</v>
      </c>
      <c r="F867" s="11"/>
      <c r="H867" s="21"/>
      <c r="I867" s="25"/>
      <c r="J867" s="30"/>
    </row>
    <row r="868" spans="1:10" x14ac:dyDescent="0.2">
      <c r="A868" s="120"/>
      <c r="B868" s="48">
        <f>HEX2DEC("30")</f>
        <v>48</v>
      </c>
      <c r="C868" s="23" t="str">
        <f t="array" ref="C868">INDEX(Moves!$B$2:'Moves'!$B$177, SUM(HEX2DEC("75"),1), 1)</f>
        <v>Shadow Ball</v>
      </c>
      <c r="D868" s="48">
        <f>HEX2DEC("24")</f>
        <v>36</v>
      </c>
      <c r="E868" s="23" t="s">
        <v>180</v>
      </c>
      <c r="F868" s="11"/>
      <c r="H868" s="21"/>
      <c r="I868" s="25"/>
      <c r="J868" s="30"/>
    </row>
    <row r="869" spans="1:10" x14ac:dyDescent="0.2">
      <c r="A869" s="121" t="s">
        <v>182</v>
      </c>
      <c r="B869" s="70">
        <f>HEX2DEC("00")</f>
        <v>0</v>
      </c>
      <c r="C869" s="71" t="str">
        <f t="array" ref="C869">INDEX(Moves!$B$2:'Moves'!$B$177, SUM(HEX2DEC("6D"),1), 1)</f>
        <v>Hypnosis</v>
      </c>
      <c r="D869" s="70">
        <f t="shared" ref="D869:D871" si="73">HEX2DEC("01")</f>
        <v>1</v>
      </c>
      <c r="E869" s="71" t="str">
        <f t="array" ref="E869">INDEX(Moves!$B$2:'Moves'!$B$177, SUM(HEX2DEC("6D"),1), 1)</f>
        <v>Hypnosis</v>
      </c>
      <c r="F869" s="41">
        <v>4</v>
      </c>
      <c r="G869" s="12" t="str">
        <f>VLOOKUP(F869, TMHM!$B$10:$C1519, 2, FALSE)</f>
        <v>Calm Mind</v>
      </c>
      <c r="H869" s="13">
        <v>5</v>
      </c>
      <c r="I869" s="14" t="str">
        <f>VLOOKUP(H869, TMHM!$B$2:$C$7, 2, FALSE)</f>
        <v>Flash</v>
      </c>
      <c r="J869" s="30"/>
    </row>
    <row r="870" spans="1:10" x14ac:dyDescent="0.2">
      <c r="A870" s="120"/>
      <c r="B870" s="43">
        <f>HEX2DEC("02")</f>
        <v>2</v>
      </c>
      <c r="C870" s="17" t="str">
        <f t="array" ref="C870">INDEX(Moves!$B$2:'Moves'!$B$177, SUM(HEX2DEC("72"),1), 1)</f>
        <v>Lick</v>
      </c>
      <c r="D870" s="43">
        <f t="shared" si="73"/>
        <v>1</v>
      </c>
      <c r="E870" s="17" t="str">
        <f t="array" ref="E870">INDEX(Moves!$B$2:'Moves'!$B$177, SUM(HEX2DEC("72"),1), 1)</f>
        <v>Lick</v>
      </c>
      <c r="F870" s="11">
        <v>6</v>
      </c>
      <c r="G870" s="20" t="str">
        <f>VLOOKUP(F870, TMHM!$B$10:$C1519, 2, FALSE)</f>
        <v>Toxic</v>
      </c>
      <c r="H870" s="21"/>
      <c r="I870" s="25"/>
      <c r="J870" s="30"/>
    </row>
    <row r="871" spans="1:10" x14ac:dyDescent="0.2">
      <c r="A871" s="120"/>
      <c r="B871" s="34"/>
      <c r="C871" s="35"/>
      <c r="D871" s="34">
        <f t="shared" si="73"/>
        <v>1</v>
      </c>
      <c r="E871" s="35" t="s">
        <v>178</v>
      </c>
      <c r="F871" s="11">
        <v>17</v>
      </c>
      <c r="G871" s="20" t="str">
        <f>VLOOKUP(F871, TMHM!$B$10:$C1519, 2, FALSE)</f>
        <v>SmokeScreen</v>
      </c>
      <c r="H871" s="21"/>
      <c r="I871" s="25"/>
      <c r="J871" s="30"/>
    </row>
    <row r="872" spans="1:10" x14ac:dyDescent="0.2">
      <c r="A872" s="120"/>
      <c r="B872" s="48">
        <f>HEX2DEC("08")</f>
        <v>8</v>
      </c>
      <c r="C872" s="23" t="str">
        <f t="array" ref="C872">INDEX(Moves!$B$2:'Moves'!$B$177, SUM(HEX2DEC("73"),1), 1)</f>
        <v>Astonish</v>
      </c>
      <c r="D872" s="48">
        <f>HEX2DEC("08")</f>
        <v>8</v>
      </c>
      <c r="E872" s="23" t="s">
        <v>178</v>
      </c>
      <c r="F872" s="11">
        <v>24</v>
      </c>
      <c r="G872" s="20" t="str">
        <f>VLOOKUP(F872, TMHM!$B$10:$C1519, 2, FALSE)</f>
        <v>Thunderbolt</v>
      </c>
      <c r="H872" s="21"/>
      <c r="I872" s="25"/>
      <c r="J872" s="30"/>
    </row>
    <row r="873" spans="1:10" x14ac:dyDescent="0.2">
      <c r="A873" s="120"/>
      <c r="B873" s="48">
        <f>HEX2DEC("0D")</f>
        <v>13</v>
      </c>
      <c r="C873" s="23" t="str">
        <f t="array" ref="C873">INDEX(Moves!$B$2:'Moves'!$B$177, SUM(HEX2DEC("AE"),1), 1)</f>
        <v>Curse</v>
      </c>
      <c r="D873" s="48">
        <f>HEX2DEC("0D")</f>
        <v>13</v>
      </c>
      <c r="E873" s="23" t="s">
        <v>99</v>
      </c>
      <c r="F873" s="11">
        <v>29</v>
      </c>
      <c r="G873" s="20" t="str">
        <f>VLOOKUP(F873, TMHM!$B$10:$C1519, 2, FALSE)</f>
        <v>Psychic</v>
      </c>
      <c r="H873" s="21"/>
      <c r="I873" s="25"/>
      <c r="J873" s="30"/>
    </row>
    <row r="874" spans="1:10" x14ac:dyDescent="0.2">
      <c r="A874" s="120"/>
      <c r="B874" s="50">
        <f>HEX2DEC("10")</f>
        <v>16</v>
      </c>
      <c r="C874" s="51" t="str">
        <f t="array" ref="C874">INDEX(Moves!$B$2:'Moves'!$B$177, SUM(HEX2DEC("70"),1), 1)</f>
        <v>Calm Mind</v>
      </c>
      <c r="D874" s="50">
        <f>HEX2DEC("10")</f>
        <v>16</v>
      </c>
      <c r="E874" s="51" t="str">
        <f t="array" ref="E874">INDEX(Moves!$B$2:'Moves'!$B$177, SUM(HEX2DEC("AE"),1), 1)</f>
        <v>Curse</v>
      </c>
      <c r="F874" s="11">
        <v>36</v>
      </c>
      <c r="G874" s="20" t="str">
        <f>VLOOKUP(F874, TMHM!$B$10:$C1519, 2, FALSE)</f>
        <v>Sludge Bomb</v>
      </c>
      <c r="H874" s="21"/>
      <c r="I874" s="25"/>
      <c r="J874" s="30"/>
    </row>
    <row r="875" spans="1:10" x14ac:dyDescent="0.2">
      <c r="A875" s="120"/>
      <c r="B875" s="48">
        <f>HEX2DEC("15")</f>
        <v>21</v>
      </c>
      <c r="C875" s="23" t="str">
        <f t="array" ref="C875">INDEX(Moves!$B$2:'Moves'!$B$177, SUM(HEX2DEC("74"),1), 1)</f>
        <v>Shadow Punch</v>
      </c>
      <c r="D875" s="48">
        <f>HEX2DEC("15")</f>
        <v>21</v>
      </c>
      <c r="E875" s="23" t="s">
        <v>179</v>
      </c>
      <c r="F875" s="11">
        <v>40</v>
      </c>
      <c r="G875" s="20" t="str">
        <f>VLOOKUP(F875, TMHM!$B$10:$C1519, 2, FALSE)</f>
        <v>Psychic</v>
      </c>
      <c r="H875" s="21"/>
      <c r="I875" s="25"/>
      <c r="J875" s="30"/>
    </row>
    <row r="876" spans="1:10" x14ac:dyDescent="0.2">
      <c r="A876" s="120"/>
      <c r="B876" s="50">
        <f>HEX2DEC("1F")</f>
        <v>31</v>
      </c>
      <c r="C876" s="51" t="str">
        <f t="array" ref="C876">INDEX(Moves!$B$2:'Moves'!$B$177, SUM(HEX2DEC("07"),1), 1)</f>
        <v>Will-O-Wisp</v>
      </c>
      <c r="D876" s="50">
        <f>HEX2DEC("1C")</f>
        <v>28</v>
      </c>
      <c r="E876" s="51" t="str">
        <f t="array" ref="E876">INDEX(Moves!$B$2:'Moves'!$B$177, SUM(HEX2DEC("77"),1), 1)</f>
        <v>Confuse Ray</v>
      </c>
      <c r="F876" s="11"/>
      <c r="H876" s="21"/>
      <c r="I876" s="25"/>
      <c r="J876" s="30" t="s">
        <v>183</v>
      </c>
    </row>
    <row r="877" spans="1:10" x14ac:dyDescent="0.2">
      <c r="A877" s="120"/>
      <c r="B877" s="16">
        <f>HEX2DEC("27")</f>
        <v>39</v>
      </c>
      <c r="C877" s="17" t="str">
        <f t="array" ref="C877">INDEX(Moves!$B$2:'Moves'!$B$177, SUM(HEX2DEC("6B"),1), 1)</f>
        <v>Dream Eater</v>
      </c>
      <c r="D877" s="16">
        <f>HEX2DEC("21")</f>
        <v>33</v>
      </c>
      <c r="E877" s="17" t="str">
        <f t="array" ref="E877">INDEX(Moves!$B$2:'Moves'!$B$177, SUM(HEX2DEC("6B"),1), 1)</f>
        <v>Dream Eater</v>
      </c>
      <c r="F877" s="11"/>
      <c r="H877" s="21"/>
      <c r="I877" s="25"/>
      <c r="J877" s="30"/>
    </row>
    <row r="878" spans="1:10" x14ac:dyDescent="0.2">
      <c r="A878" s="120"/>
      <c r="B878" s="48">
        <f>HEX2DEC("30")</f>
        <v>48</v>
      </c>
      <c r="C878" s="23" t="str">
        <f t="array" ref="C878">INDEX(Moves!$B$2:'Moves'!$B$177, SUM(HEX2DEC("75"),1), 1)</f>
        <v>Shadow Ball</v>
      </c>
      <c r="D878" s="48">
        <f>HEX2DEC("24")</f>
        <v>36</v>
      </c>
      <c r="E878" s="23" t="s">
        <v>180</v>
      </c>
      <c r="F878" s="11"/>
      <c r="H878" s="21"/>
      <c r="I878" s="25"/>
      <c r="J878" s="30"/>
    </row>
    <row r="879" spans="1:10" x14ac:dyDescent="0.2">
      <c r="A879" s="121" t="s">
        <v>184</v>
      </c>
      <c r="B879" s="70">
        <f>HEX2DEC("00")</f>
        <v>0</v>
      </c>
      <c r="C879" s="71" t="str">
        <f t="array" ref="C879">INDEX(Moves!$B$2:'Moves'!$B$177, SUM(HEX2DEC("89"),1), 1)</f>
        <v>Tackle</v>
      </c>
      <c r="D879" s="70">
        <f t="shared" ref="D879:D880" si="74">HEX2DEC("01")</f>
        <v>1</v>
      </c>
      <c r="E879" s="71" t="str">
        <f t="array" ref="E879">INDEX(Moves!$B$2:'Moves'!$B$177, SUM(HEX2DEC("89"),1), 1)</f>
        <v>Tackle</v>
      </c>
      <c r="F879" s="41">
        <v>7</v>
      </c>
      <c r="G879" s="12" t="str">
        <f>VLOOKUP(F879, TMHM!$B$10:$C1519, 2, FALSE)</f>
        <v>Secret Power</v>
      </c>
      <c r="H879" s="13">
        <v>4</v>
      </c>
      <c r="I879" s="14" t="str">
        <f>VLOOKUP(H879, TMHM!$B$2:$C$7, 2, FALSE)</f>
        <v>Strength</v>
      </c>
      <c r="J879" s="30"/>
    </row>
    <row r="880" spans="1:10" x14ac:dyDescent="0.2">
      <c r="A880" s="120"/>
      <c r="B880" s="43">
        <f>HEX2DEC("02")</f>
        <v>2</v>
      </c>
      <c r="C880" s="23" t="str">
        <f t="array" ref="C880">INDEX(Moves!$B$2:'Moves'!$B$177, SUM(HEX2DEC("30"),1), 1)</f>
        <v>Mud Slap</v>
      </c>
      <c r="D880" s="43">
        <f t="shared" si="74"/>
        <v>1</v>
      </c>
      <c r="E880" s="23" t="s">
        <v>63</v>
      </c>
      <c r="F880" s="11">
        <v>10</v>
      </c>
      <c r="G880" s="20" t="str">
        <f>VLOOKUP(F880, TMHM!$B$10:$C1519, 2, FALSE)</f>
        <v>Bite</v>
      </c>
      <c r="H880" s="21"/>
      <c r="I880" s="25"/>
      <c r="J880" s="30"/>
    </row>
    <row r="881" spans="1:10" x14ac:dyDescent="0.2">
      <c r="A881" s="120"/>
      <c r="B881" s="48">
        <f>HEX2DEC("0A")</f>
        <v>10</v>
      </c>
      <c r="C881" s="23" t="str">
        <f t="array" ref="C881">INDEX(Moves!$B$2:'Moves'!$B$177, SUM(HEX2DEC("7F"),1), 1)</f>
        <v>Pursuit</v>
      </c>
      <c r="D881" s="48">
        <f>HEX2DEC("0A")</f>
        <v>10</v>
      </c>
      <c r="E881" s="23" t="s">
        <v>185</v>
      </c>
      <c r="F881" s="11">
        <v>12</v>
      </c>
      <c r="G881" s="20" t="str">
        <f>VLOOKUP(F881, TMHM!$B$10:$C1519, 2, FALSE)</f>
        <v>Steel Wing</v>
      </c>
      <c r="H881" s="21"/>
      <c r="I881" s="25"/>
      <c r="J881" s="30"/>
    </row>
    <row r="882" spans="1:10" x14ac:dyDescent="0.2">
      <c r="A882" s="120"/>
      <c r="B882" s="16">
        <f>HEX2DEC("0E")</f>
        <v>14</v>
      </c>
      <c r="C882" s="17" t="str">
        <f t="array" ref="C882">INDEX(Moves!$B$2:'Moves'!$B$177, SUM(HEX2DEC("38"),1), 1)</f>
        <v>Rock Throw</v>
      </c>
      <c r="D882" s="16">
        <f>HEX2DEC("0E")</f>
        <v>14</v>
      </c>
      <c r="E882" s="17" t="str">
        <f t="array" ref="E882">INDEX(Moves!$B$2:'Moves'!$B$177, SUM(HEX2DEC("38"),1), 1)</f>
        <v>Rock Throw</v>
      </c>
      <c r="F882" s="11">
        <v>18</v>
      </c>
      <c r="G882" s="20" t="str">
        <f>VLOOKUP(F882, TMHM!$B$10:$C1519, 2, FALSE)</f>
        <v>AncientPower</v>
      </c>
      <c r="H882" s="21"/>
      <c r="I882" s="25"/>
      <c r="J882" s="30"/>
    </row>
    <row r="883" spans="1:10" x14ac:dyDescent="0.2">
      <c r="A883" s="120"/>
      <c r="B883" s="50">
        <f>HEX2DEC("17")</f>
        <v>23</v>
      </c>
      <c r="C883" s="51" t="str">
        <f t="array" ref="C883">INDEX(Moves!$B$2:'Moves'!$B$177, SUM(HEX2DEC("86"),1), 1)</f>
        <v>Iron Defense</v>
      </c>
      <c r="D883" s="50">
        <f>HEX2DEC("17")</f>
        <v>23</v>
      </c>
      <c r="E883" s="51" t="s">
        <v>186</v>
      </c>
      <c r="F883" s="11">
        <v>20</v>
      </c>
      <c r="G883" s="20" t="str">
        <f>VLOOKUP(F883, TMHM!$B$10:$C1519, 2, FALSE)</f>
        <v>Iron Defense</v>
      </c>
      <c r="H883" s="21"/>
      <c r="I883" s="25"/>
      <c r="J883" s="30"/>
    </row>
    <row r="884" spans="1:10" x14ac:dyDescent="0.2">
      <c r="A884" s="120"/>
      <c r="B884" s="48">
        <f>HEX2DEC("1B")</f>
        <v>27</v>
      </c>
      <c r="C884" s="23" t="str">
        <f t="array" ref="C884">INDEX(Moves!$B$2:'Moves'!$B$177, SUM(HEX2DEC("3A"),1), 1)</f>
        <v>AncientPower</v>
      </c>
      <c r="D884" s="48">
        <f>HEX2DEC("1B")</f>
        <v>27</v>
      </c>
      <c r="E884" s="23" t="s">
        <v>26</v>
      </c>
      <c r="F884" s="11">
        <v>23</v>
      </c>
      <c r="G884" s="20" t="str">
        <f>VLOOKUP(F884, TMHM!$B$10:$C1519, 2, FALSE)</f>
        <v>Iron Tail</v>
      </c>
      <c r="H884" s="21"/>
      <c r="I884" s="25"/>
      <c r="J884" s="30"/>
    </row>
    <row r="885" spans="1:10" x14ac:dyDescent="0.2">
      <c r="A885" s="120"/>
      <c r="B885" s="48">
        <f>HEX2DEC("24")</f>
        <v>36</v>
      </c>
      <c r="C885" s="23" t="str">
        <f t="array" ref="C885">INDEX(Moves!$B$2:'Moves'!$B$177, SUM(HEX2DEC("32"),1), 1)</f>
        <v>Dig</v>
      </c>
      <c r="D885" s="48">
        <f>HEX2DEC("24")</f>
        <v>36</v>
      </c>
      <c r="E885" s="23" t="s">
        <v>72</v>
      </c>
      <c r="F885" s="11">
        <v>26</v>
      </c>
      <c r="G885" s="20" t="str">
        <f>VLOOKUP(F885, TMHM!$B$10:$C1519, 2, FALSE)</f>
        <v>Earthquake</v>
      </c>
      <c r="H885" s="21"/>
      <c r="I885" s="25"/>
      <c r="J885" s="30"/>
    </row>
    <row r="886" spans="1:10" x14ac:dyDescent="0.2">
      <c r="A886" s="120"/>
      <c r="B886" s="16">
        <f>HEX2DEC("28")</f>
        <v>40</v>
      </c>
      <c r="C886" s="17" t="str">
        <f t="array" ref="C886">INDEX(Moves!$B$2:'Moves'!$B$177, SUM(HEX2DEC("81"),1), 1)</f>
        <v>Crunch</v>
      </c>
      <c r="D886" s="16">
        <f>HEX2DEC("28")</f>
        <v>40</v>
      </c>
      <c r="E886" s="17" t="str">
        <f t="array" ref="E886">INDEX(Moves!$B$2:'Moves'!$B$177, SUM(HEX2DEC("81"),1), 1)</f>
        <v>Crunch</v>
      </c>
      <c r="F886" s="11">
        <v>28</v>
      </c>
      <c r="G886" s="20" t="str">
        <f>VLOOKUP(F886, TMHM!$B$10:$C1519, 2, FALSE)</f>
        <v>Dig</v>
      </c>
      <c r="H886" s="21"/>
      <c r="I886" s="25"/>
      <c r="J886" s="30"/>
    </row>
    <row r="887" spans="1:10" x14ac:dyDescent="0.2">
      <c r="A887" s="120"/>
      <c r="B887" s="73"/>
      <c r="C887" s="74"/>
      <c r="D887" s="73"/>
      <c r="E887" s="74"/>
      <c r="F887" s="11">
        <v>39</v>
      </c>
      <c r="G887" s="20" t="str">
        <f>VLOOKUP(F887, TMHM!$B$10:$C1519, 2, FALSE)</f>
        <v>Rock Tomb</v>
      </c>
      <c r="H887" s="21"/>
      <c r="I887" s="25"/>
      <c r="J887" s="30"/>
    </row>
    <row r="888" spans="1:10" x14ac:dyDescent="0.2">
      <c r="A888" s="121" t="s">
        <v>187</v>
      </c>
      <c r="B888" s="61">
        <f>HEX2DEC("00")</f>
        <v>0</v>
      </c>
      <c r="C888" s="62" t="str">
        <f t="array" ref="C888">INDEX(Moves!$B$2:'Moves'!$B$177, SUM(HEX2DEC("7F"),1), 1)</f>
        <v>Pursuit</v>
      </c>
      <c r="D888" s="61">
        <f t="shared" ref="D888:D889" si="75">HEX2DEC("01")</f>
        <v>1</v>
      </c>
      <c r="E888" s="62" t="s">
        <v>84</v>
      </c>
      <c r="F888" s="41">
        <v>4</v>
      </c>
      <c r="G888" s="12" t="str">
        <f>VLOOKUP(F888, TMHM!$B$10:$C1519, 2, FALSE)</f>
        <v>Calm Mind</v>
      </c>
      <c r="H888" s="13">
        <v>5</v>
      </c>
      <c r="I888" s="14" t="str">
        <f>VLOOKUP(H888, TMHM!$B$2:$C$7, 2, FALSE)</f>
        <v>Flash</v>
      </c>
      <c r="J888" s="30"/>
    </row>
    <row r="889" spans="1:10" x14ac:dyDescent="0.2">
      <c r="A889" s="120"/>
      <c r="B889" s="43">
        <f>HEX2DEC("02")</f>
        <v>2</v>
      </c>
      <c r="C889" s="17" t="str">
        <f t="array" ref="C889">INDEX(Moves!$B$2:'Moves'!$B$177, SUM(HEX2DEC("6D"),1), 1)</f>
        <v>Hypnosis</v>
      </c>
      <c r="D889" s="43">
        <f t="shared" si="75"/>
        <v>1</v>
      </c>
      <c r="E889" s="17" t="str">
        <f t="array" ref="E889">INDEX(Moves!$B$2:'Moves'!$B$177, SUM(HEX2DEC("6D"),1), 1)</f>
        <v>Hypnosis</v>
      </c>
      <c r="F889" s="11">
        <v>10</v>
      </c>
      <c r="G889" s="20" t="str">
        <f>VLOOKUP(F889, TMHM!$B$10:$C1519, 2, FALSE)</f>
        <v>Bite</v>
      </c>
      <c r="H889" s="21"/>
      <c r="I889" s="25"/>
      <c r="J889" s="30"/>
    </row>
    <row r="890" spans="1:10" x14ac:dyDescent="0.2">
      <c r="A890" s="120"/>
      <c r="B890" s="48">
        <f>HEX2DEC("0A")</f>
        <v>10</v>
      </c>
      <c r="C890" s="23" t="str">
        <f t="array" ref="C890">INDEX(Moves!$B$2:'Moves'!$B$177, SUM(HEX2DEC("65"),1), 1)</f>
        <v>Confusion</v>
      </c>
      <c r="D890" s="48">
        <f>HEX2DEC("0A")</f>
        <v>10</v>
      </c>
      <c r="E890" s="23" t="s">
        <v>94</v>
      </c>
      <c r="F890" s="11">
        <v>16</v>
      </c>
      <c r="G890" s="20" t="str">
        <f>VLOOKUP(F890, TMHM!$B$10:$C1519, 2, FALSE)</f>
        <v>Rest</v>
      </c>
      <c r="H890" s="21"/>
      <c r="I890" s="25"/>
      <c r="J890" s="30"/>
    </row>
    <row r="891" spans="1:10" x14ac:dyDescent="0.2">
      <c r="A891" s="120"/>
      <c r="B891" s="34"/>
      <c r="C891" s="35"/>
      <c r="D891" s="34">
        <f>HEX2DEC("12")</f>
        <v>18</v>
      </c>
      <c r="E891" s="35" t="str">
        <f t="array" ref="E891">INDEX(Moves!$B$2:'Moves'!$B$177, SUM(HEX2DEC("65"),1), 1)</f>
        <v>Confusion</v>
      </c>
      <c r="F891" s="11">
        <v>21</v>
      </c>
      <c r="G891" s="20" t="str">
        <f>VLOOKUP(F891, TMHM!$B$10:$C1519, 2, FALSE)</f>
        <v>Recover</v>
      </c>
      <c r="H891" s="21"/>
      <c r="I891" s="25"/>
      <c r="J891" s="30"/>
    </row>
    <row r="892" spans="1:10" x14ac:dyDescent="0.2">
      <c r="A892" s="120"/>
      <c r="B892" s="48">
        <f>HEX2DEC("19")</f>
        <v>25</v>
      </c>
      <c r="C892" s="23" t="str">
        <f t="array" ref="C892">INDEX(Moves!$B$2:'Moves'!$B$177, SUM(HEX2DEC("4E"),1), 1)</f>
        <v>Mach Punch</v>
      </c>
      <c r="D892" s="48">
        <f>HEX2DEC("19")</f>
        <v>25</v>
      </c>
      <c r="E892" s="23" t="s">
        <v>159</v>
      </c>
      <c r="F892" s="11">
        <v>24</v>
      </c>
      <c r="G892" s="20" t="str">
        <f>VLOOKUP(F892, TMHM!$B$10:$C1519, 2, FALSE)</f>
        <v>Thunderbolt</v>
      </c>
      <c r="H892" s="21"/>
      <c r="I892" s="25"/>
      <c r="J892" s="30"/>
    </row>
    <row r="893" spans="1:10" x14ac:dyDescent="0.2">
      <c r="A893" s="120"/>
      <c r="B893" s="50">
        <f>HEX2DEC("1F")</f>
        <v>31</v>
      </c>
      <c r="C893" s="51" t="str">
        <f t="array" ref="C893">INDEX(Moves!$B$2:'Moves'!$B$177, SUM(HEX2DEC("44"),1), 1)</f>
        <v>Smog</v>
      </c>
      <c r="D893" s="50">
        <f>HEX2DEC("1F")</f>
        <v>31</v>
      </c>
      <c r="E893" s="51" t="s">
        <v>188</v>
      </c>
      <c r="F893" s="11">
        <v>29</v>
      </c>
      <c r="G893" s="20" t="str">
        <f>VLOOKUP(F893, TMHM!$B$10:$C1519, 2, FALSE)</f>
        <v>Psychic</v>
      </c>
      <c r="H893" s="21"/>
      <c r="I893" s="25"/>
      <c r="J893" s="30"/>
    </row>
    <row r="894" spans="1:10" x14ac:dyDescent="0.2">
      <c r="A894" s="120"/>
      <c r="B894" s="48">
        <f>HEX2DEC("24")</f>
        <v>36</v>
      </c>
      <c r="C894" s="23" t="str">
        <f t="array" ref="C894">INDEX(Moves!$B$2:'Moves'!$B$177, SUM(HEX2DEC("67"),1), 1)</f>
        <v>Mist Ball</v>
      </c>
      <c r="D894" s="48">
        <f>HEX2DEC("24")</f>
        <v>36</v>
      </c>
      <c r="E894" s="23" t="s">
        <v>189</v>
      </c>
      <c r="F894" s="11">
        <v>30</v>
      </c>
      <c r="G894" s="20" t="str">
        <f>VLOOKUP(F894, TMHM!$B$10:$C1519, 2, FALSE)</f>
        <v>Shadow Ball</v>
      </c>
      <c r="H894" s="21"/>
      <c r="I894" s="25"/>
      <c r="J894" s="30"/>
    </row>
    <row r="895" spans="1:10" x14ac:dyDescent="0.2">
      <c r="A895" s="120"/>
      <c r="B895" s="50">
        <f>HEX2DEC("28")</f>
        <v>40</v>
      </c>
      <c r="C895" s="51" t="str">
        <f t="array" ref="C895">INDEX(Moves!$B$2:'Moves'!$B$177, SUM(HEX2DEC("66"),1), 1)</f>
        <v>Psybeam</v>
      </c>
      <c r="D895" s="50">
        <f>HEX2DEC("28")</f>
        <v>40</v>
      </c>
      <c r="E895" s="51" t="str">
        <f t="array" ref="E895">INDEX(Moves!$B$2:'Moves'!$B$177, SUM(HEX2DEC("6A"),1), 1)</f>
        <v>Psychic</v>
      </c>
      <c r="F895" s="11">
        <v>40</v>
      </c>
      <c r="G895" s="20" t="str">
        <f>VLOOKUP(F895, TMHM!$B$10:$C1519, 2, FALSE)</f>
        <v>Psychic</v>
      </c>
      <c r="H895" s="21"/>
      <c r="I895" s="25"/>
      <c r="J895" s="30"/>
    </row>
    <row r="896" spans="1:10" x14ac:dyDescent="0.2">
      <c r="A896" s="120"/>
      <c r="B896" s="48">
        <f>HEX2DEC("2B")</f>
        <v>43</v>
      </c>
      <c r="C896" s="23" t="str">
        <f t="array" ref="C896">INDEX(Moves!$B$2:'Moves'!$B$177, SUM(HEX2DEC("93"),1), 1)</f>
        <v>Secret Power</v>
      </c>
      <c r="D896" s="48">
        <f>HEX2DEC("2B")</f>
        <v>43</v>
      </c>
      <c r="E896" s="23" t="s">
        <v>118</v>
      </c>
      <c r="F896" s="11"/>
      <c r="H896" s="21"/>
      <c r="I896" s="25"/>
      <c r="J896" s="30"/>
    </row>
    <row r="897" spans="1:10" x14ac:dyDescent="0.2">
      <c r="A897" s="120"/>
      <c r="B897" s="16">
        <f>HEX2DEC("2D")</f>
        <v>45</v>
      </c>
      <c r="C897" s="17" t="str">
        <f t="array" ref="C897">INDEX(Moves!$B$2:'Moves'!$B$177, SUM(HEX2DEC("69"),1), 1)</f>
        <v>Future Sight</v>
      </c>
      <c r="D897" s="16">
        <f>HEX2DEC("2D")</f>
        <v>45</v>
      </c>
      <c r="E897" s="17" t="str">
        <f t="array" ref="E897">INDEX(Moves!$B$2:'Moves'!$B$177, SUM(HEX2DEC("69"),1), 1)</f>
        <v>Future Sight</v>
      </c>
      <c r="F897" s="11"/>
      <c r="H897" s="21"/>
      <c r="I897" s="25"/>
      <c r="J897" s="30"/>
    </row>
    <row r="898" spans="1:10" x14ac:dyDescent="0.2">
      <c r="A898" s="121" t="s">
        <v>190</v>
      </c>
      <c r="B898" s="61">
        <f>HEX2DEC("00")</f>
        <v>0</v>
      </c>
      <c r="C898" s="62" t="str">
        <f t="array" ref="C898">INDEX(Moves!$B$2:'Moves'!$B$177, SUM(HEX2DEC("7F"),1), 1)</f>
        <v>Pursuit</v>
      </c>
      <c r="D898" s="61">
        <f t="shared" ref="D898:D901" si="76">HEX2DEC("01")</f>
        <v>1</v>
      </c>
      <c r="E898" s="62" t="s">
        <v>84</v>
      </c>
      <c r="F898" s="41">
        <v>4</v>
      </c>
      <c r="G898" s="12" t="str">
        <f>VLOOKUP(F898, TMHM!$B$10:$C1519, 2, FALSE)</f>
        <v>Calm Mind</v>
      </c>
      <c r="H898" s="13">
        <v>5</v>
      </c>
      <c r="I898" s="14" t="str">
        <f>VLOOKUP(H898, TMHM!$B$2:$C$7, 2, FALSE)</f>
        <v>Flash</v>
      </c>
      <c r="J898" s="30"/>
    </row>
    <row r="899" spans="1:10" x14ac:dyDescent="0.2">
      <c r="A899" s="120"/>
      <c r="B899" s="43">
        <f>HEX2DEC("02")</f>
        <v>2</v>
      </c>
      <c r="C899" s="17" t="str">
        <f t="array" ref="C899">INDEX(Moves!$B$2:'Moves'!$B$177, SUM(HEX2DEC("6D"),1), 1)</f>
        <v>Hypnosis</v>
      </c>
      <c r="D899" s="43">
        <f t="shared" si="76"/>
        <v>1</v>
      </c>
      <c r="E899" s="17" t="str">
        <f t="array" ref="E899">INDEX(Moves!$B$2:'Moves'!$B$177, SUM(HEX2DEC("6D"),1), 1)</f>
        <v>Hypnosis</v>
      </c>
      <c r="F899" s="11">
        <v>10</v>
      </c>
      <c r="G899" s="20" t="str">
        <f>VLOOKUP(F899, TMHM!$B$10:$C1519, 2, FALSE)</f>
        <v>Bite</v>
      </c>
      <c r="H899" s="21"/>
      <c r="I899" s="25"/>
      <c r="J899" s="30"/>
    </row>
    <row r="900" spans="1:10" x14ac:dyDescent="0.2">
      <c r="A900" s="120"/>
      <c r="B900" s="34"/>
      <c r="C900" s="35"/>
      <c r="D900" s="34">
        <f t="shared" si="76"/>
        <v>1</v>
      </c>
      <c r="E900" s="35" t="s">
        <v>94</v>
      </c>
      <c r="F900" s="11">
        <v>16</v>
      </c>
      <c r="G900" s="20" t="str">
        <f>VLOOKUP(F900, TMHM!$B$10:$C1519, 2, FALSE)</f>
        <v>Rest</v>
      </c>
      <c r="H900" s="21"/>
      <c r="I900" s="25"/>
      <c r="J900" s="30"/>
    </row>
    <row r="901" spans="1:10" x14ac:dyDescent="0.2">
      <c r="A901" s="120"/>
      <c r="B901" s="34"/>
      <c r="C901" s="35"/>
      <c r="D901" s="34">
        <f t="shared" si="76"/>
        <v>1</v>
      </c>
      <c r="E901" s="35" t="str">
        <f t="array" ref="E901">INDEX(Moves!$B$2:'Moves'!$B$177, SUM(HEX2DEC("65"),1), 1)</f>
        <v>Confusion</v>
      </c>
      <c r="F901" s="11">
        <v>21</v>
      </c>
      <c r="G901" s="20" t="str">
        <f>VLOOKUP(F901, TMHM!$B$10:$C1519, 2, FALSE)</f>
        <v>Recover</v>
      </c>
      <c r="H901" s="21"/>
      <c r="I901" s="25"/>
      <c r="J901" s="30"/>
    </row>
    <row r="902" spans="1:10" x14ac:dyDescent="0.2">
      <c r="A902" s="120"/>
      <c r="B902" s="48">
        <f>HEX2DEC("0A")</f>
        <v>10</v>
      </c>
      <c r="C902" s="23" t="str">
        <f t="array" ref="C902">INDEX(Moves!$B$2:'Moves'!$B$177, SUM(HEX2DEC("65"),1), 1)</f>
        <v>Confusion</v>
      </c>
      <c r="D902" s="48">
        <f>HEX2DEC("0A")</f>
        <v>10</v>
      </c>
      <c r="E902" s="23" t="s">
        <v>94</v>
      </c>
      <c r="F902" s="11">
        <v>24</v>
      </c>
      <c r="G902" s="20" t="str">
        <f>VLOOKUP(F902, TMHM!$B$10:$C1519, 2, FALSE)</f>
        <v>Thunderbolt</v>
      </c>
      <c r="H902" s="21"/>
      <c r="I902" s="25"/>
      <c r="J902" s="30"/>
    </row>
    <row r="903" spans="1:10" x14ac:dyDescent="0.2">
      <c r="A903" s="120"/>
      <c r="B903" s="34"/>
      <c r="C903" s="35"/>
      <c r="D903" s="34">
        <f>HEX2DEC("12")</f>
        <v>18</v>
      </c>
      <c r="E903" s="35" t="str">
        <f t="array" ref="E903">INDEX(Moves!$B$2:'Moves'!$B$177, SUM(HEX2DEC("65"),1), 1)</f>
        <v>Confusion</v>
      </c>
      <c r="F903" s="11">
        <v>29</v>
      </c>
      <c r="G903" s="20" t="str">
        <f>VLOOKUP(F903, TMHM!$B$10:$C1519, 2, FALSE)</f>
        <v>Psychic</v>
      </c>
      <c r="H903" s="21"/>
      <c r="I903" s="25"/>
      <c r="J903" s="30"/>
    </row>
    <row r="904" spans="1:10" x14ac:dyDescent="0.2">
      <c r="A904" s="120"/>
      <c r="B904" s="48">
        <f>HEX2DEC("19")</f>
        <v>25</v>
      </c>
      <c r="C904" s="23" t="str">
        <f t="array" ref="C904">INDEX(Moves!$B$2:'Moves'!$B$177, SUM(HEX2DEC("4E"),1), 1)</f>
        <v>Mach Punch</v>
      </c>
      <c r="D904" s="48">
        <f>HEX2DEC("19")</f>
        <v>25</v>
      </c>
      <c r="E904" s="23" t="s">
        <v>159</v>
      </c>
      <c r="F904" s="11">
        <v>30</v>
      </c>
      <c r="G904" s="20" t="str">
        <f>VLOOKUP(F904, TMHM!$B$10:$C1519, 2, FALSE)</f>
        <v>Shadow Ball</v>
      </c>
      <c r="H904" s="21"/>
      <c r="I904" s="25"/>
      <c r="J904" s="30"/>
    </row>
    <row r="905" spans="1:10" x14ac:dyDescent="0.2">
      <c r="A905" s="120"/>
      <c r="B905" s="50">
        <f>HEX2DEC("21")</f>
        <v>33</v>
      </c>
      <c r="C905" s="51" t="str">
        <f t="array" ref="C905">INDEX(Moves!$B$2:'Moves'!$B$177, SUM(HEX2DEC("44"),1), 1)</f>
        <v>Smog</v>
      </c>
      <c r="D905" s="50">
        <f>HEX2DEC("21")</f>
        <v>33</v>
      </c>
      <c r="E905" s="51" t="s">
        <v>188</v>
      </c>
      <c r="F905" s="11">
        <v>40</v>
      </c>
      <c r="G905" s="20" t="str">
        <f>VLOOKUP(F905, TMHM!$B$10:$C1519, 2, FALSE)</f>
        <v>Psychic</v>
      </c>
      <c r="H905" s="21"/>
      <c r="I905" s="25"/>
      <c r="J905" s="30"/>
    </row>
    <row r="906" spans="1:10" x14ac:dyDescent="0.2">
      <c r="A906" s="120"/>
      <c r="B906" s="48">
        <f>HEX2DEC("28")</f>
        <v>40</v>
      </c>
      <c r="C906" s="23" t="str">
        <f t="array" ref="C906">INDEX(Moves!$B$2:'Moves'!$B$177, SUM(HEX2DEC("67"),1), 1)</f>
        <v>Mist Ball</v>
      </c>
      <c r="D906" s="48">
        <f>HEX2DEC("28")</f>
        <v>40</v>
      </c>
      <c r="E906" s="23" t="s">
        <v>189</v>
      </c>
      <c r="F906" s="11"/>
      <c r="H906" s="21"/>
      <c r="I906" s="25"/>
      <c r="J906" s="30"/>
    </row>
    <row r="907" spans="1:10" x14ac:dyDescent="0.2">
      <c r="A907" s="120"/>
      <c r="B907" s="50">
        <f>HEX2DEC("31")</f>
        <v>49</v>
      </c>
      <c r="C907" s="51" t="str">
        <f t="array" ref="C907">INDEX(Moves!$B$2:'Moves'!$B$177, SUM(HEX2DEC("66"),1), 1)</f>
        <v>Psybeam</v>
      </c>
      <c r="D907" s="50">
        <f>HEX2DEC("31")</f>
        <v>49</v>
      </c>
      <c r="E907" s="51" t="str">
        <f t="array" ref="E907">INDEX(Moves!$B$2:'Moves'!$B$177, SUM(HEX2DEC("6A"),1), 1)</f>
        <v>Psychic</v>
      </c>
      <c r="F907" s="11"/>
      <c r="H907" s="21"/>
      <c r="I907" s="25"/>
      <c r="J907" s="30"/>
    </row>
    <row r="908" spans="1:10" x14ac:dyDescent="0.2">
      <c r="A908" s="120"/>
      <c r="B908" s="48">
        <f>HEX2DEC("37")</f>
        <v>55</v>
      </c>
      <c r="C908" s="23" t="str">
        <f t="array" ref="C908">INDEX(Moves!$B$2:'Moves'!$B$177, SUM(HEX2DEC("93"),1), 1)</f>
        <v>Secret Power</v>
      </c>
      <c r="D908" s="48">
        <f>HEX2DEC("37")</f>
        <v>55</v>
      </c>
      <c r="E908" s="23" t="s">
        <v>118</v>
      </c>
      <c r="F908" s="11"/>
      <c r="H908" s="21"/>
      <c r="I908" s="25"/>
      <c r="J908" s="30"/>
    </row>
    <row r="909" spans="1:10" x14ac:dyDescent="0.2">
      <c r="A909" s="120"/>
      <c r="B909" s="16">
        <f>HEX2DEC("3C")</f>
        <v>60</v>
      </c>
      <c r="C909" s="17" t="str">
        <f t="array" ref="C909">INDEX(Moves!$B$2:'Moves'!$B$177, SUM(HEX2DEC("69"),1), 1)</f>
        <v>Future Sight</v>
      </c>
      <c r="D909" s="16">
        <f>HEX2DEC("3C")</f>
        <v>60</v>
      </c>
      <c r="E909" s="17" t="str">
        <f t="array" ref="E909">INDEX(Moves!$B$2:'Moves'!$B$177, SUM(HEX2DEC("69"),1), 1)</f>
        <v>Future Sight</v>
      </c>
      <c r="F909" s="11"/>
      <c r="H909" s="21"/>
      <c r="I909" s="25"/>
      <c r="J909" s="30"/>
    </row>
    <row r="910" spans="1:10" x14ac:dyDescent="0.2">
      <c r="A910" s="121" t="s">
        <v>191</v>
      </c>
      <c r="B910" s="70">
        <f>HEX2DEC("00")</f>
        <v>0</v>
      </c>
      <c r="C910" s="71" t="str">
        <f t="array" ref="C910">INDEX(Moves!$B$2:'Moves'!$B$177, SUM(HEX2DEC("08"),1), 1)</f>
        <v>Bubble</v>
      </c>
      <c r="D910" s="70">
        <f>HEX2DEC("01")</f>
        <v>1</v>
      </c>
      <c r="E910" s="71" t="str">
        <f t="array" ref="E910">INDEX(Moves!$B$2:'Moves'!$B$177, SUM(HEX2DEC("08"),1), 1)</f>
        <v>Bubble</v>
      </c>
      <c r="F910" s="41">
        <v>3</v>
      </c>
      <c r="G910" s="12" t="str">
        <f>VLOOKUP(F910, TMHM!$B$10:$C1519, 2, FALSE)</f>
        <v>Water Pulse</v>
      </c>
      <c r="H910" s="13">
        <v>3</v>
      </c>
      <c r="I910" s="14" t="str">
        <f>VLOOKUP(H910, TMHM!$B$2:$C$7, 2, FALSE)</f>
        <v>Surf</v>
      </c>
      <c r="J910" s="30"/>
    </row>
    <row r="911" spans="1:10" x14ac:dyDescent="0.2">
      <c r="A911" s="120"/>
      <c r="B911" s="48">
        <f>HEX2DEC("05")</f>
        <v>5</v>
      </c>
      <c r="C911" s="23" t="str">
        <f t="array" ref="C911">INDEX(Moves!$B$2:'Moves'!$B$177, SUM(HEX2DEC("A0"),1), 1)</f>
        <v>Growl</v>
      </c>
      <c r="D911" s="48">
        <f>HEX2DEC("05")</f>
        <v>5</v>
      </c>
      <c r="E911" s="23" t="s">
        <v>59</v>
      </c>
      <c r="F911" s="11">
        <v>8</v>
      </c>
      <c r="G911" s="20" t="str">
        <f>VLOOKUP(F911, TMHM!$B$10:$C1519, 2, FALSE)</f>
        <v>Charm</v>
      </c>
      <c r="H911" s="21">
        <v>4</v>
      </c>
      <c r="I911" s="20" t="str">
        <f>VLOOKUP(H911, TMHM!$B$2:$C$7, 2, FALSE)</f>
        <v>Strength</v>
      </c>
      <c r="J911" s="30"/>
    </row>
    <row r="912" spans="1:10" x14ac:dyDescent="0.2">
      <c r="A912" s="120"/>
      <c r="B912" s="48">
        <f>HEX2DEC("0C")</f>
        <v>12</v>
      </c>
      <c r="C912" s="23" t="str">
        <f t="array" ref="C912">INDEX(Moves!$B$2:'Moves'!$B$177, SUM(HEX2DEC("7F"),1), 1)</f>
        <v>Pursuit</v>
      </c>
      <c r="D912" s="48">
        <f>HEX2DEC("0C")</f>
        <v>12</v>
      </c>
      <c r="E912" s="23" t="s">
        <v>192</v>
      </c>
      <c r="F912" s="11">
        <v>11</v>
      </c>
      <c r="G912" s="20" t="str">
        <f>VLOOKUP(F912, TMHM!$B$10:$C1519, 2, FALSE)</f>
        <v>Bubblebeam</v>
      </c>
      <c r="H912" s="21"/>
      <c r="I912" s="25"/>
      <c r="J912" s="30"/>
    </row>
    <row r="913" spans="1:10" x14ac:dyDescent="0.2">
      <c r="A913" s="120"/>
      <c r="B913" s="16">
        <f>HEX2DEC("10")</f>
        <v>16</v>
      </c>
      <c r="C913" s="17" t="str">
        <f t="array" ref="C913">INDEX(Moves!$B$2:'Moves'!$B$177, SUM(HEX2DEC("A3"),1), 1)</f>
        <v>Harden</v>
      </c>
      <c r="D913" s="16">
        <f>HEX2DEC("10")</f>
        <v>16</v>
      </c>
      <c r="E913" s="17" t="str">
        <f t="array" ref="E913">INDEX(Moves!$B$2:'Moves'!$B$177, SUM(HEX2DEC("A3"),1), 1)</f>
        <v>Harden</v>
      </c>
      <c r="F913" s="11">
        <v>13</v>
      </c>
      <c r="G913" s="20" t="str">
        <f>VLOOKUP(F913, TMHM!$B$10:$C1519, 2, FALSE)</f>
        <v>Ice Beam</v>
      </c>
      <c r="H913" s="21"/>
      <c r="I913" s="25"/>
      <c r="J913" s="30"/>
    </row>
    <row r="914" spans="1:10" x14ac:dyDescent="0.2">
      <c r="A914" s="120"/>
      <c r="B914" s="48">
        <f>HEX2DEC("17")</f>
        <v>23</v>
      </c>
      <c r="C914" s="23" t="str">
        <f t="array" ref="C914">INDEX(Moves!$B$2:'Moves'!$B$177, SUM(HEX2DEC("50"),1), 1)</f>
        <v>Low Kick</v>
      </c>
      <c r="D914" s="48">
        <f>HEX2DEC("17")</f>
        <v>23</v>
      </c>
      <c r="E914" s="23" t="s">
        <v>154</v>
      </c>
      <c r="F914" s="11">
        <v>21</v>
      </c>
      <c r="G914" s="20" t="str">
        <f>VLOOKUP(F914, TMHM!$B$10:$C1519, 2, FALSE)</f>
        <v>Recover</v>
      </c>
      <c r="H914" s="21"/>
      <c r="I914" s="25"/>
      <c r="J914" s="30"/>
    </row>
    <row r="915" spans="1:10" x14ac:dyDescent="0.2">
      <c r="A915" s="120"/>
      <c r="B915" s="16">
        <f>HEX2DEC("1B")</f>
        <v>27</v>
      </c>
      <c r="C915" s="17" t="str">
        <f t="array" ref="C915">INDEX(Moves!$B$2:'Moves'!$B$177, SUM(HEX2DEC("9B"),1), 1)</f>
        <v>Guillotine</v>
      </c>
      <c r="D915" s="16">
        <f>HEX2DEC("1B")</f>
        <v>27</v>
      </c>
      <c r="E915" s="17" t="str">
        <f t="array" ref="E915">INDEX(Moves!$B$2:'Moves'!$B$177, SUM(HEX2DEC("9B"),1), 1)</f>
        <v>Guillotine</v>
      </c>
      <c r="F915" s="11">
        <v>32</v>
      </c>
      <c r="G915" s="20" t="str">
        <f>VLOOKUP(F915, TMHM!$B$10:$C1519, 2, FALSE)</f>
        <v>Double Team</v>
      </c>
      <c r="H915" s="21"/>
      <c r="I915" s="25"/>
      <c r="J915" s="30"/>
    </row>
    <row r="916" spans="1:10" x14ac:dyDescent="0.2">
      <c r="A916" s="120"/>
      <c r="B916" s="48">
        <f>HEX2DEC("22")</f>
        <v>34</v>
      </c>
      <c r="C916" s="23" t="str">
        <f t="array" ref="C916">INDEX(Moves!$B$2:'Moves'!$B$177, SUM(HEX2DEC("12"),1), 1)</f>
        <v>Withdraw</v>
      </c>
      <c r="D916" s="48">
        <f>HEX2DEC("22")</f>
        <v>34</v>
      </c>
      <c r="E916" s="23" t="s">
        <v>35</v>
      </c>
      <c r="F916" s="11">
        <v>35</v>
      </c>
      <c r="G916" s="20" t="str">
        <f>VLOOKUP(F916, TMHM!$B$10:$C1519, 2, FALSE)</f>
        <v>Harden</v>
      </c>
      <c r="H916" s="21"/>
      <c r="I916" s="25"/>
      <c r="J916" s="30"/>
    </row>
    <row r="917" spans="1:10" x14ac:dyDescent="0.2">
      <c r="A917" s="120"/>
      <c r="B917" s="16">
        <f>HEX2DEC("29")</f>
        <v>41</v>
      </c>
      <c r="C917" s="17" t="str">
        <f t="array" ref="C917">INDEX(Moves!$B$2:'Moves'!$B$177, SUM(HEX2DEC("0D"),1), 1)</f>
        <v>Crabhammer</v>
      </c>
      <c r="D917" s="16">
        <f>HEX2DEC("29")</f>
        <v>41</v>
      </c>
      <c r="E917" s="17" t="str">
        <f t="array" ref="E917">INDEX(Moves!$B$2:'Moves'!$B$177, SUM(HEX2DEC("0D"),1), 1)</f>
        <v>Crabhammer</v>
      </c>
      <c r="F917" s="11"/>
      <c r="H917" s="21"/>
      <c r="I917" s="25"/>
      <c r="J917" s="30"/>
    </row>
    <row r="918" spans="1:10" x14ac:dyDescent="0.2">
      <c r="A918" s="121" t="s">
        <v>193</v>
      </c>
      <c r="B918" s="70">
        <f>HEX2DEC("00")</f>
        <v>0</v>
      </c>
      <c r="C918" s="71" t="str">
        <f t="array" ref="C918">INDEX(Moves!$B$2:'Moves'!$B$177, SUM(HEX2DEC("08"),1), 1)</f>
        <v>Bubble</v>
      </c>
      <c r="D918" s="70">
        <f t="shared" ref="D918:D920" si="77">HEX2DEC("01")</f>
        <v>1</v>
      </c>
      <c r="E918" s="71" t="str">
        <f t="array" ref="E918">INDEX(Moves!$B$2:'Moves'!$B$177, SUM(HEX2DEC("08"),1), 1)</f>
        <v>Bubble</v>
      </c>
      <c r="F918" s="41">
        <v>3</v>
      </c>
      <c r="G918" s="12" t="str">
        <f>VLOOKUP(F918, TMHM!$B$10:$C1519, 2, FALSE)</f>
        <v>Water Pulse</v>
      </c>
      <c r="H918" s="13">
        <v>3</v>
      </c>
      <c r="I918" s="14" t="str">
        <f>VLOOKUP(H918, TMHM!$B$2:$C$7, 2, FALSE)</f>
        <v>Surf</v>
      </c>
      <c r="J918" s="30"/>
    </row>
    <row r="919" spans="1:10" x14ac:dyDescent="0.2">
      <c r="A919" s="120"/>
      <c r="B919" s="34"/>
      <c r="C919" s="35"/>
      <c r="D919" s="34">
        <f t="shared" si="77"/>
        <v>1</v>
      </c>
      <c r="E919" s="35" t="s">
        <v>59</v>
      </c>
      <c r="F919" s="11">
        <v>8</v>
      </c>
      <c r="G919" s="20" t="str">
        <f>VLOOKUP(F919, TMHM!$B$10:$C1519, 2, FALSE)</f>
        <v>Charm</v>
      </c>
      <c r="H919" s="21">
        <v>4</v>
      </c>
      <c r="I919" s="20" t="str">
        <f>VLOOKUP(H919, TMHM!$B$2:$C$7, 2, FALSE)</f>
        <v>Strength</v>
      </c>
      <c r="J919" s="30"/>
    </row>
    <row r="920" spans="1:10" x14ac:dyDescent="0.2">
      <c r="A920" s="120"/>
      <c r="B920" s="34"/>
      <c r="C920" s="35"/>
      <c r="D920" s="34">
        <f t="shared" si="77"/>
        <v>1</v>
      </c>
      <c r="E920" s="35" t="s">
        <v>192</v>
      </c>
      <c r="F920" s="11">
        <v>11</v>
      </c>
      <c r="G920" s="20" t="str">
        <f>VLOOKUP(F920, TMHM!$B$10:$C1519, 2, FALSE)</f>
        <v>Bubblebeam</v>
      </c>
      <c r="H920" s="21"/>
      <c r="I920" s="25"/>
      <c r="J920" s="30"/>
    </row>
    <row r="921" spans="1:10" x14ac:dyDescent="0.2">
      <c r="A921" s="120"/>
      <c r="B921" s="48">
        <f>HEX2DEC("05")</f>
        <v>5</v>
      </c>
      <c r="C921" s="23" t="str">
        <f t="array" ref="C921">INDEX(Moves!$B$2:'Moves'!$B$177, SUM(HEX2DEC("A0"),1), 1)</f>
        <v>Growl</v>
      </c>
      <c r="D921" s="48">
        <f>HEX2DEC("05")</f>
        <v>5</v>
      </c>
      <c r="E921" s="23" t="s">
        <v>59</v>
      </c>
      <c r="F921" s="11">
        <v>13</v>
      </c>
      <c r="G921" s="20" t="str">
        <f>VLOOKUP(F921, TMHM!$B$10:$C1519, 2, FALSE)</f>
        <v>Ice Beam</v>
      </c>
      <c r="H921" s="21"/>
      <c r="I921" s="25"/>
      <c r="J921" s="30"/>
    </row>
    <row r="922" spans="1:10" x14ac:dyDescent="0.2">
      <c r="A922" s="120"/>
      <c r="B922" s="48">
        <f>HEX2DEC("0C")</f>
        <v>12</v>
      </c>
      <c r="C922" s="23" t="str">
        <f t="array" ref="C922">INDEX(Moves!$B$2:'Moves'!$B$177, SUM(HEX2DEC("7F"),1), 1)</f>
        <v>Pursuit</v>
      </c>
      <c r="D922" s="48">
        <f>HEX2DEC("0C")</f>
        <v>12</v>
      </c>
      <c r="E922" s="23" t="s">
        <v>192</v>
      </c>
      <c r="F922" s="11">
        <v>21</v>
      </c>
      <c r="G922" s="20" t="str">
        <f>VLOOKUP(F922, TMHM!$B$10:$C1519, 2, FALSE)</f>
        <v>Recover</v>
      </c>
      <c r="H922" s="21"/>
      <c r="I922" s="25"/>
      <c r="J922" s="30"/>
    </row>
    <row r="923" spans="1:10" x14ac:dyDescent="0.2">
      <c r="A923" s="120"/>
      <c r="B923" s="16">
        <f>HEX2DEC("10")</f>
        <v>16</v>
      </c>
      <c r="C923" s="17" t="str">
        <f t="array" ref="C923">INDEX(Moves!$B$2:'Moves'!$B$177, SUM(HEX2DEC("A3"),1), 1)</f>
        <v>Harden</v>
      </c>
      <c r="D923" s="16">
        <f>HEX2DEC("10")</f>
        <v>16</v>
      </c>
      <c r="E923" s="17" t="str">
        <f t="array" ref="E923">INDEX(Moves!$B$2:'Moves'!$B$177, SUM(HEX2DEC("A3"),1), 1)</f>
        <v>Harden</v>
      </c>
      <c r="F923" s="11">
        <v>32</v>
      </c>
      <c r="G923" s="20" t="str">
        <f>VLOOKUP(F923, TMHM!$B$10:$C1519, 2, FALSE)</f>
        <v>Double Team</v>
      </c>
      <c r="H923" s="21"/>
      <c r="I923" s="25"/>
      <c r="J923" s="30"/>
    </row>
    <row r="924" spans="1:10" x14ac:dyDescent="0.2">
      <c r="A924" s="120"/>
      <c r="B924" s="48">
        <f>HEX2DEC("17")</f>
        <v>23</v>
      </c>
      <c r="C924" s="23" t="str">
        <f t="array" ref="C924">INDEX(Moves!$B$2:'Moves'!$B$177, SUM(HEX2DEC("50"),1), 1)</f>
        <v>Low Kick</v>
      </c>
      <c r="D924" s="48">
        <f>HEX2DEC("17")</f>
        <v>23</v>
      </c>
      <c r="E924" s="23" t="s">
        <v>154</v>
      </c>
      <c r="F924" s="11">
        <v>35</v>
      </c>
      <c r="G924" s="20" t="str">
        <f>VLOOKUP(F924, TMHM!$B$10:$C1519, 2, FALSE)</f>
        <v>Harden</v>
      </c>
      <c r="H924" s="21"/>
      <c r="I924" s="25"/>
      <c r="J924" s="30"/>
    </row>
    <row r="925" spans="1:10" x14ac:dyDescent="0.2">
      <c r="A925" s="120"/>
      <c r="B925" s="16">
        <f>HEX2DEC("1B")</f>
        <v>27</v>
      </c>
      <c r="C925" s="17" t="str">
        <f t="array" ref="C925">INDEX(Moves!$B$2:'Moves'!$B$177, SUM(HEX2DEC("9B"),1), 1)</f>
        <v>Guillotine</v>
      </c>
      <c r="D925" s="16">
        <f>HEX2DEC("1B")</f>
        <v>27</v>
      </c>
      <c r="E925" s="17" t="str">
        <f t="array" ref="E925">INDEX(Moves!$B$2:'Moves'!$B$177, SUM(HEX2DEC("9B"),1), 1)</f>
        <v>Guillotine</v>
      </c>
      <c r="F925" s="11"/>
      <c r="H925" s="21"/>
      <c r="I925" s="25"/>
      <c r="J925" s="30"/>
    </row>
    <row r="926" spans="1:10" x14ac:dyDescent="0.2">
      <c r="A926" s="120"/>
      <c r="B926" s="48">
        <f>HEX2DEC("26")</f>
        <v>38</v>
      </c>
      <c r="C926" s="23" t="str">
        <f t="array" ref="C926">INDEX(Moves!$B$2:'Moves'!$B$177, SUM(HEX2DEC("12"),1), 1)</f>
        <v>Withdraw</v>
      </c>
      <c r="D926" s="48">
        <f>HEX2DEC("26")</f>
        <v>38</v>
      </c>
      <c r="E926" s="23" t="s">
        <v>35</v>
      </c>
      <c r="F926" s="11"/>
      <c r="H926" s="21"/>
      <c r="I926" s="25"/>
      <c r="J926" s="30"/>
    </row>
    <row r="927" spans="1:10" x14ac:dyDescent="0.2">
      <c r="A927" s="121" t="s">
        <v>194</v>
      </c>
      <c r="B927" s="64">
        <f>HEX2DEC("00")</f>
        <v>0</v>
      </c>
      <c r="C927" s="65" t="str">
        <f t="array" ref="C927">INDEX(Moves!$B$2:'Moves'!$B$177, SUM(HEX2DEC("7F"),1), 1)</f>
        <v>Pursuit</v>
      </c>
      <c r="D927" s="64">
        <f>HEX2DEC("01")</f>
        <v>1</v>
      </c>
      <c r="E927" s="65" t="s">
        <v>195</v>
      </c>
      <c r="F927" s="41">
        <v>4</v>
      </c>
      <c r="G927" s="12" t="str">
        <f>VLOOKUP(F927, TMHM!$B$10:$C1519, 2, FALSE)</f>
        <v>Calm Mind</v>
      </c>
      <c r="H927" s="13">
        <v>5</v>
      </c>
      <c r="I927" s="14" t="str">
        <f>VLOOKUP(H927, TMHM!$B$2:$C$7, 2, FALSE)</f>
        <v>Flash</v>
      </c>
      <c r="J927" s="30"/>
    </row>
    <row r="928" spans="1:10" x14ac:dyDescent="0.2">
      <c r="A928" s="120"/>
      <c r="B928" s="16">
        <f>HEX2DEC("09")</f>
        <v>9</v>
      </c>
      <c r="C928" s="17" t="str">
        <f t="array" ref="C928">INDEX(Moves!$B$2:'Moves'!$B$177, SUM(HEX2DEC("9E"),1), 1)</f>
        <v>Supersonic</v>
      </c>
      <c r="D928" s="16">
        <f>HEX2DEC("09")</f>
        <v>9</v>
      </c>
      <c r="E928" s="17" t="str">
        <f t="array" ref="E928">INDEX(Moves!$B$2:'Moves'!$B$177, SUM(HEX2DEC("9E"),1), 1)</f>
        <v>Supersonic</v>
      </c>
      <c r="F928" s="11">
        <v>12</v>
      </c>
      <c r="G928" s="20" t="str">
        <f>VLOOKUP(F928, TMHM!$B$10:$C1519, 2, FALSE)</f>
        <v>Steel Wing</v>
      </c>
      <c r="H928" s="21"/>
      <c r="I928" s="25"/>
      <c r="J928" s="30"/>
    </row>
    <row r="929" spans="1:10" x14ac:dyDescent="0.2">
      <c r="A929" s="120"/>
      <c r="B929" s="50">
        <f>HEX2DEC("11")</f>
        <v>17</v>
      </c>
      <c r="C929" s="51" t="str">
        <f t="array" ref="C929">INDEX(Moves!$B$2:'Moves'!$B$177, SUM(HEX2DEC("86"),1), 1)</f>
        <v>Iron Defense</v>
      </c>
      <c r="D929" s="50">
        <f>HEX2DEC("11")</f>
        <v>17</v>
      </c>
      <c r="E929" s="51" t="str">
        <f t="array" ref="E929">INDEX(Moves!$B$2:'Moves'!$B$177, SUM(HEX2DEC("88"),1), 1)</f>
        <v>SonicBoom</v>
      </c>
      <c r="F929" s="11">
        <v>15</v>
      </c>
      <c r="G929" s="20" t="str">
        <f>VLOOKUP(F929, TMHM!$B$10:$C1519, 2, FALSE)</f>
        <v>Hyper Beam</v>
      </c>
      <c r="H929" s="21"/>
      <c r="I929" s="25"/>
      <c r="J929" s="30"/>
    </row>
    <row r="930" spans="1:10" x14ac:dyDescent="0.2">
      <c r="A930" s="120"/>
      <c r="B930" s="16">
        <f>HEX2DEC("17")</f>
        <v>23</v>
      </c>
      <c r="C930" s="17" t="str">
        <f t="array" ref="C930">INDEX(Moves!$B$2:'Moves'!$B$177, SUM(HEX2DEC("98"),1), 1)</f>
        <v>Selfdestruct</v>
      </c>
      <c r="D930" s="16">
        <f>HEX2DEC("17")</f>
        <v>23</v>
      </c>
      <c r="E930" s="17" t="str">
        <f t="array" ref="E930">INDEX(Moves!$B$2:'Moves'!$B$177, SUM(HEX2DEC("98"),1), 1)</f>
        <v>Selfdestruct</v>
      </c>
      <c r="F930" s="11">
        <v>20</v>
      </c>
      <c r="G930" s="20" t="str">
        <f>VLOOKUP(F930, TMHM!$B$10:$C1519, 2, FALSE)</f>
        <v>Iron Defense</v>
      </c>
      <c r="H930" s="21"/>
      <c r="I930" s="25"/>
      <c r="J930" s="30"/>
    </row>
    <row r="931" spans="1:10" x14ac:dyDescent="0.2">
      <c r="A931" s="120"/>
      <c r="B931" s="48">
        <f>HEX2DEC("1D")</f>
        <v>29</v>
      </c>
      <c r="C931" s="23" t="str">
        <f t="array" ref="C931">INDEX(Moves!$B$2:'Moves'!$B$177, SUM(HEX2DEC("89"),1), 1)</f>
        <v>Tackle</v>
      </c>
      <c r="D931" s="48">
        <f>HEX2DEC("1D")</f>
        <v>29</v>
      </c>
      <c r="E931" s="23" t="s">
        <v>95</v>
      </c>
      <c r="F931" s="11">
        <v>23</v>
      </c>
      <c r="G931" s="20" t="str">
        <f>VLOOKUP(F931, TMHM!$B$10:$C1519, 2, FALSE)</f>
        <v>Iron Tail</v>
      </c>
      <c r="H931" s="21"/>
      <c r="I931" s="25"/>
      <c r="J931" s="30"/>
    </row>
    <row r="932" spans="1:10" x14ac:dyDescent="0.2">
      <c r="A932" s="120"/>
      <c r="B932" s="48">
        <f>HEX2DEC("21")</f>
        <v>33</v>
      </c>
      <c r="C932" s="23" t="str">
        <f t="array" ref="C932">INDEX(Moves!$B$2:'Moves'!$B$177, SUM(HEX2DEC("A3"),1), 1)</f>
        <v>Harden</v>
      </c>
      <c r="D932" s="48">
        <f>HEX2DEC("21")</f>
        <v>33</v>
      </c>
      <c r="E932" s="23" t="s">
        <v>68</v>
      </c>
      <c r="F932" s="11">
        <v>24</v>
      </c>
      <c r="G932" s="20" t="str">
        <f>VLOOKUP(F932, TMHM!$B$10:$C1519, 2, FALSE)</f>
        <v>Thunderbolt</v>
      </c>
      <c r="H932" s="21"/>
      <c r="I932" s="25"/>
      <c r="J932" s="30"/>
    </row>
    <row r="933" spans="1:10" x14ac:dyDescent="0.2">
      <c r="A933" s="120"/>
      <c r="B933" s="16">
        <f>HEX2DEC("25")</f>
        <v>37</v>
      </c>
      <c r="C933" s="17" t="str">
        <f t="array" ref="C933">INDEX(Moves!$B$2:'Moves'!$B$177, SUM(HEX2DEC("90"),1), 1)</f>
        <v>Swift</v>
      </c>
      <c r="D933" s="16">
        <f>HEX2DEC("25")</f>
        <v>37</v>
      </c>
      <c r="E933" s="17" t="str">
        <f t="array" ref="E933">INDEX(Moves!$B$2:'Moves'!$B$177, SUM(HEX2DEC("90"),1), 1)</f>
        <v>Swift</v>
      </c>
      <c r="F933" s="11">
        <v>25</v>
      </c>
      <c r="G933" s="20" t="str">
        <f>VLOOKUP(F933, TMHM!$B$10:$C1519, 2, FALSE)</f>
        <v>Thunder</v>
      </c>
      <c r="H933" s="21"/>
      <c r="I933" s="25"/>
      <c r="J933" s="30"/>
    </row>
    <row r="934" spans="1:10" x14ac:dyDescent="0.2">
      <c r="A934" s="120"/>
      <c r="B934" s="16">
        <f>HEX2DEC("27")</f>
        <v>39</v>
      </c>
      <c r="C934" s="17" t="str">
        <f t="array" ref="C934">INDEX(Moves!$B$2:'Moves'!$B$177, SUM(HEX2DEC("99"),1), 1)</f>
        <v>Explosion</v>
      </c>
      <c r="D934" s="16">
        <f>HEX2DEC("27")</f>
        <v>39</v>
      </c>
      <c r="E934" s="17" t="str">
        <f t="array" ref="E934">INDEX(Moves!$B$2:'Moves'!$B$177, SUM(HEX2DEC("99"),1), 1)</f>
        <v>Explosion</v>
      </c>
      <c r="F934" s="11">
        <v>29</v>
      </c>
      <c r="G934" s="20" t="str">
        <f>VLOOKUP(F934, TMHM!$B$10:$C1519, 2, FALSE)</f>
        <v>Psychic</v>
      </c>
      <c r="H934" s="21"/>
      <c r="I934" s="25"/>
      <c r="J934" s="30"/>
    </row>
    <row r="935" spans="1:10" x14ac:dyDescent="0.2">
      <c r="A935" s="120"/>
      <c r="B935" s="48">
        <f>HEX2DEC("29")</f>
        <v>41</v>
      </c>
      <c r="C935" s="23" t="str">
        <f t="array" ref="C935">INDEX(Moves!$B$2:'Moves'!$B$177, SUM(HEX2DEC("A2"),1), 1)</f>
        <v>Defense Curl</v>
      </c>
      <c r="D935" s="48">
        <f>HEX2DEC("29")</f>
        <v>41</v>
      </c>
      <c r="E935" s="23" t="s">
        <v>196</v>
      </c>
      <c r="F935" s="11">
        <v>34</v>
      </c>
      <c r="G935" s="20" t="str">
        <f>VLOOKUP(F935, TMHM!$B$10:$C1519, 2, FALSE)</f>
        <v>Shock Wave</v>
      </c>
      <c r="H935" s="21"/>
      <c r="I935" s="25"/>
      <c r="J935" s="30"/>
    </row>
    <row r="936" spans="1:10" x14ac:dyDescent="0.2">
      <c r="A936" s="121" t="s">
        <v>197</v>
      </c>
      <c r="B936" s="64">
        <f>HEX2DEC("00")</f>
        <v>0</v>
      </c>
      <c r="C936" s="65" t="str">
        <f t="array" ref="C936">INDEX(Moves!$B$2:'Moves'!$B$177, SUM(HEX2DEC("7F"),1), 1)</f>
        <v>Pursuit</v>
      </c>
      <c r="D936" s="64">
        <f>HEX2DEC("01")</f>
        <v>1</v>
      </c>
      <c r="E936" s="65" t="s">
        <v>195</v>
      </c>
      <c r="F936" s="41">
        <v>4</v>
      </c>
      <c r="G936" s="12" t="str">
        <f>VLOOKUP(F936, TMHM!$B$10:$C1519, 2, FALSE)</f>
        <v>Calm Mind</v>
      </c>
      <c r="H936" s="13">
        <v>5</v>
      </c>
      <c r="I936" s="14" t="str">
        <f>VLOOKUP(H936, TMHM!$B$2:$C$7, 2, FALSE)</f>
        <v>Flash</v>
      </c>
      <c r="J936" s="30"/>
    </row>
    <row r="937" spans="1:10" x14ac:dyDescent="0.2">
      <c r="A937" s="120"/>
      <c r="B937" s="16">
        <f>HEX2DEC("09")</f>
        <v>9</v>
      </c>
      <c r="C937" s="17" t="str">
        <f t="array" ref="C937">INDEX(Moves!$B$2:'Moves'!$B$177, SUM(HEX2DEC("9E"),1), 1)</f>
        <v>Supersonic</v>
      </c>
      <c r="D937" s="16">
        <f>HEX2DEC("09")</f>
        <v>9</v>
      </c>
      <c r="E937" s="17" t="str">
        <f t="array" ref="E937">INDEX(Moves!$B$2:'Moves'!$B$177, SUM(HEX2DEC("9E"),1), 1)</f>
        <v>Supersonic</v>
      </c>
      <c r="F937" s="11">
        <v>12</v>
      </c>
      <c r="G937" s="20" t="str">
        <f>VLOOKUP(F937, TMHM!$B$10:$C1519, 2, FALSE)</f>
        <v>Steel Wing</v>
      </c>
      <c r="H937" s="21"/>
      <c r="I937" s="25"/>
      <c r="J937" s="30"/>
    </row>
    <row r="938" spans="1:10" x14ac:dyDescent="0.2">
      <c r="A938" s="120"/>
      <c r="B938" s="50">
        <f>HEX2DEC("11")</f>
        <v>17</v>
      </c>
      <c r="C938" s="51" t="str">
        <f t="array" ref="C938">INDEX(Moves!$B$2:'Moves'!$B$177, SUM(HEX2DEC("86"),1), 1)</f>
        <v>Iron Defense</v>
      </c>
      <c r="D938" s="50">
        <f>HEX2DEC("11")</f>
        <v>17</v>
      </c>
      <c r="E938" s="51" t="str">
        <f t="array" ref="E938">INDEX(Moves!$B$2:'Moves'!$B$177, SUM(HEX2DEC("88"),1), 1)</f>
        <v>SonicBoom</v>
      </c>
      <c r="F938" s="11">
        <v>15</v>
      </c>
      <c r="G938" s="20" t="str">
        <f>VLOOKUP(F938, TMHM!$B$10:$C1519, 2, FALSE)</f>
        <v>Hyper Beam</v>
      </c>
      <c r="H938" s="21"/>
      <c r="I938" s="25"/>
      <c r="J938" s="30"/>
    </row>
    <row r="939" spans="1:10" x14ac:dyDescent="0.2">
      <c r="A939" s="120"/>
      <c r="B939" s="16">
        <f>HEX2DEC("17")</f>
        <v>23</v>
      </c>
      <c r="C939" s="17" t="str">
        <f t="array" ref="C939">INDEX(Moves!$B$2:'Moves'!$B$177, SUM(HEX2DEC("98"),1), 1)</f>
        <v>Selfdestruct</v>
      </c>
      <c r="D939" s="16">
        <f>HEX2DEC("17")</f>
        <v>23</v>
      </c>
      <c r="E939" s="17" t="str">
        <f t="array" ref="E939">INDEX(Moves!$B$2:'Moves'!$B$177, SUM(HEX2DEC("98"),1), 1)</f>
        <v>Selfdestruct</v>
      </c>
      <c r="F939" s="11">
        <v>20</v>
      </c>
      <c r="G939" s="20" t="str">
        <f>VLOOKUP(F939, TMHM!$B$10:$C1519, 2, FALSE)</f>
        <v>Iron Defense</v>
      </c>
      <c r="H939" s="21"/>
      <c r="I939" s="25"/>
      <c r="J939" s="30"/>
    </row>
    <row r="940" spans="1:10" x14ac:dyDescent="0.2">
      <c r="A940" s="120"/>
      <c r="B940" s="48">
        <f>HEX2DEC("1D")</f>
        <v>29</v>
      </c>
      <c r="C940" s="23" t="str">
        <f t="array" ref="C940">INDEX(Moves!$B$2:'Moves'!$B$177, SUM(HEX2DEC("89"),1), 1)</f>
        <v>Tackle</v>
      </c>
      <c r="D940" s="48">
        <f>HEX2DEC("1D")</f>
        <v>29</v>
      </c>
      <c r="E940" s="23" t="s">
        <v>95</v>
      </c>
      <c r="F940" s="11">
        <v>23</v>
      </c>
      <c r="G940" s="20" t="str">
        <f>VLOOKUP(F940, TMHM!$B$10:$C1519, 2, FALSE)</f>
        <v>Iron Tail</v>
      </c>
      <c r="H940" s="21"/>
      <c r="I940" s="25"/>
      <c r="J940" s="30"/>
    </row>
    <row r="941" spans="1:10" x14ac:dyDescent="0.2">
      <c r="A941" s="120"/>
      <c r="B941" s="48">
        <f>HEX2DEC("22")</f>
        <v>34</v>
      </c>
      <c r="C941" s="23" t="str">
        <f t="array" ref="C941">INDEX(Moves!$B$2:'Moves'!$B$177, SUM(HEX2DEC("A3"),1), 1)</f>
        <v>Harden</v>
      </c>
      <c r="D941" s="48">
        <f>HEX2DEC("22")</f>
        <v>34</v>
      </c>
      <c r="E941" s="23" t="s">
        <v>68</v>
      </c>
      <c r="F941" s="11">
        <v>24</v>
      </c>
      <c r="G941" s="20" t="str">
        <f>VLOOKUP(F941, TMHM!$B$10:$C1519, 2, FALSE)</f>
        <v>Thunderbolt</v>
      </c>
      <c r="H941" s="21"/>
      <c r="I941" s="25"/>
      <c r="J941" s="30"/>
    </row>
    <row r="942" spans="1:10" x14ac:dyDescent="0.2">
      <c r="A942" s="120"/>
      <c r="B942" s="16">
        <f>HEX2DEC("28")</f>
        <v>40</v>
      </c>
      <c r="C942" s="17" t="str">
        <f t="array" ref="C942">INDEX(Moves!$B$2:'Moves'!$B$177, SUM(HEX2DEC("90"),1), 1)</f>
        <v>Swift</v>
      </c>
      <c r="D942" s="16">
        <f>HEX2DEC("28")</f>
        <v>40</v>
      </c>
      <c r="E942" s="17" t="str">
        <f t="array" ref="E942">INDEX(Moves!$B$2:'Moves'!$B$177, SUM(HEX2DEC("90"),1), 1)</f>
        <v>Swift</v>
      </c>
      <c r="F942" s="11">
        <v>25</v>
      </c>
      <c r="G942" s="20" t="str">
        <f>VLOOKUP(F942, TMHM!$B$10:$C1519, 2, FALSE)</f>
        <v>Thunder</v>
      </c>
      <c r="H942" s="21"/>
      <c r="I942" s="25"/>
      <c r="J942" s="30"/>
    </row>
    <row r="943" spans="1:10" x14ac:dyDescent="0.2">
      <c r="A943" s="120"/>
      <c r="B943" s="16">
        <f>HEX2DEC("2C")</f>
        <v>44</v>
      </c>
      <c r="C943" s="17" t="str">
        <f t="array" ref="C943">INDEX(Moves!$B$2:'Moves'!$B$177, SUM(HEX2DEC("99"),1), 1)</f>
        <v>Explosion</v>
      </c>
      <c r="D943" s="16">
        <f>HEX2DEC("2C")</f>
        <v>44</v>
      </c>
      <c r="E943" s="17" t="str">
        <f t="array" ref="E943">INDEX(Moves!$B$2:'Moves'!$B$177, SUM(HEX2DEC("99"),1), 1)</f>
        <v>Explosion</v>
      </c>
      <c r="F943" s="11">
        <v>29</v>
      </c>
      <c r="G943" s="20" t="str">
        <f>VLOOKUP(F943, TMHM!$B$10:$C1519, 2, FALSE)</f>
        <v>Psychic</v>
      </c>
      <c r="H943" s="21"/>
      <c r="I943" s="25"/>
      <c r="J943" s="30"/>
    </row>
    <row r="944" spans="1:10" x14ac:dyDescent="0.2">
      <c r="A944" s="120"/>
      <c r="B944" s="48">
        <f>HEX2DEC("30")</f>
        <v>48</v>
      </c>
      <c r="C944" s="23" t="str">
        <f t="array" ref="C944">INDEX(Moves!$B$2:'Moves'!$B$177, SUM(HEX2DEC("A2"),1), 1)</f>
        <v>Defense Curl</v>
      </c>
      <c r="D944" s="48">
        <f>HEX2DEC("30")</f>
        <v>48</v>
      </c>
      <c r="E944" s="23" t="s">
        <v>196</v>
      </c>
      <c r="F944" s="11">
        <v>34</v>
      </c>
      <c r="G944" s="20" t="str">
        <f>VLOOKUP(F944, TMHM!$B$10:$C1519, 2, FALSE)</f>
        <v>Shock Wave</v>
      </c>
      <c r="H944" s="21"/>
      <c r="I944" s="25"/>
      <c r="J944" s="30"/>
    </row>
    <row r="945" spans="1:10" x14ac:dyDescent="0.2">
      <c r="A945" s="121" t="s">
        <v>198</v>
      </c>
      <c r="B945" s="61">
        <f>HEX2DEC("00")</f>
        <v>0</v>
      </c>
      <c r="C945" s="62" t="str">
        <f t="array" ref="C945">INDEX(Moves!$B$2:'Moves'!$B$177, SUM(HEX2DEC("7F"),1), 1)</f>
        <v>Pursuit</v>
      </c>
      <c r="D945" s="61">
        <f t="shared" ref="D945:D946" si="78">HEX2DEC("01")</f>
        <v>1</v>
      </c>
      <c r="E945" s="62" t="s">
        <v>199</v>
      </c>
      <c r="F945" s="41">
        <v>1</v>
      </c>
      <c r="G945" s="12" t="str">
        <f>VLOOKUP(F945, TMHM!$B$10:$C1519, 2, FALSE)</f>
        <v>Focus Punch</v>
      </c>
      <c r="H945" s="13">
        <v>5</v>
      </c>
      <c r="I945" s="14" t="str">
        <f>VLOOKUP(H945, TMHM!$B$2:$C$7, 2, FALSE)</f>
        <v>Flash</v>
      </c>
      <c r="J945" s="30"/>
    </row>
    <row r="946" spans="1:10" x14ac:dyDescent="0.2">
      <c r="A946" s="120"/>
      <c r="B946" s="43">
        <f>HEX2DEC("02")</f>
        <v>2</v>
      </c>
      <c r="C946" s="17" t="str">
        <f t="array" ref="C946">INDEX(Moves!$B$2:'Moves'!$B$177, SUM(HEX2DEC("6D"),1), 1)</f>
        <v>Hypnosis</v>
      </c>
      <c r="D946" s="43">
        <f t="shared" si="78"/>
        <v>1</v>
      </c>
      <c r="E946" s="17" t="str">
        <f t="array" ref="E946">INDEX(Moves!$B$2:'Moves'!$B$177, SUM(HEX2DEC("6D"),1), 1)</f>
        <v>Hypnosis</v>
      </c>
      <c r="F946" s="11">
        <v>6</v>
      </c>
      <c r="G946" s="20" t="str">
        <f>VLOOKUP(F946, TMHM!$B$10:$C1519, 2, FALSE)</f>
        <v>Toxic</v>
      </c>
      <c r="H946" s="21"/>
      <c r="I946" s="25"/>
      <c r="J946" s="30"/>
    </row>
    <row r="947" spans="1:10" x14ac:dyDescent="0.2">
      <c r="A947" s="120"/>
      <c r="B947" s="48">
        <f>HEX2DEC("07")</f>
        <v>7</v>
      </c>
      <c r="C947" s="23" t="str">
        <f t="array" ref="C947">INDEX(Moves!$B$2:'Moves'!$B$177, SUM(HEX2DEC("86"),1), 1)</f>
        <v>Iron Defense</v>
      </c>
      <c r="D947" s="48">
        <f>HEX2DEC("07")</f>
        <v>7</v>
      </c>
      <c r="E947" s="23" t="s">
        <v>135</v>
      </c>
      <c r="F947" s="11">
        <v>7</v>
      </c>
      <c r="G947" s="20" t="str">
        <f>VLOOKUP(F947, TMHM!$B$10:$C1519, 2, FALSE)</f>
        <v>Secret Power</v>
      </c>
      <c r="H947" s="21"/>
      <c r="I947" s="25"/>
      <c r="J947" s="30"/>
    </row>
    <row r="948" spans="1:10" x14ac:dyDescent="0.2">
      <c r="A948" s="120"/>
      <c r="B948" s="48">
        <f>HEX2DEC("0D")</f>
        <v>13</v>
      </c>
      <c r="C948" s="23" t="str">
        <f t="array" ref="C948">INDEX(Moves!$B$2:'Moves'!$B$177, SUM(HEX2DEC("1C"),1), 1)</f>
        <v>Absorb</v>
      </c>
      <c r="D948" s="48">
        <f>HEX2DEC("0D")</f>
        <v>13</v>
      </c>
      <c r="E948" s="23" t="s">
        <v>12</v>
      </c>
      <c r="F948" s="11">
        <v>17</v>
      </c>
      <c r="G948" s="20" t="str">
        <f>VLOOKUP(F948, TMHM!$B$10:$C1519, 2, FALSE)</f>
        <v>SmokeScreen</v>
      </c>
      <c r="H948" s="21"/>
      <c r="I948" s="25"/>
      <c r="J948" s="30"/>
    </row>
    <row r="949" spans="1:10" x14ac:dyDescent="0.2">
      <c r="A949" s="120"/>
      <c r="B949" s="73">
        <f>HEX2DEC("13")</f>
        <v>19</v>
      </c>
      <c r="C949" s="17" t="str">
        <f t="array" ref="C949">INDEX(Moves!$B$2:'Moves'!$B$177, SUM(HEX2DEC("65"),1), 1)</f>
        <v>Confusion</v>
      </c>
      <c r="D949" s="73">
        <f>HEX2DEC("13")</f>
        <v>19</v>
      </c>
      <c r="E949" s="17" t="str">
        <f t="array" ref="E949">INDEX(Moves!$B$2:'Moves'!$B$177, SUM(HEX2DEC("65"),1), 1)</f>
        <v>Confusion</v>
      </c>
      <c r="F949" s="11">
        <v>19</v>
      </c>
      <c r="G949" s="20" t="str">
        <f>VLOOKUP(F949, TMHM!$B$10:$C1519, 2, FALSE)</f>
        <v>Giga Drain</v>
      </c>
      <c r="H949" s="21"/>
      <c r="I949" s="25"/>
      <c r="J949" s="30"/>
    </row>
    <row r="950" spans="1:10" x14ac:dyDescent="0.2">
      <c r="A950" s="120"/>
      <c r="B950" s="73">
        <f>HEX2DEC("19")</f>
        <v>25</v>
      </c>
      <c r="C950" s="17" t="str">
        <f t="array" ref="C950">INDEX(Moves!$B$2:'Moves'!$B$177, SUM(HEX2DEC("28"),1), 1)</f>
        <v>Stun Spore</v>
      </c>
      <c r="D950" s="73">
        <f>HEX2DEC("19")</f>
        <v>25</v>
      </c>
      <c r="E950" s="17" t="str">
        <f t="array" ref="E950">INDEX(Moves!$B$2:'Moves'!$B$177, SUM(HEX2DEC("28"),1), 1)</f>
        <v>Stun Spore</v>
      </c>
      <c r="F950" s="11">
        <v>21</v>
      </c>
      <c r="G950" s="20" t="str">
        <f>VLOOKUP(F950, TMHM!$B$10:$C1519, 2, FALSE)</f>
        <v>Recover</v>
      </c>
      <c r="H950" s="21"/>
      <c r="I950" s="25"/>
      <c r="J950" s="30"/>
    </row>
    <row r="951" spans="1:10" x14ac:dyDescent="0.2">
      <c r="A951" s="120"/>
      <c r="B951" s="73">
        <f>HEX2DEC("1F")</f>
        <v>31</v>
      </c>
      <c r="C951" s="17" t="str">
        <f t="array" ref="C951">INDEX(Moves!$B$2:'Moves'!$B$177, SUM(HEX2DEC("4B"),1), 1)</f>
        <v>PoisonPowder</v>
      </c>
      <c r="D951" s="73">
        <f>HEX2DEC("1F")</f>
        <v>31</v>
      </c>
      <c r="E951" s="17" t="str">
        <f t="array" ref="E951">INDEX(Moves!$B$2:'Moves'!$B$177, SUM(HEX2DEC("4B"),1), 1)</f>
        <v>PoisonPowder</v>
      </c>
      <c r="F951" s="11">
        <v>22</v>
      </c>
      <c r="G951" s="20" t="str">
        <f>VLOOKUP(F951, TMHM!$B$10:$C1519, 2, FALSE)</f>
        <v>SolarBeam</v>
      </c>
      <c r="H951" s="21"/>
      <c r="I951" s="25"/>
      <c r="J951" s="30"/>
    </row>
    <row r="952" spans="1:10" x14ac:dyDescent="0.2">
      <c r="A952" s="120"/>
      <c r="B952" s="73">
        <f>HEX2DEC("25")</f>
        <v>37</v>
      </c>
      <c r="C952" s="17" t="str">
        <f t="array" ref="C952">INDEX(Moves!$B$2:'Moves'!$B$177, SUM(HEX2DEC("26"),1), 1)</f>
        <v>Sleep Powder</v>
      </c>
      <c r="D952" s="73">
        <f>HEX2DEC("25")</f>
        <v>37</v>
      </c>
      <c r="E952" s="17" t="str">
        <f t="array" ref="E952">INDEX(Moves!$B$2:'Moves'!$B$177, SUM(HEX2DEC("26"),1), 1)</f>
        <v>Sleep Powder</v>
      </c>
      <c r="F952" s="11">
        <v>33</v>
      </c>
      <c r="G952" s="20" t="str">
        <f>VLOOKUP(F952, TMHM!$B$10:$C1519, 2, FALSE)</f>
        <v>Razor Leaf</v>
      </c>
      <c r="H952" s="21"/>
      <c r="I952" s="25"/>
      <c r="J952" s="30"/>
    </row>
    <row r="953" spans="1:10" x14ac:dyDescent="0.2">
      <c r="A953" s="120"/>
      <c r="B953" s="73">
        <f>HEX2DEC("2B")</f>
        <v>43</v>
      </c>
      <c r="C953" s="17" t="str">
        <f t="array" ref="C953">INDEX(Moves!$B$2:'Moves'!$B$177, SUM(HEX2DEC("23"),1), 1)</f>
        <v>SolarBeam</v>
      </c>
      <c r="D953" s="73">
        <f>HEX2DEC("2B")</f>
        <v>43</v>
      </c>
      <c r="E953" s="17" t="str">
        <f t="array" ref="E953">INDEX(Moves!$B$2:'Moves'!$B$177, SUM(HEX2DEC("23"),1), 1)</f>
        <v>SolarBeam</v>
      </c>
      <c r="F953" s="11"/>
      <c r="H953" s="21"/>
      <c r="I953" s="25"/>
      <c r="J953" s="30"/>
    </row>
    <row r="954" spans="1:10" x14ac:dyDescent="0.2">
      <c r="A954" s="121" t="s">
        <v>200</v>
      </c>
      <c r="B954" s="61">
        <f>HEX2DEC("00")</f>
        <v>0</v>
      </c>
      <c r="C954" s="62" t="str">
        <f t="array" ref="C954">INDEX(Moves!$B$2:'Moves'!$B$177, SUM(HEX2DEC("7F"),1), 1)</f>
        <v>Pursuit</v>
      </c>
      <c r="D954" s="61">
        <f t="shared" ref="D954:D956" si="79">HEX2DEC("01")</f>
        <v>1</v>
      </c>
      <c r="E954" s="62" t="s">
        <v>199</v>
      </c>
      <c r="F954" s="41">
        <v>1</v>
      </c>
      <c r="G954" s="12" t="str">
        <f>VLOOKUP(F954, TMHM!$B$10:$C1519, 2, FALSE)</f>
        <v>Focus Punch</v>
      </c>
      <c r="H954" s="13">
        <v>1</v>
      </c>
      <c r="I954" s="14" t="str">
        <f>VLOOKUP(H954, TMHM!$B$2:$C$7, 2, FALSE)</f>
        <v>Cut</v>
      </c>
      <c r="J954" s="30"/>
    </row>
    <row r="955" spans="1:10" x14ac:dyDescent="0.2">
      <c r="A955" s="120"/>
      <c r="B955" s="43">
        <f>HEX2DEC("02")</f>
        <v>2</v>
      </c>
      <c r="C955" s="17" t="str">
        <f t="array" ref="C955">INDEX(Moves!$B$2:'Moves'!$B$177, SUM(HEX2DEC("6D"),1), 1)</f>
        <v>Hypnosis</v>
      </c>
      <c r="D955" s="43">
        <f t="shared" si="79"/>
        <v>1</v>
      </c>
      <c r="E955" s="17" t="str">
        <f t="array" ref="E955">INDEX(Moves!$B$2:'Moves'!$B$177, SUM(HEX2DEC("6D"),1), 1)</f>
        <v>Hypnosis</v>
      </c>
      <c r="F955" s="11">
        <v>6</v>
      </c>
      <c r="G955" s="20" t="str">
        <f>VLOOKUP(F955, TMHM!$B$10:$C1519, 2, FALSE)</f>
        <v>Toxic</v>
      </c>
      <c r="H955" s="21">
        <v>5</v>
      </c>
      <c r="I955" s="20" t="str">
        <f>VLOOKUP(H955, TMHM!$B$2:$C$7, 2, FALSE)</f>
        <v>Flash</v>
      </c>
      <c r="J955" s="30"/>
    </row>
    <row r="956" spans="1:10" x14ac:dyDescent="0.2">
      <c r="A956" s="120"/>
      <c r="B956" s="73">
        <f>HEX2DEC("13")</f>
        <v>19</v>
      </c>
      <c r="C956" s="17" t="str">
        <f t="array" ref="C956">INDEX(Moves!$B$2:'Moves'!$B$177, SUM(HEX2DEC("65"),1), 1)</f>
        <v>Confusion</v>
      </c>
      <c r="D956" s="73">
        <f t="shared" si="79"/>
        <v>1</v>
      </c>
      <c r="E956" s="17" t="str">
        <f t="array" ref="E956">INDEX(Moves!$B$2:'Moves'!$B$177, SUM(HEX2DEC("65"),1), 1)</f>
        <v>Confusion</v>
      </c>
      <c r="F956" s="11">
        <v>7</v>
      </c>
      <c r="G956" s="20" t="str">
        <f>VLOOKUP(F956, TMHM!$B$10:$C1519, 2, FALSE)</f>
        <v>Secret Power</v>
      </c>
      <c r="H956" s="21"/>
      <c r="I956" s="25"/>
      <c r="J956" s="30"/>
    </row>
    <row r="957" spans="1:10" x14ac:dyDescent="0.2">
      <c r="A957" s="120"/>
      <c r="B957" s="43">
        <f>HEX2DEC("14")</f>
        <v>20</v>
      </c>
      <c r="C957" s="23" t="str">
        <f t="array" ref="C957">INDEX(Moves!$B$2:'Moves'!$B$177, SUM(HEX2DEC("22"),1), 1)</f>
        <v>Leaf Blade</v>
      </c>
      <c r="D957" s="43">
        <f>HEX2DEC("13")</f>
        <v>19</v>
      </c>
      <c r="E957" s="23" t="s">
        <v>154</v>
      </c>
      <c r="F957" s="11">
        <v>17</v>
      </c>
      <c r="G957" s="20" t="str">
        <f>VLOOKUP(F957, TMHM!$B$10:$C1519, 2, FALSE)</f>
        <v>SmokeScreen</v>
      </c>
      <c r="H957" s="21"/>
      <c r="I957" s="25"/>
      <c r="J957" s="30"/>
    </row>
    <row r="958" spans="1:10" x14ac:dyDescent="0.2">
      <c r="A958" s="120"/>
      <c r="B958" s="48">
        <f>HEX2DEC("1F")</f>
        <v>31</v>
      </c>
      <c r="C958" s="23" t="str">
        <f t="array" ref="C958">INDEX(Moves!$B$2:'Moves'!$B$177, SUM(HEX2DEC("24"),1), 1)</f>
        <v>Frenzy Plant</v>
      </c>
      <c r="D958" s="48">
        <f>HEX2DEC("1F")</f>
        <v>31</v>
      </c>
      <c r="E958" s="23" t="s">
        <v>201</v>
      </c>
      <c r="F958" s="11">
        <v>19</v>
      </c>
      <c r="G958" s="20" t="str">
        <f>VLOOKUP(F958, TMHM!$B$10:$C1519, 2, FALSE)</f>
        <v>Giga Drain</v>
      </c>
      <c r="H958" s="21"/>
      <c r="I958" s="25"/>
      <c r="J958" s="30"/>
    </row>
    <row r="959" spans="1:10" x14ac:dyDescent="0.2">
      <c r="A959" s="120"/>
      <c r="B959" s="73"/>
      <c r="C959" s="74"/>
      <c r="D959" s="73"/>
      <c r="E959" s="74"/>
      <c r="F959" s="11">
        <v>21</v>
      </c>
      <c r="G959" s="20" t="str">
        <f>VLOOKUP(F959, TMHM!$B$10:$C1519, 2, FALSE)</f>
        <v>Recover</v>
      </c>
      <c r="H959" s="21"/>
      <c r="I959" s="25"/>
      <c r="J959" s="30"/>
    </row>
    <row r="960" spans="1:10" x14ac:dyDescent="0.2">
      <c r="A960" s="120"/>
      <c r="B960" s="73"/>
      <c r="C960" s="74"/>
      <c r="D960" s="73"/>
      <c r="E960" s="74"/>
      <c r="F960" s="11">
        <v>22</v>
      </c>
      <c r="G960" s="20" t="str">
        <f>VLOOKUP(F960, TMHM!$B$10:$C1519, 2, FALSE)</f>
        <v>SolarBeam</v>
      </c>
      <c r="H960" s="21"/>
      <c r="I960" s="25"/>
      <c r="J960" s="30"/>
    </row>
    <row r="961" spans="1:10" x14ac:dyDescent="0.2">
      <c r="A961" s="120"/>
      <c r="B961" s="73"/>
      <c r="C961" s="74"/>
      <c r="D961" s="73"/>
      <c r="E961" s="74"/>
      <c r="F961" s="11">
        <v>33</v>
      </c>
      <c r="G961" s="20" t="str">
        <f>VLOOKUP(F961, TMHM!$B$10:$C1519, 2, FALSE)</f>
        <v>Razor Leaf</v>
      </c>
      <c r="H961" s="21"/>
      <c r="I961" s="25"/>
      <c r="J961" s="30"/>
    </row>
    <row r="962" spans="1:10" x14ac:dyDescent="0.2">
      <c r="A962" s="121" t="s">
        <v>202</v>
      </c>
      <c r="B962" s="70">
        <f>HEX2DEC("00")</f>
        <v>0</v>
      </c>
      <c r="C962" s="71" t="str">
        <f t="array" ref="C962">INDEX(Moves!$B$2:'Moves'!$B$177, SUM(HEX2DEC("A0"),1), 1)</f>
        <v>Growl</v>
      </c>
      <c r="D962" s="70">
        <f>HEX2DEC("01")</f>
        <v>1</v>
      </c>
      <c r="E962" s="71" t="str">
        <f t="array" ref="E962">INDEX(Moves!$B$2:'Moves'!$B$177, SUM(HEX2DEC("A0"),1), 1)</f>
        <v>Growl</v>
      </c>
      <c r="F962" s="41">
        <v>1</v>
      </c>
      <c r="G962" s="12" t="str">
        <f>VLOOKUP(F962, TMHM!$B$10:$C1519, 2, FALSE)</f>
        <v>Focus Punch</v>
      </c>
      <c r="H962" s="13">
        <v>4</v>
      </c>
      <c r="I962" s="14" t="str">
        <f>VLOOKUP(H962, TMHM!$B$2:$C$7, 2, FALSE)</f>
        <v>Strength</v>
      </c>
      <c r="J962" s="30"/>
    </row>
    <row r="963" spans="1:10" x14ac:dyDescent="0.2">
      <c r="A963" s="120"/>
      <c r="B963" s="16">
        <f>HEX2DEC("05")</f>
        <v>5</v>
      </c>
      <c r="C963" s="17" t="str">
        <f t="array" ref="C963">INDEX(Moves!$B$2:'Moves'!$B$177, SUM(HEX2DEC("A4"),1), 1)</f>
        <v>Tail Whip</v>
      </c>
      <c r="D963" s="16">
        <f>HEX2DEC("05")</f>
        <v>5</v>
      </c>
      <c r="E963" s="17" t="str">
        <f t="array" ref="E963">INDEX(Moves!$B$2:'Moves'!$B$177, SUM(HEX2DEC("A4"),1), 1)</f>
        <v>Tail Whip</v>
      </c>
      <c r="F963" s="11">
        <v>5</v>
      </c>
      <c r="G963" s="20" t="str">
        <f>VLOOKUP(F963, TMHM!$B$10:$C1519, 2, FALSE)</f>
        <v>Roar</v>
      </c>
      <c r="H963" s="21"/>
      <c r="I963" s="25"/>
      <c r="J963" s="30"/>
    </row>
    <row r="964" spans="1:10" x14ac:dyDescent="0.2">
      <c r="A964" s="120"/>
      <c r="B964" s="16">
        <f>HEX2DEC("09")</f>
        <v>9</v>
      </c>
      <c r="C964" s="17" t="str">
        <f t="array" ref="C964">INDEX(Moves!$B$2:'Moves'!$B$177, SUM(HEX2DEC("33"),1), 1)</f>
        <v>Bone Club</v>
      </c>
      <c r="D964" s="16">
        <f>HEX2DEC("09")</f>
        <v>9</v>
      </c>
      <c r="E964" s="17" t="str">
        <f t="array" ref="E964">INDEX(Moves!$B$2:'Moves'!$B$177, SUM(HEX2DEC("33"),1), 1)</f>
        <v>Bone Club</v>
      </c>
      <c r="F964" s="11">
        <v>7</v>
      </c>
      <c r="G964" s="20" t="str">
        <f>VLOOKUP(F964, TMHM!$B$10:$C1519, 2, FALSE)</f>
        <v>Secret Power</v>
      </c>
      <c r="H964" s="21"/>
      <c r="I964" s="25"/>
      <c r="J964" s="30"/>
    </row>
    <row r="965" spans="1:10" x14ac:dyDescent="0.2">
      <c r="A965" s="120"/>
      <c r="B965" s="48">
        <f>HEX2DEC("0D")</f>
        <v>13</v>
      </c>
      <c r="C965" s="23" t="str">
        <f t="array" ref="C965">INDEX(Moves!$B$2:'Moves'!$B$177, SUM(HEX2DEC("4F"),1), 1)</f>
        <v>Karate Chop</v>
      </c>
      <c r="D965" s="48">
        <f>HEX2DEC("0D")</f>
        <v>13</v>
      </c>
      <c r="E965" s="23" t="s">
        <v>159</v>
      </c>
      <c r="F965" s="11">
        <v>10</v>
      </c>
      <c r="G965" s="20" t="str">
        <f>VLOOKUP(F965, TMHM!$B$10:$C1519, 2, FALSE)</f>
        <v>Bite</v>
      </c>
      <c r="H965" s="21"/>
      <c r="I965" s="25"/>
      <c r="J965" s="30"/>
    </row>
    <row r="966" spans="1:10" x14ac:dyDescent="0.2">
      <c r="A966" s="120"/>
      <c r="B966" s="48">
        <f>HEX2DEC("11")</f>
        <v>17</v>
      </c>
      <c r="C966" s="23" t="str">
        <f t="array" ref="C966">INDEX(Moves!$B$2:'Moves'!$B$177, SUM(HEX2DEC("91"),1), 1)</f>
        <v>Horn Attack</v>
      </c>
      <c r="D966" s="48">
        <f>HEX2DEC("11")</f>
        <v>17</v>
      </c>
      <c r="E966" s="23" t="s">
        <v>59</v>
      </c>
      <c r="F966" s="11">
        <v>15</v>
      </c>
      <c r="G966" s="20" t="str">
        <f>VLOOKUP(F966, TMHM!$B$10:$C1519, 2, FALSE)</f>
        <v>Hyper Beam</v>
      </c>
      <c r="H966" s="21"/>
      <c r="I966" s="25"/>
      <c r="J966" s="30"/>
    </row>
    <row r="967" spans="1:10" x14ac:dyDescent="0.2">
      <c r="A967" s="120"/>
      <c r="B967" s="48">
        <f>HEX2DEC("15")</f>
        <v>21</v>
      </c>
      <c r="C967" s="23" t="str">
        <f t="array" ref="C967">INDEX(Moves!$B$2:'Moves'!$B$177, SUM(HEX2DEC("9F"),1), 1)</f>
        <v>Sword Dance</v>
      </c>
      <c r="D967" s="48">
        <f>HEX2DEC("15")</f>
        <v>21</v>
      </c>
      <c r="E967" s="23" t="s">
        <v>49</v>
      </c>
      <c r="F967" s="11">
        <v>18</v>
      </c>
      <c r="G967" s="20" t="str">
        <f>VLOOKUP(F967, TMHM!$B$10:$C1519, 2, FALSE)</f>
        <v>AncientPower</v>
      </c>
      <c r="H967" s="21"/>
      <c r="I967" s="25"/>
      <c r="J967" s="30"/>
    </row>
    <row r="968" spans="1:10" x14ac:dyDescent="0.2">
      <c r="A968" s="120"/>
      <c r="B968" s="16">
        <f>HEX2DEC("19")</f>
        <v>25</v>
      </c>
      <c r="C968" s="17" t="str">
        <f t="array" ref="C968">INDEX(Moves!$B$2:'Moves'!$B$177, SUM(HEX2DEC("35"),1), 1)</f>
        <v>Bonemerang</v>
      </c>
      <c r="D968" s="16">
        <f>HEX2DEC("19")</f>
        <v>25</v>
      </c>
      <c r="E968" s="17" t="str">
        <f t="array" ref="E968">INDEX(Moves!$B$2:'Moves'!$B$177, SUM(HEX2DEC("35"),1), 1)</f>
        <v>Bonemerang</v>
      </c>
      <c r="F968" s="11">
        <v>20</v>
      </c>
      <c r="G968" s="20" t="str">
        <f>VLOOKUP(F968, TMHM!$B$10:$C1519, 2, FALSE)</f>
        <v>Iron Defense</v>
      </c>
      <c r="H968" s="21"/>
      <c r="I968" s="25"/>
      <c r="J968" s="30"/>
    </row>
    <row r="969" spans="1:10" x14ac:dyDescent="0.2">
      <c r="A969" s="120"/>
      <c r="B969" s="48">
        <f>HEX2DEC("1D")</f>
        <v>29</v>
      </c>
      <c r="C969" s="23" t="str">
        <f t="array" ref="C969">INDEX(Moves!$B$2:'Moves'!$B$177, SUM(HEX2DEC("7C"),1), 1)</f>
        <v>Outrage</v>
      </c>
      <c r="D969" s="48">
        <f>HEX2DEC("1D")</f>
        <v>29</v>
      </c>
      <c r="E969" s="23" t="s">
        <v>26</v>
      </c>
      <c r="F969" s="11">
        <v>26</v>
      </c>
      <c r="G969" s="20" t="str">
        <f>VLOOKUP(F969, TMHM!$B$10:$C1519, 2, FALSE)</f>
        <v>Earthquake</v>
      </c>
      <c r="H969" s="21"/>
      <c r="I969" s="25"/>
      <c r="J969" s="30"/>
    </row>
    <row r="970" spans="1:10" x14ac:dyDescent="0.2">
      <c r="A970" s="120"/>
      <c r="B970" s="16">
        <f>HEX2DEC("21")</f>
        <v>33</v>
      </c>
      <c r="C970" s="17" t="str">
        <f t="array" ref="C970">INDEX(Moves!$B$2:'Moves'!$B$177, SUM(HEX2DEC("8A"),1), 1)</f>
        <v>False Swipe</v>
      </c>
      <c r="D970" s="16">
        <f>HEX2DEC("21")</f>
        <v>33</v>
      </c>
      <c r="E970" s="17" t="str">
        <f t="array" ref="E970">INDEX(Moves!$B$2:'Moves'!$B$177, SUM(HEX2DEC("8A"),1), 1)</f>
        <v>False Swipe</v>
      </c>
      <c r="F970" s="11">
        <v>28</v>
      </c>
      <c r="G970" s="20" t="str">
        <f>VLOOKUP(F970, TMHM!$B$10:$C1519, 2, FALSE)</f>
        <v>Dig</v>
      </c>
      <c r="H970" s="21"/>
      <c r="I970" s="25"/>
      <c r="J970" s="30"/>
    </row>
    <row r="971" spans="1:10" x14ac:dyDescent="0.2">
      <c r="A971" s="120"/>
      <c r="B971" s="48">
        <f>HEX2DEC("25")</f>
        <v>37</v>
      </c>
      <c r="C971" s="23" t="str">
        <f t="array" ref="C971">INDEX(Moves!$B$2:'Moves'!$B$177, SUM(HEX2DEC("96"),1), 1)</f>
        <v>Double-Edge</v>
      </c>
      <c r="D971" s="48">
        <f>HEX2DEC("25")</f>
        <v>37</v>
      </c>
      <c r="E971" s="23" t="s">
        <v>82</v>
      </c>
      <c r="F971" s="11">
        <v>29</v>
      </c>
      <c r="G971" s="20" t="str">
        <f>VLOOKUP(F971, TMHM!$B$10:$C1519, 2, FALSE)</f>
        <v>Psychic</v>
      </c>
      <c r="H971" s="21"/>
      <c r="I971" s="25"/>
      <c r="J971" s="30"/>
    </row>
    <row r="972" spans="1:10" x14ac:dyDescent="0.2">
      <c r="A972" s="120"/>
      <c r="B972" s="16">
        <f>HEX2DEC("29")</f>
        <v>41</v>
      </c>
      <c r="C972" s="17" t="str">
        <f t="array" ref="C972">INDEX(Moves!$B$2:'Moves'!$B$177, SUM(HEX2DEC("34"),1), 1)</f>
        <v>Earthquake</v>
      </c>
      <c r="D972" s="16">
        <f>HEX2DEC("29")</f>
        <v>41</v>
      </c>
      <c r="E972" s="17" t="str">
        <f t="array" ref="E972">INDEX(Moves!$B$2:'Moves'!$B$177, SUM(HEX2DEC("34"),1), 1)</f>
        <v>Earthquake</v>
      </c>
      <c r="F972" s="11">
        <v>31</v>
      </c>
      <c r="G972" s="20" t="str">
        <f>VLOOKUP(F972, TMHM!$B$10:$C1519, 2, FALSE)</f>
        <v>Brick Break</v>
      </c>
      <c r="H972" s="21"/>
      <c r="I972" s="25"/>
      <c r="J972" s="30"/>
    </row>
    <row r="973" spans="1:10" x14ac:dyDescent="0.2">
      <c r="A973" s="121" t="s">
        <v>203</v>
      </c>
      <c r="B973" s="70">
        <f>HEX2DEC("00")</f>
        <v>0</v>
      </c>
      <c r="C973" s="71" t="str">
        <f t="array" ref="C973">INDEX(Moves!$B$2:'Moves'!$B$177, SUM(HEX2DEC("A0"),1), 1)</f>
        <v>Growl</v>
      </c>
      <c r="D973" s="70">
        <f t="shared" ref="D973:D976" si="80">HEX2DEC("01")</f>
        <v>1</v>
      </c>
      <c r="E973" s="71" t="str">
        <f t="array" ref="E973">INDEX(Moves!$B$2:'Moves'!$B$177, SUM(HEX2DEC("A0"),1), 1)</f>
        <v>Growl</v>
      </c>
      <c r="F973" s="41">
        <v>1</v>
      </c>
      <c r="G973" s="12" t="str">
        <f>VLOOKUP(F973, TMHM!$B$10:$C1519, 2, FALSE)</f>
        <v>Focus Punch</v>
      </c>
      <c r="H973" s="13">
        <v>4</v>
      </c>
      <c r="I973" s="14" t="str">
        <f>VLOOKUP(H973, TMHM!$B$2:$C$7, 2, FALSE)</f>
        <v>Strength</v>
      </c>
      <c r="J973" s="30"/>
    </row>
    <row r="974" spans="1:10" x14ac:dyDescent="0.2">
      <c r="A974" s="120"/>
      <c r="B974" s="34"/>
      <c r="C974" s="35"/>
      <c r="D974" s="34">
        <f t="shared" si="80"/>
        <v>1</v>
      </c>
      <c r="E974" s="35" t="str">
        <f t="array" ref="E974">INDEX(Moves!$B$2:'Moves'!$B$177, SUM(HEX2DEC("A4"),1), 1)</f>
        <v>Tail Whip</v>
      </c>
      <c r="F974" s="11">
        <v>5</v>
      </c>
      <c r="G974" s="20" t="str">
        <f>VLOOKUP(F974, TMHM!$B$10:$C1519, 2, FALSE)</f>
        <v>Roar</v>
      </c>
      <c r="H974" s="21"/>
      <c r="I974" s="25"/>
      <c r="J974" s="30"/>
    </row>
    <row r="975" spans="1:10" x14ac:dyDescent="0.2">
      <c r="A975" s="120"/>
      <c r="B975" s="34"/>
      <c r="C975" s="35"/>
      <c r="D975" s="34">
        <f t="shared" si="80"/>
        <v>1</v>
      </c>
      <c r="E975" s="35" t="str">
        <f t="array" ref="E975">INDEX(Moves!$B$2:'Moves'!$B$177, SUM(HEX2DEC("33"),1), 1)</f>
        <v>Bone Club</v>
      </c>
      <c r="F975" s="11">
        <v>7</v>
      </c>
      <c r="G975" s="20" t="str">
        <f>VLOOKUP(F975, TMHM!$B$10:$C1519, 2, FALSE)</f>
        <v>Secret Power</v>
      </c>
      <c r="H975" s="21"/>
      <c r="I975" s="25"/>
      <c r="J975" s="30"/>
    </row>
    <row r="976" spans="1:10" x14ac:dyDescent="0.2">
      <c r="A976" s="120"/>
      <c r="B976" s="34"/>
      <c r="C976" s="35"/>
      <c r="D976" s="34">
        <f t="shared" si="80"/>
        <v>1</v>
      </c>
      <c r="E976" s="35" t="s">
        <v>159</v>
      </c>
      <c r="F976" s="11">
        <v>10</v>
      </c>
      <c r="G976" s="20" t="str">
        <f>VLOOKUP(F976, TMHM!$B$10:$C1519, 2, FALSE)</f>
        <v>Bite</v>
      </c>
      <c r="H976" s="21"/>
      <c r="I976" s="25"/>
      <c r="J976" s="30"/>
    </row>
    <row r="977" spans="1:10" x14ac:dyDescent="0.2">
      <c r="A977" s="120"/>
      <c r="B977" s="16">
        <f>HEX2DEC("05")</f>
        <v>5</v>
      </c>
      <c r="C977" s="17" t="str">
        <f t="array" ref="C977">INDEX(Moves!$B$2:'Moves'!$B$177, SUM(HEX2DEC("A4"),1), 1)</f>
        <v>Tail Whip</v>
      </c>
      <c r="D977" s="16">
        <f>HEX2DEC("05")</f>
        <v>5</v>
      </c>
      <c r="E977" s="17" t="str">
        <f t="array" ref="E977">INDEX(Moves!$B$2:'Moves'!$B$177, SUM(HEX2DEC("A4"),1), 1)</f>
        <v>Tail Whip</v>
      </c>
      <c r="F977" s="11">
        <v>15</v>
      </c>
      <c r="G977" s="20" t="str">
        <f>VLOOKUP(F977, TMHM!$B$10:$C1519, 2, FALSE)</f>
        <v>Hyper Beam</v>
      </c>
      <c r="H977" s="21"/>
      <c r="I977" s="25"/>
      <c r="J977" s="30"/>
    </row>
    <row r="978" spans="1:10" x14ac:dyDescent="0.2">
      <c r="A978" s="120"/>
      <c r="B978" s="16">
        <f>HEX2DEC("09")</f>
        <v>9</v>
      </c>
      <c r="C978" s="17" t="str">
        <f t="array" ref="C978">INDEX(Moves!$B$2:'Moves'!$B$177, SUM(HEX2DEC("33"),1), 1)</f>
        <v>Bone Club</v>
      </c>
      <c r="D978" s="16">
        <f>HEX2DEC("09")</f>
        <v>9</v>
      </c>
      <c r="E978" s="17" t="str">
        <f t="array" ref="E978">INDEX(Moves!$B$2:'Moves'!$B$177, SUM(HEX2DEC("33"),1), 1)</f>
        <v>Bone Club</v>
      </c>
      <c r="F978" s="11">
        <v>18</v>
      </c>
      <c r="G978" s="20" t="str">
        <f>VLOOKUP(F978, TMHM!$B$10:$C1519, 2, FALSE)</f>
        <v>AncientPower</v>
      </c>
      <c r="H978" s="21"/>
      <c r="I978" s="25"/>
      <c r="J978" s="30"/>
    </row>
    <row r="979" spans="1:10" x14ac:dyDescent="0.2">
      <c r="A979" s="120"/>
      <c r="B979" s="48">
        <f>HEX2DEC("0D")</f>
        <v>13</v>
      </c>
      <c r="C979" s="23" t="str">
        <f t="array" ref="C979">INDEX(Moves!$B$2:'Moves'!$B$177, SUM(HEX2DEC("4F"),1), 1)</f>
        <v>Karate Chop</v>
      </c>
      <c r="D979" s="48">
        <f>HEX2DEC("0D")</f>
        <v>13</v>
      </c>
      <c r="E979" s="23" t="s">
        <v>159</v>
      </c>
      <c r="F979" s="11">
        <v>20</v>
      </c>
      <c r="G979" s="20" t="str">
        <f>VLOOKUP(F979, TMHM!$B$10:$C1519, 2, FALSE)</f>
        <v>Iron Defense</v>
      </c>
      <c r="H979" s="21"/>
      <c r="I979" s="25"/>
      <c r="J979" s="30"/>
    </row>
    <row r="980" spans="1:10" x14ac:dyDescent="0.2">
      <c r="A980" s="120"/>
      <c r="B980" s="48">
        <f>HEX2DEC("11")</f>
        <v>17</v>
      </c>
      <c r="C980" s="23" t="str">
        <f t="array" ref="C980">INDEX(Moves!$B$2:'Moves'!$B$177, SUM(HEX2DEC("91"),1), 1)</f>
        <v>Horn Attack</v>
      </c>
      <c r="D980" s="48">
        <f>HEX2DEC("11")</f>
        <v>17</v>
      </c>
      <c r="E980" s="23" t="s">
        <v>59</v>
      </c>
      <c r="F980" s="11">
        <v>26</v>
      </c>
      <c r="G980" s="20" t="str">
        <f>VLOOKUP(F980, TMHM!$B$10:$C1519, 2, FALSE)</f>
        <v>Earthquake</v>
      </c>
      <c r="H980" s="21"/>
      <c r="I980" s="25"/>
      <c r="J980" s="30"/>
    </row>
    <row r="981" spans="1:10" x14ac:dyDescent="0.2">
      <c r="A981" s="120"/>
      <c r="B981" s="48">
        <f>HEX2DEC("15")</f>
        <v>21</v>
      </c>
      <c r="C981" s="23" t="str">
        <f t="array" ref="C981">INDEX(Moves!$B$2:'Moves'!$B$177, SUM(HEX2DEC("9F"),1), 1)</f>
        <v>Sword Dance</v>
      </c>
      <c r="D981" s="48">
        <f>HEX2DEC("15")</f>
        <v>21</v>
      </c>
      <c r="E981" s="23" t="s">
        <v>49</v>
      </c>
      <c r="F981" s="11">
        <v>28</v>
      </c>
      <c r="G981" s="20" t="str">
        <f>VLOOKUP(F981, TMHM!$B$10:$C1519, 2, FALSE)</f>
        <v>Dig</v>
      </c>
      <c r="H981" s="21"/>
      <c r="I981" s="25"/>
      <c r="J981" s="30"/>
    </row>
    <row r="982" spans="1:10" x14ac:dyDescent="0.2">
      <c r="A982" s="120"/>
      <c r="B982" s="16">
        <f>HEX2DEC("19")</f>
        <v>25</v>
      </c>
      <c r="C982" s="17" t="str">
        <f t="array" ref="C982">INDEX(Moves!$B$2:'Moves'!$B$177, SUM(HEX2DEC("35"),1), 1)</f>
        <v>Bonemerang</v>
      </c>
      <c r="D982" s="16">
        <f>HEX2DEC("19")</f>
        <v>25</v>
      </c>
      <c r="E982" s="17" t="str">
        <f t="array" ref="E982">INDEX(Moves!$B$2:'Moves'!$B$177, SUM(HEX2DEC("35"),1), 1)</f>
        <v>Bonemerang</v>
      </c>
      <c r="F982" s="11">
        <v>29</v>
      </c>
      <c r="G982" s="20" t="str">
        <f>VLOOKUP(F982, TMHM!$B$10:$C1519, 2, FALSE)</f>
        <v>Psychic</v>
      </c>
      <c r="H982" s="21"/>
      <c r="I982" s="25"/>
      <c r="J982" s="30"/>
    </row>
    <row r="983" spans="1:10" x14ac:dyDescent="0.2">
      <c r="A983" s="120"/>
      <c r="B983" s="48">
        <f>HEX2DEC("20")</f>
        <v>32</v>
      </c>
      <c r="C983" s="23" t="str">
        <f t="array" ref="C983">INDEX(Moves!$B$2:'Moves'!$B$177, SUM(HEX2DEC("7C"),1), 1)</f>
        <v>Outrage</v>
      </c>
      <c r="D983" s="48">
        <f>HEX2DEC("20")</f>
        <v>32</v>
      </c>
      <c r="E983" s="23" t="s">
        <v>26</v>
      </c>
      <c r="F983" s="11">
        <v>31</v>
      </c>
      <c r="G983" s="20" t="str">
        <f>VLOOKUP(F983, TMHM!$B$10:$C1519, 2, FALSE)</f>
        <v>Brick Break</v>
      </c>
      <c r="H983" s="21"/>
      <c r="I983" s="25"/>
      <c r="J983" s="30"/>
    </row>
    <row r="984" spans="1:10" x14ac:dyDescent="0.2">
      <c r="A984" s="120"/>
      <c r="B984" s="16">
        <f>HEX2DEC("27")</f>
        <v>39</v>
      </c>
      <c r="C984" s="17" t="str">
        <f t="array" ref="C984">INDEX(Moves!$B$2:'Moves'!$B$177, SUM(HEX2DEC("8A"),1), 1)</f>
        <v>False Swipe</v>
      </c>
      <c r="D984" s="16">
        <f>HEX2DEC("27")</f>
        <v>39</v>
      </c>
      <c r="E984" s="17" t="str">
        <f t="array" ref="E984">INDEX(Moves!$B$2:'Moves'!$B$177, SUM(HEX2DEC("8A"),1), 1)</f>
        <v>False Swipe</v>
      </c>
      <c r="F984" s="11"/>
      <c r="H984" s="21"/>
      <c r="I984" s="25"/>
      <c r="J984" s="30"/>
    </row>
    <row r="985" spans="1:10" x14ac:dyDescent="0.2">
      <c r="A985" s="120"/>
      <c r="B985" s="48">
        <f>HEX2DEC("2E")</f>
        <v>46</v>
      </c>
      <c r="C985" s="23" t="str">
        <f t="array" ref="C985">INDEX(Moves!$B$2:'Moves'!$B$177, SUM(HEX2DEC("96"),1), 1)</f>
        <v>Double-Edge</v>
      </c>
      <c r="D985" s="48">
        <f>HEX2DEC("2E")</f>
        <v>46</v>
      </c>
      <c r="E985" s="23" t="s">
        <v>82</v>
      </c>
      <c r="F985" s="11"/>
      <c r="H985" s="21"/>
      <c r="I985" s="25"/>
      <c r="J985" s="30"/>
    </row>
    <row r="986" spans="1:10" x14ac:dyDescent="0.2">
      <c r="A986" s="120"/>
      <c r="B986" s="16">
        <f>HEX2DEC("35")</f>
        <v>53</v>
      </c>
      <c r="C986" s="17" t="str">
        <f t="array" ref="C986">INDEX(Moves!$B$2:'Moves'!$B$177, SUM(HEX2DEC("34"),1), 1)</f>
        <v>Earthquake</v>
      </c>
      <c r="D986" s="16">
        <f>HEX2DEC("35")</f>
        <v>53</v>
      </c>
      <c r="E986" s="17" t="str">
        <f t="array" ref="E986">INDEX(Moves!$B$2:'Moves'!$B$177, SUM(HEX2DEC("34"),1), 1)</f>
        <v>Earthquake</v>
      </c>
      <c r="F986" s="11"/>
      <c r="H986" s="21"/>
      <c r="I986" s="25"/>
      <c r="J986" s="30"/>
    </row>
    <row r="987" spans="1:10" x14ac:dyDescent="0.2">
      <c r="A987" s="121" t="s">
        <v>204</v>
      </c>
      <c r="B987" s="64">
        <f>HEX2DEC("00")</f>
        <v>0</v>
      </c>
      <c r="C987" s="65" t="str">
        <f t="array" ref="C987">INDEX(Moves!$B$2:'Moves'!$B$177, SUM(HEX2DEC("50"),1), 1)</f>
        <v>Low Kick</v>
      </c>
      <c r="D987" s="64">
        <f>HEX2DEC("01")</f>
        <v>1</v>
      </c>
      <c r="E987" s="65" t="str">
        <f t="array" ref="E987">INDEX(Moves!$B$2:'Moves'!$B$177, SUM(HEX2DEC("51"),1), 1)</f>
        <v>Double Kick</v>
      </c>
      <c r="F987" s="41">
        <v>1</v>
      </c>
      <c r="G987" s="12" t="str">
        <f>VLOOKUP(F987, TMHM!$B$10:$C1519, 2, FALSE)</f>
        <v>Focus Punch</v>
      </c>
      <c r="H987" s="13">
        <v>4</v>
      </c>
      <c r="I987" s="14" t="str">
        <f>VLOOKUP(H987, TMHM!$B$2:$C$7, 2, FALSE)</f>
        <v>Strength</v>
      </c>
      <c r="J987" s="30"/>
    </row>
    <row r="988" spans="1:10" x14ac:dyDescent="0.2">
      <c r="A988" s="120"/>
      <c r="B988" s="48">
        <f>HEX2DEC("06")</f>
        <v>6</v>
      </c>
      <c r="C988" s="23" t="str">
        <f t="array" ref="C988">INDEX(Moves!$B$2:'Moves'!$B$177, SUM(HEX2DEC("7F"),1), 1)</f>
        <v>Pursuit</v>
      </c>
      <c r="D988" s="48">
        <f>HEX2DEC("06")</f>
        <v>6</v>
      </c>
      <c r="E988" s="23" t="s">
        <v>189</v>
      </c>
      <c r="F988" s="11">
        <v>5</v>
      </c>
      <c r="G988" s="20" t="str">
        <f>VLOOKUP(F988, TMHM!$B$10:$C1519, 2, FALSE)</f>
        <v>Roar</v>
      </c>
      <c r="H988" s="21"/>
      <c r="I988" s="25"/>
      <c r="J988" s="30"/>
    </row>
    <row r="989" spans="1:10" x14ac:dyDescent="0.2">
      <c r="A989" s="120"/>
      <c r="B989" s="50">
        <f>HEX2DEC("0B")</f>
        <v>11</v>
      </c>
      <c r="C989" s="51" t="str">
        <f t="array" ref="C989">INDEX(Moves!$B$2:'Moves'!$B$177, SUM(HEX2DEC("51"),1), 1)</f>
        <v>Double Kick</v>
      </c>
      <c r="D989" s="50">
        <f>HEX2DEC("0B")</f>
        <v>11</v>
      </c>
      <c r="E989" s="51" t="str">
        <f t="array" ref="E989">INDEX(Moves!$B$2:'Moves'!$B$177, SUM(HEX2DEC("52"),1), 1)</f>
        <v>Rolling Kick</v>
      </c>
      <c r="F989" s="11">
        <v>7</v>
      </c>
      <c r="G989" s="20" t="str">
        <f>VLOOKUP(F989, TMHM!$B$10:$C1519, 2, FALSE)</f>
        <v>Secret Power</v>
      </c>
      <c r="H989" s="21"/>
      <c r="I989" s="25"/>
      <c r="J989" s="30"/>
    </row>
    <row r="990" spans="1:10" x14ac:dyDescent="0.2">
      <c r="A990" s="120"/>
      <c r="B990" s="16">
        <f>HEX2DEC("10")</f>
        <v>16</v>
      </c>
      <c r="C990" s="17" t="str">
        <f t="array" ref="C990">INDEX(Moves!$B$2:'Moves'!$B$177, SUM(HEX2DEC("54"),1), 1)</f>
        <v>Jump Kick</v>
      </c>
      <c r="D990" s="16">
        <f>HEX2DEC("10")</f>
        <v>16</v>
      </c>
      <c r="E990" s="17" t="str">
        <f t="array" ref="E990">INDEX(Moves!$B$2:'Moves'!$B$177, SUM(HEX2DEC("54"),1), 1)</f>
        <v>Jump Kick</v>
      </c>
      <c r="F990" s="11">
        <v>15</v>
      </c>
      <c r="G990" s="20" t="str">
        <f>VLOOKUP(F990, TMHM!$B$10:$C1519, 2, FALSE)</f>
        <v>Hyper Beam</v>
      </c>
      <c r="H990" s="21"/>
      <c r="I990" s="25"/>
      <c r="J990" s="30"/>
    </row>
    <row r="991" spans="1:10" x14ac:dyDescent="0.2">
      <c r="A991" s="120"/>
      <c r="B991" s="48">
        <f>HEX2DEC("15")</f>
        <v>21</v>
      </c>
      <c r="C991" s="23" t="str">
        <f t="array" ref="C991">INDEX(Moves!$B$2:'Moves'!$B$177, SUM(HEX2DEC("9F"),1), 1)</f>
        <v>Sword Dance</v>
      </c>
      <c r="D991" s="48">
        <f>HEX2DEC("15")</f>
        <v>21</v>
      </c>
      <c r="E991" s="23" t="s">
        <v>49</v>
      </c>
      <c r="F991" s="11">
        <v>18</v>
      </c>
      <c r="G991" s="20" t="str">
        <f>VLOOKUP(F991, TMHM!$B$10:$C1519, 2, FALSE)</f>
        <v>AncientPower</v>
      </c>
      <c r="H991" s="21"/>
      <c r="I991" s="25"/>
      <c r="J991" s="30"/>
    </row>
    <row r="992" spans="1:10" x14ac:dyDescent="0.2">
      <c r="A992" s="120"/>
      <c r="B992" s="48">
        <f>HEX2DEC("1A")</f>
        <v>26</v>
      </c>
      <c r="C992" s="23" t="str">
        <f t="array" ref="C992">INDEX(Moves!$B$2:'Moves'!$B$177, SUM(HEX2DEC("55"),1), 1)</f>
        <v>Brick Break</v>
      </c>
      <c r="D992" s="48">
        <f>HEX2DEC("1A")</f>
        <v>26</v>
      </c>
      <c r="E992" s="23" t="s">
        <v>205</v>
      </c>
      <c r="F992" s="11">
        <v>20</v>
      </c>
      <c r="G992" s="20" t="str">
        <f>VLOOKUP(F992, TMHM!$B$10:$C1519, 2, FALSE)</f>
        <v>Iron Defense</v>
      </c>
      <c r="H992" s="21"/>
      <c r="I992" s="25"/>
      <c r="J992" s="30"/>
    </row>
    <row r="993" spans="1:10" x14ac:dyDescent="0.2">
      <c r="A993" s="120"/>
      <c r="B993" s="48">
        <f>HEX2DEC("1F")</f>
        <v>31</v>
      </c>
      <c r="C993" s="23" t="str">
        <f t="array" ref="C993">INDEX(Moves!$B$2:'Moves'!$B$177, SUM(HEX2DEC("A0"),1), 1)</f>
        <v>Growl</v>
      </c>
      <c r="D993" s="48">
        <f>HEX2DEC("1F")</f>
        <v>31</v>
      </c>
      <c r="E993" s="23" t="s">
        <v>131</v>
      </c>
      <c r="F993" s="11">
        <v>26</v>
      </c>
      <c r="G993" s="20" t="str">
        <f>VLOOKUP(F993, TMHM!$B$10:$C1519, 2, FALSE)</f>
        <v>Earthquake</v>
      </c>
      <c r="H993" s="21"/>
      <c r="I993" s="25"/>
      <c r="J993" s="30"/>
    </row>
    <row r="994" spans="1:10" x14ac:dyDescent="0.2">
      <c r="A994" s="120"/>
      <c r="B994" s="48">
        <f>HEX2DEC("24")</f>
        <v>36</v>
      </c>
      <c r="C994" s="23" t="str">
        <f t="array" ref="C994">INDEX(Moves!$B$2:'Moves'!$B$177, SUM(HEX2DEC("71"),1), 1)</f>
        <v>Agility</v>
      </c>
      <c r="D994" s="48">
        <f>HEX2DEC("24")</f>
        <v>36</v>
      </c>
      <c r="E994" s="23" t="s">
        <v>108</v>
      </c>
      <c r="F994" s="11">
        <v>28</v>
      </c>
      <c r="G994" s="20" t="str">
        <f>VLOOKUP(F994, TMHM!$B$10:$C1519, 2, FALSE)</f>
        <v>Dig</v>
      </c>
      <c r="H994" s="21"/>
      <c r="I994" s="25"/>
      <c r="J994" s="30"/>
    </row>
    <row r="995" spans="1:10" x14ac:dyDescent="0.2">
      <c r="A995" s="120"/>
      <c r="B995" s="48">
        <f>HEX2DEC("29")</f>
        <v>41</v>
      </c>
      <c r="C995" s="23" t="str">
        <f t="array" ref="C995">INDEX(Moves!$B$2:'Moves'!$B$177, SUM(HEX2DEC("A8"),1), 1)</f>
        <v>Double Team</v>
      </c>
      <c r="D995" s="48">
        <f>HEX2DEC("29")</f>
        <v>41</v>
      </c>
      <c r="E995" s="23" t="s">
        <v>206</v>
      </c>
      <c r="F995" s="11">
        <v>31</v>
      </c>
      <c r="G995" s="20" t="str">
        <f>VLOOKUP(F995, TMHM!$B$10:$C1519, 2, FALSE)</f>
        <v>Brick Break</v>
      </c>
      <c r="H995" s="21"/>
      <c r="I995" s="25"/>
      <c r="J995" s="30"/>
    </row>
    <row r="996" spans="1:10" x14ac:dyDescent="0.2">
      <c r="A996" s="120"/>
      <c r="B996" s="48">
        <f>HEX2DEC("2E")</f>
        <v>46</v>
      </c>
      <c r="C996" s="23" t="str">
        <f t="array" ref="C996">INDEX(Moves!$B$2:'Moves'!$B$177, SUM(HEX2DEC("59"),1), 1)</f>
        <v>Superpower</v>
      </c>
      <c r="D996" s="48">
        <f>HEX2DEC("2E")</f>
        <v>46</v>
      </c>
      <c r="E996" s="23" t="s">
        <v>207</v>
      </c>
      <c r="F996" s="11">
        <v>39</v>
      </c>
      <c r="G996" s="20" t="str">
        <f>VLOOKUP(F996, TMHM!$B$10:$C1519, 2, FALSE)</f>
        <v>Rock Tomb</v>
      </c>
      <c r="H996" s="21"/>
      <c r="I996" s="25"/>
      <c r="J996" s="30"/>
    </row>
    <row r="997" spans="1:10" x14ac:dyDescent="0.2">
      <c r="A997" s="120"/>
      <c r="B997" s="48">
        <f>HEX2DEC("33")</f>
        <v>51</v>
      </c>
      <c r="C997" s="23" t="str">
        <f t="array" ref="C997">INDEX(Moves!$B$2:'Moves'!$B$177, SUM(HEX2DEC("A9"),1), 1)</f>
        <v>Recover</v>
      </c>
      <c r="D997" s="48">
        <f>HEX2DEC("33")</f>
        <v>51</v>
      </c>
      <c r="E997" s="23" t="s">
        <v>208</v>
      </c>
      <c r="F997" s="11"/>
      <c r="H997" s="21"/>
      <c r="I997" s="25"/>
      <c r="J997" s="30"/>
    </row>
    <row r="998" spans="1:10" x14ac:dyDescent="0.2">
      <c r="A998" s="121" t="s">
        <v>209</v>
      </c>
      <c r="B998" s="61">
        <f>HEX2DEC("00")</f>
        <v>0</v>
      </c>
      <c r="C998" s="62" t="str">
        <f t="array" ref="C998">INDEX(Moves!$B$2:'Moves'!$B$177, SUM(HEX2DEC("4F"),1), 1)</f>
        <v>Karate Chop</v>
      </c>
      <c r="D998" s="61">
        <f>HEX2DEC("01")</f>
        <v>1</v>
      </c>
      <c r="E998" s="62" t="s">
        <v>210</v>
      </c>
      <c r="F998" s="41">
        <v>1</v>
      </c>
      <c r="G998" s="12" t="str">
        <f>VLOOKUP(F998, TMHM!$B$10:$C1519, 2, FALSE)</f>
        <v>Focus Punch</v>
      </c>
      <c r="H998" s="13">
        <v>4</v>
      </c>
      <c r="I998" s="14" t="str">
        <f>VLOOKUP(H998, TMHM!$B$2:$C$7, 2, FALSE)</f>
        <v>Strength</v>
      </c>
      <c r="J998" s="30"/>
    </row>
    <row r="999" spans="1:10" x14ac:dyDescent="0.2">
      <c r="A999" s="120"/>
      <c r="B999" s="16">
        <f>HEX2DEC("07")</f>
        <v>7</v>
      </c>
      <c r="C999" s="17" t="str">
        <f t="array" ref="C999">INDEX(Moves!$B$2:'Moves'!$B$177, SUM(HEX2DEC("71"),1), 1)</f>
        <v>Agility</v>
      </c>
      <c r="D999" s="16">
        <f>HEX2DEC("07")</f>
        <v>7</v>
      </c>
      <c r="E999" s="17" t="str">
        <f t="array" ref="E999">INDEX(Moves!$B$2:'Moves'!$B$177, SUM(HEX2DEC("71"),1), 1)</f>
        <v>Agility</v>
      </c>
      <c r="F999" s="11">
        <v>5</v>
      </c>
      <c r="G999" s="20" t="str">
        <f>VLOOKUP(F999, TMHM!$B$10:$C1519, 2, FALSE)</f>
        <v>Roar</v>
      </c>
      <c r="H999" s="21"/>
      <c r="I999" s="25"/>
      <c r="J999" s="30"/>
    </row>
    <row r="1000" spans="1:10" x14ac:dyDescent="0.2">
      <c r="A1000" s="120"/>
      <c r="B1000" s="16">
        <f>HEX2DEC("0D")</f>
        <v>13</v>
      </c>
      <c r="C1000" s="17" t="str">
        <f t="array" ref="C1000">INDEX(Moves!$B$2:'Moves'!$B$177, SUM(HEX2DEC("7F"),1), 1)</f>
        <v>Pursuit</v>
      </c>
      <c r="D1000" s="16">
        <f>HEX2DEC("0D")</f>
        <v>13</v>
      </c>
      <c r="E1000" s="17" t="str">
        <f t="array" ref="E1000">INDEX(Moves!$B$2:'Moves'!$B$177, SUM(HEX2DEC("7F"),1), 1)</f>
        <v>Pursuit</v>
      </c>
      <c r="F1000" s="11">
        <v>7</v>
      </c>
      <c r="G1000" s="20" t="str">
        <f>VLOOKUP(F1000, TMHM!$B$10:$C1519, 2, FALSE)</f>
        <v>Secret Power</v>
      </c>
      <c r="H1000" s="21"/>
      <c r="I1000" s="25"/>
      <c r="J1000" s="30"/>
    </row>
    <row r="1001" spans="1:10" x14ac:dyDescent="0.2">
      <c r="A1001" s="120"/>
      <c r="B1001" s="16">
        <f t="shared" ref="B1001:B1003" si="81">HEX2DEC("1A")</f>
        <v>26</v>
      </c>
      <c r="C1001" s="17" t="str">
        <f t="array" ref="C1001">INDEX(Moves!$B$2:'Moves'!$B$177, SUM(HEX2DEC("16"),1), 1)</f>
        <v>Thunder Punch</v>
      </c>
      <c r="D1001" s="16">
        <f t="shared" ref="D1001:D1003" si="82">HEX2DEC("1A")</f>
        <v>26</v>
      </c>
      <c r="E1001" s="17" t="str">
        <f t="array" ref="E1001">INDEX(Moves!$B$2:'Moves'!$B$177, SUM(HEX2DEC("16"),1), 1)</f>
        <v>Thunder Punch</v>
      </c>
      <c r="F1001" s="11">
        <v>15</v>
      </c>
      <c r="G1001" s="20" t="str">
        <f>VLOOKUP(F1001, TMHM!$B$10:$C1519, 2, FALSE)</f>
        <v>Hyper Beam</v>
      </c>
      <c r="H1001" s="21"/>
      <c r="I1001" s="25"/>
      <c r="J1001" s="30"/>
    </row>
    <row r="1002" spans="1:10" x14ac:dyDescent="0.2">
      <c r="A1002" s="120"/>
      <c r="B1002" s="16">
        <f t="shared" si="81"/>
        <v>26</v>
      </c>
      <c r="C1002" s="17" t="str">
        <f t="array" ref="C1002">INDEX(Moves!$B$2:'Moves'!$B$177, SUM(HEX2DEC("2C"),1), 1)</f>
        <v>Ice Punch</v>
      </c>
      <c r="D1002" s="16">
        <f t="shared" si="82"/>
        <v>26</v>
      </c>
      <c r="E1002" s="17" t="str">
        <f t="array" ref="E1002">INDEX(Moves!$B$2:'Moves'!$B$177, SUM(HEX2DEC("2C"),1), 1)</f>
        <v>Ice Punch</v>
      </c>
      <c r="F1002" s="11">
        <v>18</v>
      </c>
      <c r="G1002" s="20" t="str">
        <f>VLOOKUP(F1002, TMHM!$B$10:$C1519, 2, FALSE)</f>
        <v>AncientPower</v>
      </c>
      <c r="H1002" s="21"/>
      <c r="I1002" s="25"/>
      <c r="J1002" s="30"/>
    </row>
    <row r="1003" spans="1:10" x14ac:dyDescent="0.2">
      <c r="A1003" s="120"/>
      <c r="B1003" s="16">
        <f t="shared" si="81"/>
        <v>26</v>
      </c>
      <c r="C1003" s="17" t="str">
        <f t="array" ref="C1003">INDEX(Moves!$B$2:'Moves'!$B$177, SUM(HEX2DEC("02"),1), 1)</f>
        <v>Fire Punch</v>
      </c>
      <c r="D1003" s="16">
        <f t="shared" si="82"/>
        <v>26</v>
      </c>
      <c r="E1003" s="17" t="str">
        <f t="array" ref="E1003">INDEX(Moves!$B$2:'Moves'!$B$177, SUM(HEX2DEC("02"),1), 1)</f>
        <v>Fire Punch</v>
      </c>
      <c r="F1003" s="11">
        <v>20</v>
      </c>
      <c r="G1003" s="20" t="str">
        <f>VLOOKUP(F1003, TMHM!$B$10:$C1519, 2, FALSE)</f>
        <v>Iron Defense</v>
      </c>
      <c r="H1003" s="21"/>
      <c r="I1003" s="25"/>
      <c r="J1003" s="30"/>
    </row>
    <row r="1004" spans="1:10" x14ac:dyDescent="0.2">
      <c r="A1004" s="120"/>
      <c r="B1004" s="16">
        <f>HEX2DEC("20")</f>
        <v>32</v>
      </c>
      <c r="C1004" s="17" t="str">
        <f t="array" ref="C1004">INDEX(Moves!$B$2:'Moves'!$B$177, SUM(HEX2DEC("4E"),1), 1)</f>
        <v>Mach Punch</v>
      </c>
      <c r="D1004" s="16">
        <f>HEX2DEC("20")</f>
        <v>32</v>
      </c>
      <c r="E1004" s="17" t="str">
        <f t="array" ref="E1004">INDEX(Moves!$B$2:'Moves'!$B$177, SUM(HEX2DEC("4E"),1), 1)</f>
        <v>Mach Punch</v>
      </c>
      <c r="F1004" s="11">
        <v>26</v>
      </c>
      <c r="G1004" s="20" t="str">
        <f>VLOOKUP(F1004, TMHM!$B$10:$C1519, 2, FALSE)</f>
        <v>Earthquake</v>
      </c>
      <c r="H1004" s="21"/>
      <c r="I1004" s="25"/>
      <c r="J1004" s="30"/>
    </row>
    <row r="1005" spans="1:10" x14ac:dyDescent="0.2">
      <c r="A1005" s="120"/>
      <c r="B1005" s="48">
        <f>HEX2DEC("26")</f>
        <v>38</v>
      </c>
      <c r="C1005" s="23" t="str">
        <f t="array" ref="C1005">INDEX(Moves!$B$2:'Moves'!$B$177, SUM(HEX2DEC("58"),1), 1)</f>
        <v>DynamicPunch</v>
      </c>
      <c r="D1005" s="48">
        <f>HEX2DEC("26")</f>
        <v>38</v>
      </c>
      <c r="E1005" s="23" t="s">
        <v>211</v>
      </c>
      <c r="F1005" s="11">
        <v>28</v>
      </c>
      <c r="G1005" s="20" t="str">
        <f>VLOOKUP(F1005, TMHM!$B$10:$C1519, 2, FALSE)</f>
        <v>Dig</v>
      </c>
      <c r="H1005" s="21"/>
      <c r="I1005" s="25"/>
      <c r="J1005" s="30"/>
    </row>
    <row r="1006" spans="1:10" x14ac:dyDescent="0.2">
      <c r="A1006" s="120"/>
      <c r="B1006" s="48">
        <f>HEX2DEC("2C")</f>
        <v>44</v>
      </c>
      <c r="C1006" s="23" t="str">
        <f t="array" ref="C1006">INDEX(Moves!$B$2:'Moves'!$B$177, SUM(HEX2DEC("9F"),1), 1)</f>
        <v>Sword Dance</v>
      </c>
      <c r="D1006" s="48">
        <f>HEX2DEC("2C")</f>
        <v>44</v>
      </c>
      <c r="E1006" s="23" t="s">
        <v>212</v>
      </c>
      <c r="F1006" s="11">
        <v>31</v>
      </c>
      <c r="G1006" s="20" t="str">
        <f>VLOOKUP(F1006, TMHM!$B$10:$C1519, 2, FALSE)</f>
        <v>Brick Break</v>
      </c>
      <c r="H1006" s="21"/>
      <c r="I1006" s="25"/>
      <c r="J1006" s="30"/>
    </row>
    <row r="1007" spans="1:10" x14ac:dyDescent="0.2">
      <c r="A1007" s="120"/>
      <c r="B1007" s="48">
        <f>HEX2DEC("32")</f>
        <v>50</v>
      </c>
      <c r="C1007" s="23" t="str">
        <f t="array" ref="C1007">INDEX(Moves!$B$2:'Moves'!$B$177, SUM(HEX2DEC("5A"),1), 1)</f>
        <v>Focus Punch</v>
      </c>
      <c r="D1007" s="48">
        <f>HEX2DEC("32")</f>
        <v>50</v>
      </c>
      <c r="E1007" s="23" t="s">
        <v>213</v>
      </c>
      <c r="F1007" s="11">
        <v>39</v>
      </c>
      <c r="G1007" s="20" t="str">
        <f>VLOOKUP(F1007, TMHM!$B$10:$C1519, 2, FALSE)</f>
        <v>Rock Tomb</v>
      </c>
      <c r="H1007" s="21"/>
      <c r="I1007" s="25"/>
      <c r="J1007" s="30"/>
    </row>
    <row r="1008" spans="1:10" x14ac:dyDescent="0.2">
      <c r="A1008" s="121" t="s">
        <v>214</v>
      </c>
      <c r="B1008" s="70">
        <f>HEX2DEC("00")</f>
        <v>0</v>
      </c>
      <c r="C1008" s="71" t="str">
        <f t="array" ref="C1008">INDEX(Moves!$B$2:'Moves'!$B$177, SUM(HEX2DEC("72"),1), 1)</f>
        <v>Lick</v>
      </c>
      <c r="D1008" s="70">
        <f>HEX2DEC("01")</f>
        <v>1</v>
      </c>
      <c r="E1008" s="71" t="str">
        <f t="array" ref="E1008">INDEX(Moves!$B$2:'Moves'!$B$177, SUM(HEX2DEC("72"),1), 1)</f>
        <v>Lick</v>
      </c>
      <c r="F1008" s="41">
        <v>4</v>
      </c>
      <c r="G1008" s="12" t="str">
        <f>VLOOKUP(F1008, TMHM!$B$10:$C1519, 2, FALSE)</f>
        <v>Calm Mind</v>
      </c>
      <c r="H1008" s="13">
        <v>4</v>
      </c>
      <c r="I1008" s="14" t="str">
        <f>VLOOKUP(H1008, TMHM!$B$2:$C$7, 2, FALSE)</f>
        <v>Strength</v>
      </c>
      <c r="J1008" s="30" t="s">
        <v>215</v>
      </c>
    </row>
    <row r="1009" spans="1:10" x14ac:dyDescent="0.2">
      <c r="A1009" s="120"/>
      <c r="B1009" s="16">
        <f>HEX2DEC("07")</f>
        <v>7</v>
      </c>
      <c r="C1009" s="17" t="str">
        <f t="array" ref="C1009">INDEX(Moves!$B$2:'Moves'!$B$177, SUM(HEX2DEC("9E"),1), 1)</f>
        <v>Supersonic</v>
      </c>
      <c r="D1009" s="16">
        <f>HEX2DEC("07")</f>
        <v>7</v>
      </c>
      <c r="E1009" s="17" t="str">
        <f t="array" ref="E1009">INDEX(Moves!$B$2:'Moves'!$B$177, SUM(HEX2DEC("9E"),1), 1)</f>
        <v>Supersonic</v>
      </c>
      <c r="F1009" s="11">
        <v>5</v>
      </c>
      <c r="G1009" s="20" t="str">
        <f>VLOOKUP(F1009, TMHM!$B$10:$C1519, 2, FALSE)</f>
        <v>Roar</v>
      </c>
      <c r="H1009" s="21"/>
      <c r="I1009" s="25"/>
      <c r="J1009" s="30"/>
    </row>
    <row r="1010" spans="1:10" x14ac:dyDescent="0.2">
      <c r="A1010" s="120"/>
      <c r="B1010" s="16">
        <f>HEX2DEC("0D")</f>
        <v>13</v>
      </c>
      <c r="C1010" s="17" t="str">
        <f t="array" ref="C1010">INDEX(Moves!$B$2:'Moves'!$B$177, SUM(HEX2DEC("A2"),1), 1)</f>
        <v>Defense Curl</v>
      </c>
      <c r="D1010" s="16">
        <f>HEX2DEC("0D")</f>
        <v>13</v>
      </c>
      <c r="E1010" s="17" t="str">
        <f t="array" ref="E1010">INDEX(Moves!$B$2:'Moves'!$B$177, SUM(HEX2DEC("A2"),1), 1)</f>
        <v>Defense Curl</v>
      </c>
      <c r="F1010" s="11">
        <v>8</v>
      </c>
      <c r="G1010" s="20" t="str">
        <f>VLOOKUP(F1010, TMHM!$B$10:$C1519, 2, FALSE)</f>
        <v>Charm</v>
      </c>
      <c r="H1010" s="21"/>
      <c r="I1010" s="25"/>
      <c r="J1010" s="30"/>
    </row>
    <row r="1011" spans="1:10" x14ac:dyDescent="0.2">
      <c r="A1011" s="120"/>
      <c r="B1011" s="48">
        <f>HEX2DEC("13")</f>
        <v>19</v>
      </c>
      <c r="C1011" s="23" t="str">
        <f t="array" ref="C1011">INDEX(Moves!$B$2:'Moves'!$B$177, SUM(HEX2DEC("52"),1), 1)</f>
        <v>Rolling Kick</v>
      </c>
      <c r="D1011" s="48">
        <f>HEX2DEC("13")</f>
        <v>19</v>
      </c>
      <c r="E1011" s="23" t="s">
        <v>154</v>
      </c>
      <c r="F1011" s="11">
        <v>9</v>
      </c>
      <c r="G1011" s="20" t="str">
        <f>VLOOKUP(F1011, TMHM!$B$10:$C1519, 2, FALSE)</f>
        <v>Snore</v>
      </c>
      <c r="H1011" s="21"/>
      <c r="I1011" s="25"/>
      <c r="J1011" s="30"/>
    </row>
    <row r="1012" spans="1:10" x14ac:dyDescent="0.2">
      <c r="A1012" s="120"/>
      <c r="B1012" s="48">
        <f>HEX2DEC("19")</f>
        <v>25</v>
      </c>
      <c r="C1012" s="23" t="str">
        <f t="array" ref="C1012">INDEX(Moves!$B$2:'Moves'!$B$177, SUM(HEX2DEC("A0"),1), 1)</f>
        <v>Growl</v>
      </c>
      <c r="D1012" s="48">
        <f>HEX2DEC("19")</f>
        <v>25</v>
      </c>
      <c r="E1012" s="23" t="s">
        <v>142</v>
      </c>
      <c r="F1012" s="11">
        <v>15</v>
      </c>
      <c r="G1012" s="20" t="str">
        <f>VLOOKUP(F1012, TMHM!$B$10:$C1519, 2, FALSE)</f>
        <v>Hyper Beam</v>
      </c>
      <c r="H1012" s="21"/>
      <c r="I1012" s="25"/>
      <c r="J1012" s="30"/>
    </row>
    <row r="1013" spans="1:10" x14ac:dyDescent="0.2">
      <c r="A1013" s="120"/>
      <c r="B1013" s="48">
        <f>HEX2DEC("1F")</f>
        <v>31</v>
      </c>
      <c r="C1013" s="23" t="str">
        <f t="array" ref="C1013">INDEX(Moves!$B$2:'Moves'!$B$177, SUM(HEX2DEC("66"),1), 1)</f>
        <v>Psybeam</v>
      </c>
      <c r="D1013" s="48">
        <f>HEX2DEC("1F")</f>
        <v>31</v>
      </c>
      <c r="E1013" s="23" t="s">
        <v>94</v>
      </c>
      <c r="F1013" s="11">
        <v>16</v>
      </c>
      <c r="G1013" s="20" t="str">
        <f>VLOOKUP(F1013, TMHM!$B$10:$C1519, 2, FALSE)</f>
        <v>Rest</v>
      </c>
      <c r="H1013" s="21"/>
      <c r="I1013" s="25"/>
      <c r="J1013" s="30"/>
    </row>
    <row r="1014" spans="1:10" x14ac:dyDescent="0.2">
      <c r="A1014" s="120"/>
      <c r="B1014" s="48">
        <f>HEX2DEC("25")</f>
        <v>37</v>
      </c>
      <c r="C1014" s="23" t="str">
        <f t="array" ref="C1014">INDEX(Moves!$B$2:'Moves'!$B$177, SUM(HEX2DEC("59"),1), 1)</f>
        <v>Superpower</v>
      </c>
      <c r="D1014" s="48">
        <f>HEX2DEC("25")</f>
        <v>37</v>
      </c>
      <c r="E1014" s="23" t="s">
        <v>67</v>
      </c>
      <c r="F1014" s="11">
        <v>18</v>
      </c>
      <c r="G1014" s="20" t="str">
        <f>VLOOKUP(F1014, TMHM!$B$10:$C1519, 2, FALSE)</f>
        <v>AncientPower</v>
      </c>
      <c r="H1014" s="21"/>
      <c r="I1014" s="25"/>
      <c r="J1014" s="30"/>
    </row>
    <row r="1015" spans="1:10" x14ac:dyDescent="0.2">
      <c r="A1015" s="120"/>
      <c r="B1015" s="48">
        <f>HEX2DEC("2B")</f>
        <v>43</v>
      </c>
      <c r="C1015" s="23" t="str">
        <f t="array" ref="C1015">INDEX(Moves!$B$2:'Moves'!$B$177, SUM(HEX2DEC("77"),1), 1)</f>
        <v>Confuse Ray</v>
      </c>
      <c r="D1015" s="48">
        <f>HEX2DEC("2B")</f>
        <v>43</v>
      </c>
      <c r="E1015" s="23" t="s">
        <v>63</v>
      </c>
      <c r="F1015" s="11">
        <v>20</v>
      </c>
      <c r="G1015" s="20" t="str">
        <f>VLOOKUP(F1015, TMHM!$B$10:$C1519, 2, FALSE)</f>
        <v>Iron Defense</v>
      </c>
      <c r="H1015" s="21"/>
      <c r="I1015" s="25"/>
      <c r="J1015" s="30"/>
    </row>
    <row r="1016" spans="1:10" x14ac:dyDescent="0.2">
      <c r="A1016" s="120"/>
      <c r="B1016" s="73"/>
      <c r="C1016" s="74"/>
      <c r="D1016" s="73"/>
      <c r="E1016" s="74"/>
      <c r="F1016" s="11">
        <v>21</v>
      </c>
      <c r="G1016" s="20" t="str">
        <f>VLOOKUP(F1016, TMHM!$B$10:$C1519, 2, FALSE)</f>
        <v>Recover</v>
      </c>
      <c r="H1016" s="21"/>
      <c r="I1016" s="25"/>
      <c r="J1016" s="30"/>
    </row>
    <row r="1017" spans="1:10" x14ac:dyDescent="0.2">
      <c r="A1017" s="121" t="s">
        <v>216</v>
      </c>
      <c r="B1017" s="64">
        <f>HEX2DEC("00")</f>
        <v>0</v>
      </c>
      <c r="C1017" s="65" t="str">
        <f t="array" ref="C1017">INDEX(Moves!$B$2:'Moves'!$B$177, SUM(HEX2DEC("44"),1), 1)</f>
        <v>Smog</v>
      </c>
      <c r="D1017" s="64">
        <f>HEX2DEC("00")</f>
        <v>0</v>
      </c>
      <c r="E1017" s="65" t="str">
        <f t="array" ref="E1017">INDEX(Moves!$B$2:'Moves'!$B$177, SUM(HEX2DEC("4A"),1), 1)</f>
        <v>Poison Gas</v>
      </c>
      <c r="F1017" s="41">
        <v>6</v>
      </c>
      <c r="G1017" s="12" t="str">
        <f>VLOOKUP(F1017, TMHM!$B$10:$C1519, 2, FALSE)</f>
        <v>Toxic</v>
      </c>
      <c r="H1017" s="13">
        <v>5</v>
      </c>
      <c r="I1017" s="14" t="str">
        <f>VLOOKUP(H1017, TMHM!$B$2:$C$7, 2, FALSE)</f>
        <v>Flash</v>
      </c>
      <c r="J1017" s="30"/>
    </row>
    <row r="1018" spans="1:10" x14ac:dyDescent="0.2">
      <c r="A1018" s="120"/>
      <c r="B1018" s="43">
        <f>HEX2DEC("02")</f>
        <v>2</v>
      </c>
      <c r="C1018" s="17" t="str">
        <f t="array" ref="C1018">INDEX(Moves!$B$2:'Moves'!$B$177, SUM(HEX2DEC("89"),1), 1)</f>
        <v>Tackle</v>
      </c>
      <c r="D1018" s="43">
        <f>HEX2DEC("01")</f>
        <v>1</v>
      </c>
      <c r="E1018" s="17" t="str">
        <f t="array" ref="E1018">INDEX(Moves!$B$2:'Moves'!$B$177, SUM(HEX2DEC("89"),1), 1)</f>
        <v>Tackle</v>
      </c>
      <c r="F1018" s="11">
        <v>16</v>
      </c>
      <c r="G1018" s="20" t="str">
        <f>VLOOKUP(F1018, TMHM!$B$10:$C1519, 2, FALSE)</f>
        <v>Rest</v>
      </c>
      <c r="H1018" s="21"/>
      <c r="I1018" s="25"/>
      <c r="J1018" s="30"/>
    </row>
    <row r="1019" spans="1:10" x14ac:dyDescent="0.2">
      <c r="A1019" s="120"/>
      <c r="B1019" s="50">
        <f>HEX2DEC("09")</f>
        <v>9</v>
      </c>
      <c r="C1019" s="51" t="str">
        <f t="array" ref="C1019">INDEX(Moves!$B$2:'Moves'!$B$177, SUM(HEX2DEC("4A"),1), 1)</f>
        <v>Poison Gas</v>
      </c>
      <c r="D1019" s="50">
        <f>HEX2DEC("09")</f>
        <v>9</v>
      </c>
      <c r="E1019" s="51" t="str">
        <f t="array" ref="E1019">INDEX(Moves!$B$2:'Moves'!$B$177, SUM(HEX2DEC("44"),1), 1)</f>
        <v>Smog</v>
      </c>
      <c r="F1019" s="11">
        <v>17</v>
      </c>
      <c r="G1019" s="20" t="str">
        <f>VLOOKUP(F1019, TMHM!$B$10:$C1519, 2, FALSE)</f>
        <v>SmokeScreen</v>
      </c>
      <c r="H1019" s="21"/>
      <c r="I1019" s="25"/>
      <c r="J1019" s="30"/>
    </row>
    <row r="1020" spans="1:10" x14ac:dyDescent="0.2">
      <c r="A1020" s="120"/>
      <c r="B1020" s="16">
        <f>HEX2DEC("11")</f>
        <v>17</v>
      </c>
      <c r="C1020" s="17" t="str">
        <f t="array" ref="C1020">INDEX(Moves!$B$2:'Moves'!$B$177, SUM(HEX2DEC("98"),1), 1)</f>
        <v>Selfdestruct</v>
      </c>
      <c r="D1020" s="16">
        <f>HEX2DEC("11")</f>
        <v>17</v>
      </c>
      <c r="E1020" s="17" t="str">
        <f t="array" ref="E1020">INDEX(Moves!$B$2:'Moves'!$B$177, SUM(HEX2DEC("98"),1), 1)</f>
        <v>Selfdestruct</v>
      </c>
      <c r="F1020" s="11">
        <v>36</v>
      </c>
      <c r="G1020" s="20" t="str">
        <f>VLOOKUP(F1020, TMHM!$B$10:$C1519, 2, FALSE)</f>
        <v>Sludge Bomb</v>
      </c>
      <c r="H1020" s="21"/>
      <c r="I1020" s="25"/>
      <c r="J1020" s="30"/>
    </row>
    <row r="1021" spans="1:10" x14ac:dyDescent="0.2">
      <c r="A1021" s="120"/>
      <c r="B1021" s="50">
        <f>HEX2DEC("15")</f>
        <v>21</v>
      </c>
      <c r="C1021" s="51" t="str">
        <f t="array" ref="C1021">INDEX(Moves!$B$2:'Moves'!$B$177, SUM(HEX2DEC("49"),1), 1)</f>
        <v>Sludge Bomb</v>
      </c>
      <c r="D1021" s="50">
        <f>HEX2DEC("15")</f>
        <v>21</v>
      </c>
      <c r="E1021" s="51" t="str">
        <f t="array" ref="E1021">INDEX(Moves!$B$2:'Moves'!$B$177, SUM(HEX2DEC("48"),1), 1)</f>
        <v>Sludge</v>
      </c>
      <c r="F1021" s="11"/>
      <c r="H1021" s="21"/>
      <c r="I1021" s="25"/>
      <c r="J1021" s="30"/>
    </row>
    <row r="1022" spans="1:10" x14ac:dyDescent="0.2">
      <c r="A1022" s="120"/>
      <c r="B1022" s="16">
        <f>HEX2DEC("19")</f>
        <v>25</v>
      </c>
      <c r="C1022" s="17" t="str">
        <f t="array" ref="C1022">INDEX(Moves!$B$2:'Moves'!$B$177, SUM(HEX2DEC("A6"),1), 1)</f>
        <v>SmokeScreen</v>
      </c>
      <c r="D1022" s="16">
        <f>HEX2DEC("19")</f>
        <v>25</v>
      </c>
      <c r="E1022" s="17" t="str">
        <f t="array" ref="E1022">INDEX(Moves!$B$2:'Moves'!$B$177, SUM(HEX2DEC("A6"),1), 1)</f>
        <v>SmokeScreen</v>
      </c>
      <c r="F1022" s="11"/>
      <c r="H1022" s="21"/>
      <c r="I1022" s="25"/>
      <c r="J1022" s="30"/>
    </row>
    <row r="1023" spans="1:10" x14ac:dyDescent="0.2">
      <c r="A1023" s="120"/>
      <c r="B1023" s="48">
        <f>HEX2DEC("21")</f>
        <v>33</v>
      </c>
      <c r="C1023" s="23" t="str">
        <f t="array" ref="C1023">INDEX(Moves!$B$2:'Moves'!$B$177, SUM(HEX2DEC("77"),1), 1)</f>
        <v>Confuse Ray</v>
      </c>
      <c r="D1023" s="48">
        <f>HEX2DEC("21")</f>
        <v>33</v>
      </c>
      <c r="E1023" s="23" t="s">
        <v>64</v>
      </c>
      <c r="F1023" s="11"/>
      <c r="H1023" s="21"/>
      <c r="I1023" s="25"/>
      <c r="J1023" s="30"/>
    </row>
    <row r="1024" spans="1:10" x14ac:dyDescent="0.2">
      <c r="A1024" s="120"/>
      <c r="B1024" s="16">
        <f>HEX2DEC("29")</f>
        <v>41</v>
      </c>
      <c r="C1024" s="17" t="str">
        <f t="array" ref="C1024">INDEX(Moves!$B$2:'Moves'!$B$177, SUM(HEX2DEC("99"),1), 1)</f>
        <v>Explosion</v>
      </c>
      <c r="D1024" s="16">
        <f>HEX2DEC("29")</f>
        <v>41</v>
      </c>
      <c r="E1024" s="17" t="str">
        <f t="array" ref="E1024">INDEX(Moves!$B$2:'Moves'!$B$177, SUM(HEX2DEC("99"),1), 1)</f>
        <v>Explosion</v>
      </c>
      <c r="F1024" s="11"/>
      <c r="H1024" s="21"/>
      <c r="I1024" s="25"/>
      <c r="J1024" s="30"/>
    </row>
    <row r="1025" spans="1:10" x14ac:dyDescent="0.2">
      <c r="A1025" s="120"/>
      <c r="B1025" s="48">
        <f>HEX2DEC("2D")</f>
        <v>45</v>
      </c>
      <c r="C1025" s="23" t="str">
        <f t="array" ref="C1025">INDEX(Moves!$B$2:'Moves'!$B$177, SUM(HEX2DEC("4C"),1), 1)</f>
        <v>Toxic</v>
      </c>
      <c r="D1025" s="48">
        <f>HEX2DEC("2D")</f>
        <v>45</v>
      </c>
      <c r="E1025" s="23" t="s">
        <v>180</v>
      </c>
      <c r="F1025" s="11"/>
      <c r="H1025" s="21"/>
      <c r="I1025" s="25"/>
      <c r="J1025" s="30"/>
    </row>
    <row r="1026" spans="1:10" x14ac:dyDescent="0.2">
      <c r="A1026" s="121" t="s">
        <v>217</v>
      </c>
      <c r="B1026" s="64">
        <f>HEX2DEC("00")</f>
        <v>0</v>
      </c>
      <c r="C1026" s="65" t="str">
        <f t="array" ref="C1026">INDEX(Moves!$B$2:'Moves'!$B$177, SUM(HEX2DEC("44"),1), 1)</f>
        <v>Smog</v>
      </c>
      <c r="D1026" s="64">
        <f>HEX2DEC("00")</f>
        <v>0</v>
      </c>
      <c r="E1026" s="65" t="str">
        <f t="array" ref="E1026">INDEX(Moves!$B$2:'Moves'!$B$177, SUM(HEX2DEC("4A"),1), 1)</f>
        <v>Poison Gas</v>
      </c>
      <c r="F1026" s="41">
        <v>6</v>
      </c>
      <c r="G1026" s="12" t="str">
        <f>VLOOKUP(F1026, TMHM!$B$10:$C1519, 2, FALSE)</f>
        <v>Toxic</v>
      </c>
      <c r="H1026" s="13">
        <v>5</v>
      </c>
      <c r="I1026" s="14" t="str">
        <f>VLOOKUP(H1026, TMHM!$B$2:$C$7, 2, FALSE)</f>
        <v>Flash</v>
      </c>
      <c r="J1026" s="30"/>
    </row>
    <row r="1027" spans="1:10" x14ac:dyDescent="0.2">
      <c r="A1027" s="120"/>
      <c r="B1027" s="43">
        <f>HEX2DEC("02")</f>
        <v>2</v>
      </c>
      <c r="C1027" s="17" t="str">
        <f t="array" ref="C1027">INDEX(Moves!$B$2:'Moves'!$B$177, SUM(HEX2DEC("89"),1), 1)</f>
        <v>Tackle</v>
      </c>
      <c r="D1027" s="43">
        <f t="shared" ref="D1027:D1028" si="83">HEX2DEC("01")</f>
        <v>1</v>
      </c>
      <c r="E1027" s="17" t="str">
        <f t="array" ref="E1027">INDEX(Moves!$B$2:'Moves'!$B$177, SUM(HEX2DEC("89"),1), 1)</f>
        <v>Tackle</v>
      </c>
      <c r="F1027" s="11">
        <v>16</v>
      </c>
      <c r="G1027" s="20" t="str">
        <f>VLOOKUP(F1027, TMHM!$B$10:$C1519, 2, FALSE)</f>
        <v>Rest</v>
      </c>
      <c r="H1027" s="21"/>
      <c r="I1027" s="25"/>
      <c r="J1027" s="30"/>
    </row>
    <row r="1028" spans="1:10" x14ac:dyDescent="0.2">
      <c r="A1028" s="120"/>
      <c r="B1028" s="43">
        <f>HEX2DEC("09")</f>
        <v>9</v>
      </c>
      <c r="C1028" s="51" t="str">
        <f t="array" ref="C1028">INDEX(Moves!$B$2:'Moves'!$B$177, SUM(HEX2DEC("4A"),1), 1)</f>
        <v>Poison Gas</v>
      </c>
      <c r="D1028" s="43">
        <f t="shared" si="83"/>
        <v>1</v>
      </c>
      <c r="E1028" s="51" t="str">
        <f t="array" ref="E1028">INDEX(Moves!$B$2:'Moves'!$B$177, SUM(HEX2DEC("44"),1), 1)</f>
        <v>Smog</v>
      </c>
      <c r="F1028" s="11">
        <v>17</v>
      </c>
      <c r="G1028" s="20" t="str">
        <f>VLOOKUP(F1028, TMHM!$B$10:$C1519, 2, FALSE)</f>
        <v>SmokeScreen</v>
      </c>
      <c r="H1028" s="21"/>
      <c r="I1028" s="25"/>
      <c r="J1028" s="30"/>
    </row>
    <row r="1029" spans="1:10" x14ac:dyDescent="0.2">
      <c r="A1029" s="120"/>
      <c r="B1029" s="43">
        <f>HEX2DEC("11")</f>
        <v>17</v>
      </c>
      <c r="C1029" s="17" t="str">
        <f t="array" ref="C1029">INDEX(Moves!$B$2:'Moves'!$B$177, SUM(HEX2DEC("98"),1), 1)</f>
        <v>Selfdestruct</v>
      </c>
      <c r="D1029" s="43">
        <f>HEX2DEC("1")</f>
        <v>1</v>
      </c>
      <c r="E1029" s="17" t="str">
        <f t="array" ref="E1029">INDEX(Moves!$B$2:'Moves'!$B$177, SUM(HEX2DEC("98"),1), 1)</f>
        <v>Selfdestruct</v>
      </c>
      <c r="F1029" s="11">
        <v>36</v>
      </c>
      <c r="G1029" s="20" t="str">
        <f>VLOOKUP(F1029, TMHM!$B$10:$C1519, 2, FALSE)</f>
        <v>Sludge Bomb</v>
      </c>
      <c r="H1029" s="21"/>
      <c r="I1029" s="25"/>
      <c r="J1029" s="30"/>
    </row>
    <row r="1030" spans="1:10" x14ac:dyDescent="0.2">
      <c r="A1030" s="120"/>
      <c r="B1030" s="50">
        <f>HEX2DEC("09")</f>
        <v>9</v>
      </c>
      <c r="C1030" s="51" t="str">
        <f t="array" ref="C1030">INDEX(Moves!$B$2:'Moves'!$B$177, SUM(HEX2DEC("4A"),1), 1)</f>
        <v>Poison Gas</v>
      </c>
      <c r="D1030" s="50">
        <f>HEX2DEC("09")</f>
        <v>9</v>
      </c>
      <c r="E1030" s="51" t="str">
        <f t="array" ref="E1030">INDEX(Moves!$B$2:'Moves'!$B$177, SUM(HEX2DEC("44"),1), 1)</f>
        <v>Smog</v>
      </c>
      <c r="F1030" s="11"/>
      <c r="H1030" s="21"/>
      <c r="I1030" s="25"/>
      <c r="J1030" s="30"/>
    </row>
    <row r="1031" spans="1:10" x14ac:dyDescent="0.2">
      <c r="A1031" s="120"/>
      <c r="B1031" s="73">
        <f>HEX2DEC("11")</f>
        <v>17</v>
      </c>
      <c r="C1031" s="76" t="str">
        <f t="array" ref="C1031">INDEX(Moves!$B$2:'Moves'!$B$177, SUM(HEX2DEC("98"),1), 1)</f>
        <v>Selfdestruct</v>
      </c>
      <c r="D1031" s="16">
        <f>HEX2DEC("11")</f>
        <v>17</v>
      </c>
      <c r="E1031" s="17" t="str">
        <f t="array" ref="E1031">INDEX(Moves!$B$2:'Moves'!$B$177, SUM(HEX2DEC("98"),1), 1)</f>
        <v>Selfdestruct</v>
      </c>
      <c r="F1031" s="11"/>
      <c r="H1031" s="21"/>
      <c r="I1031" s="25"/>
      <c r="J1031" s="30"/>
    </row>
    <row r="1032" spans="1:10" x14ac:dyDescent="0.2">
      <c r="A1032" s="120"/>
      <c r="B1032" s="50">
        <f>HEX2DEC("15")</f>
        <v>21</v>
      </c>
      <c r="C1032" s="51" t="str">
        <f t="array" ref="C1032">INDEX(Moves!$B$2:'Moves'!$B$177, SUM(HEX2DEC("49"),1), 1)</f>
        <v>Sludge Bomb</v>
      </c>
      <c r="D1032" s="50">
        <f>HEX2DEC("15")</f>
        <v>21</v>
      </c>
      <c r="E1032" s="51" t="str">
        <f t="array" ref="E1032">INDEX(Moves!$B$2:'Moves'!$B$177, SUM(HEX2DEC("48"),1), 1)</f>
        <v>Sludge</v>
      </c>
      <c r="F1032" s="11"/>
      <c r="H1032" s="21"/>
      <c r="I1032" s="25"/>
      <c r="J1032" s="30"/>
    </row>
    <row r="1033" spans="1:10" x14ac:dyDescent="0.2">
      <c r="A1033" s="120"/>
      <c r="B1033" s="16">
        <f>HEX2DEC("19")</f>
        <v>25</v>
      </c>
      <c r="C1033" s="17" t="str">
        <f t="array" ref="C1033">INDEX(Moves!$B$2:'Moves'!$B$177, SUM(HEX2DEC("A6"),1), 1)</f>
        <v>SmokeScreen</v>
      </c>
      <c r="D1033" s="16">
        <f>HEX2DEC("19")</f>
        <v>25</v>
      </c>
      <c r="E1033" s="17" t="str">
        <f t="array" ref="E1033">INDEX(Moves!$B$2:'Moves'!$B$177, SUM(HEX2DEC("A6"),1), 1)</f>
        <v>SmokeScreen</v>
      </c>
      <c r="F1033" s="11"/>
      <c r="H1033" s="21"/>
      <c r="I1033" s="25"/>
      <c r="J1033" s="30"/>
    </row>
    <row r="1034" spans="1:10" x14ac:dyDescent="0.2">
      <c r="A1034" s="120"/>
      <c r="B1034" s="48">
        <f>HEX2DEC("21")</f>
        <v>33</v>
      </c>
      <c r="C1034" s="23" t="str">
        <f t="array" ref="C1034">INDEX(Moves!$B$2:'Moves'!$B$177, SUM(HEX2DEC("77"),1), 1)</f>
        <v>Confuse Ray</v>
      </c>
      <c r="D1034" s="48">
        <f>HEX2DEC("21")</f>
        <v>33</v>
      </c>
      <c r="E1034" s="23" t="s">
        <v>64</v>
      </c>
      <c r="F1034" s="11"/>
      <c r="H1034" s="21"/>
      <c r="I1034" s="25"/>
      <c r="J1034" s="30"/>
    </row>
    <row r="1035" spans="1:10" x14ac:dyDescent="0.2">
      <c r="A1035" s="120"/>
      <c r="B1035" s="16">
        <f>HEX2DEC("2C")</f>
        <v>44</v>
      </c>
      <c r="C1035" s="17" t="str">
        <f t="array" ref="C1035">INDEX(Moves!$B$2:'Moves'!$B$177, SUM(HEX2DEC("99"),1), 1)</f>
        <v>Explosion</v>
      </c>
      <c r="D1035" s="16">
        <f>HEX2DEC("29")</f>
        <v>41</v>
      </c>
      <c r="E1035" s="17" t="str">
        <f t="array" ref="E1035">INDEX(Moves!$B$2:'Moves'!$B$177, SUM(HEX2DEC("99"),1), 1)</f>
        <v>Explosion</v>
      </c>
      <c r="F1035" s="11"/>
      <c r="H1035" s="21"/>
      <c r="I1035" s="25"/>
      <c r="J1035" s="30"/>
    </row>
    <row r="1036" spans="1:10" x14ac:dyDescent="0.2">
      <c r="A1036" s="120"/>
      <c r="B1036" s="48">
        <f>HEX2DEC("33")</f>
        <v>51</v>
      </c>
      <c r="C1036" s="23" t="str">
        <f t="array" ref="C1036">INDEX(Moves!$B$2:'Moves'!$B$177, SUM(HEX2DEC("4C"),1), 1)</f>
        <v>Toxic</v>
      </c>
      <c r="D1036" s="48">
        <f>HEX2DEC("2D")</f>
        <v>45</v>
      </c>
      <c r="E1036" s="23" t="s">
        <v>180</v>
      </c>
      <c r="F1036" s="11"/>
      <c r="H1036" s="21"/>
      <c r="I1036" s="25"/>
      <c r="J1036" s="30"/>
    </row>
    <row r="1037" spans="1:10" x14ac:dyDescent="0.2">
      <c r="A1037" s="121" t="s">
        <v>218</v>
      </c>
      <c r="B1037" s="64">
        <f>HEX2DEC("00")</f>
        <v>0</v>
      </c>
      <c r="C1037" s="65" t="str">
        <f t="array" ref="C1037">INDEX(Moves!$B$2:'Moves'!$B$177, SUM(HEX2DEC("7F"),1), 1)</f>
        <v>Pursuit</v>
      </c>
      <c r="D1037" s="64">
        <f t="shared" ref="D1037:D1038" si="84">HEX2DEC("01")</f>
        <v>1</v>
      </c>
      <c r="E1037" s="65" t="str">
        <f t="array" ref="E1037">INDEX(Moves!$B$2:'Moves'!$B$177, SUM(HEX2DEC("91"),1), 1)</f>
        <v>Horn Attack</v>
      </c>
      <c r="F1037" s="41">
        <v>7</v>
      </c>
      <c r="G1037" s="12" t="str">
        <f>VLOOKUP(F1037, TMHM!$B$10:$C1519, 2, FALSE)</f>
        <v>Secret Power</v>
      </c>
      <c r="H1037" s="13">
        <v>5</v>
      </c>
      <c r="I1037" s="14" t="str">
        <f>VLOOKUP(H1037, TMHM!$B$2:$C$7, 2, FALSE)</f>
        <v>Flash</v>
      </c>
      <c r="J1037" s="30"/>
    </row>
    <row r="1038" spans="1:10" x14ac:dyDescent="0.2">
      <c r="A1038" s="120"/>
      <c r="B1038" s="16">
        <f>HEX2DEC("01")</f>
        <v>1</v>
      </c>
      <c r="C1038" s="17" t="str">
        <f t="array" ref="C1038">INDEX(Moves!$B$2:'Moves'!$B$177, SUM(HEX2DEC("A4"),1), 1)</f>
        <v>Tail Whip</v>
      </c>
      <c r="D1038" s="16">
        <f t="shared" si="84"/>
        <v>1</v>
      </c>
      <c r="E1038" s="17" t="str">
        <f t="array" ref="E1038">INDEX(Moves!$B$2:'Moves'!$B$177, SUM(HEX2DEC("A4"),1), 1)</f>
        <v>Tail Whip</v>
      </c>
      <c r="F1038" s="11">
        <v>8</v>
      </c>
      <c r="G1038" s="20" t="str">
        <f>VLOOKUP(F1038, TMHM!$B$10:$C1519, 2, FALSE)</f>
        <v>Charm</v>
      </c>
      <c r="H1038" s="21"/>
      <c r="I1038" s="25"/>
      <c r="J1038" s="30"/>
    </row>
    <row r="1039" spans="1:10" x14ac:dyDescent="0.2">
      <c r="A1039" s="120"/>
      <c r="B1039" s="48">
        <f>HEX2DEC("0D")</f>
        <v>13</v>
      </c>
      <c r="C1039" s="23" t="str">
        <f t="array" ref="C1039">INDEX(Moves!$B$2:'Moves'!$B$177, SUM(HEX2DEC("50"),1), 1)</f>
        <v>Low Kick</v>
      </c>
      <c r="D1039" s="48">
        <f>HEX2DEC("0D")</f>
        <v>13</v>
      </c>
      <c r="E1039" s="23" t="s">
        <v>154</v>
      </c>
      <c r="F1039" s="11">
        <v>9</v>
      </c>
      <c r="G1039" s="20" t="str">
        <f>VLOOKUP(F1039, TMHM!$B$10:$C1519, 2, FALSE)</f>
        <v>Snore</v>
      </c>
      <c r="H1039" s="21"/>
      <c r="I1039" s="25"/>
      <c r="J1039" s="30"/>
    </row>
    <row r="1040" spans="1:10" x14ac:dyDescent="0.2">
      <c r="A1040" s="120"/>
      <c r="B1040" s="48">
        <f>HEX2DEC("13")</f>
        <v>19</v>
      </c>
      <c r="C1040" s="23" t="str">
        <f t="array" ref="C1040">INDEX(Moves!$B$2:'Moves'!$B$177, SUM(HEX2DEC("96"),1), 1)</f>
        <v>Double-Edge</v>
      </c>
      <c r="D1040" s="48">
        <f>HEX2DEC("13")</f>
        <v>19</v>
      </c>
      <c r="E1040" s="23" t="s">
        <v>48</v>
      </c>
      <c r="F1040" s="11">
        <v>15</v>
      </c>
      <c r="G1040" s="20" t="str">
        <f>VLOOKUP(F1040, TMHM!$B$10:$C1519, 2, FALSE)</f>
        <v>Hyper Beam</v>
      </c>
      <c r="H1040" s="21"/>
      <c r="I1040" s="25"/>
      <c r="J1040" s="30"/>
    </row>
    <row r="1041" spans="1:10" x14ac:dyDescent="0.2">
      <c r="A1041" s="120"/>
      <c r="B1041" s="48">
        <f>HEX2DEC("1F")</f>
        <v>31</v>
      </c>
      <c r="C1041" s="23" t="str">
        <f t="array" ref="C1041">INDEX(Moves!$B$2:'Moves'!$B$177, SUM(HEX2DEC("A2"),1), 1)</f>
        <v>Defense Curl</v>
      </c>
      <c r="D1041" s="48">
        <f>HEX2DEC("1F")</f>
        <v>31</v>
      </c>
      <c r="E1041" s="23" t="s">
        <v>27</v>
      </c>
      <c r="F1041" s="11">
        <v>18</v>
      </c>
      <c r="G1041" s="20" t="str">
        <f>VLOOKUP(F1041, TMHM!$B$10:$C1519, 2, FALSE)</f>
        <v>AncientPower</v>
      </c>
      <c r="H1041" s="21"/>
      <c r="I1041" s="25"/>
      <c r="J1041" s="30"/>
    </row>
    <row r="1042" spans="1:10" x14ac:dyDescent="0.2">
      <c r="A1042" s="120"/>
      <c r="B1042" s="16">
        <f>HEX2DEC("25")</f>
        <v>37</v>
      </c>
      <c r="C1042" s="17" t="str">
        <f t="array" ref="C1042">INDEX(Moves!$B$2:'Moves'!$B$177, SUM(HEX2DEC("9A"),1), 1)</f>
        <v>Horn Drill</v>
      </c>
      <c r="D1042" s="16">
        <f>HEX2DEC("25")</f>
        <v>37</v>
      </c>
      <c r="E1042" s="17" t="str">
        <f t="array" ref="E1042">INDEX(Moves!$B$2:'Moves'!$B$177, SUM(HEX2DEC("9A"),1), 1)</f>
        <v>Horn Drill</v>
      </c>
      <c r="F1042" s="11">
        <v>23</v>
      </c>
      <c r="G1042" s="20" t="str">
        <f>VLOOKUP(F1042, TMHM!$B$10:$C1519, 2, FALSE)</f>
        <v>Iron Tail</v>
      </c>
      <c r="H1042" s="21"/>
      <c r="I1042" s="25"/>
      <c r="J1042" s="30"/>
    </row>
    <row r="1043" spans="1:10" x14ac:dyDescent="0.2">
      <c r="A1043" s="120"/>
      <c r="B1043" s="48">
        <f>HEX2DEC("31")</f>
        <v>49</v>
      </c>
      <c r="C1043" s="23" t="str">
        <f t="array" ref="C1043">INDEX(Moves!$B$2:'Moves'!$B$177, SUM(HEX2DEC("91"),1), 1)</f>
        <v>Horn Attack</v>
      </c>
      <c r="D1043" s="48">
        <f>HEX2DEC("31")</f>
        <v>49</v>
      </c>
      <c r="E1043" s="23" t="s">
        <v>124</v>
      </c>
      <c r="F1043" s="11">
        <v>28</v>
      </c>
      <c r="G1043" s="20" t="str">
        <f>VLOOKUP(F1043, TMHM!$B$10:$C1519, 2, FALSE)</f>
        <v>Dig</v>
      </c>
      <c r="H1043" s="21"/>
      <c r="I1043" s="25"/>
      <c r="J1043" s="30"/>
    </row>
    <row r="1044" spans="1:10" x14ac:dyDescent="0.2">
      <c r="A1044" s="120"/>
      <c r="B1044" s="16">
        <f>HEX2DEC("37")</f>
        <v>55</v>
      </c>
      <c r="C1044" s="17" t="str">
        <f t="array" ref="C1044">INDEX(Moves!$B$2:'Moves'!$B$177, SUM(HEX2DEC("34"),1), 1)</f>
        <v>Earthquake</v>
      </c>
      <c r="D1044" s="16">
        <f>HEX2DEC("37")</f>
        <v>55</v>
      </c>
      <c r="E1044" s="17" t="str">
        <f t="array" ref="E1044">INDEX(Moves!$B$2:'Moves'!$B$177, SUM(HEX2DEC("34"),1), 1)</f>
        <v>Earthquake</v>
      </c>
      <c r="F1044" s="11">
        <v>35</v>
      </c>
      <c r="G1044" s="20" t="str">
        <f>VLOOKUP(F1044, TMHM!$B$10:$C1519, 2, FALSE)</f>
        <v>Harden</v>
      </c>
      <c r="H1044" s="21"/>
      <c r="I1044" s="25"/>
      <c r="J1044" s="30"/>
    </row>
    <row r="1045" spans="1:10" x14ac:dyDescent="0.2">
      <c r="A1045" s="120"/>
      <c r="B1045" s="50"/>
      <c r="C1045" s="55"/>
      <c r="D1045" s="50"/>
      <c r="E1045" s="55"/>
      <c r="F1045" s="11">
        <v>39</v>
      </c>
      <c r="G1045" s="20" t="str">
        <f>VLOOKUP(F1045, TMHM!$B$10:$C1519, 2, FALSE)</f>
        <v>Rock Tomb</v>
      </c>
      <c r="H1045" s="21"/>
      <c r="I1045" s="25"/>
      <c r="J1045" s="30"/>
    </row>
    <row r="1046" spans="1:10" x14ac:dyDescent="0.2">
      <c r="A1046" s="121" t="s">
        <v>219</v>
      </c>
      <c r="B1046" s="64">
        <f>HEX2DEC("00")</f>
        <v>0</v>
      </c>
      <c r="C1046" s="65" t="str">
        <f t="array" ref="C1046">INDEX(Moves!$B$2:'Moves'!$B$177, SUM(HEX2DEC("7F"),1), 1)</f>
        <v>Pursuit</v>
      </c>
      <c r="D1046" s="64">
        <f t="shared" ref="D1046:D1049" si="85">HEX2DEC("01")</f>
        <v>1</v>
      </c>
      <c r="E1046" s="65" t="str">
        <f t="array" ref="E1046">INDEX(Moves!$B$2:'Moves'!$B$177, SUM(HEX2DEC("91"),1), 1)</f>
        <v>Horn Attack</v>
      </c>
      <c r="F1046" s="41">
        <v>7</v>
      </c>
      <c r="G1046" s="12" t="str">
        <f>VLOOKUP(F1046, TMHM!$B$10:$C1519, 2, FALSE)</f>
        <v>Secret Power</v>
      </c>
      <c r="H1046" s="13">
        <v>5</v>
      </c>
      <c r="I1046" s="14" t="str">
        <f>VLOOKUP(H1046, TMHM!$B$2:$C$7, 2, FALSE)</f>
        <v>Flash</v>
      </c>
      <c r="J1046" s="30"/>
    </row>
    <row r="1047" spans="1:10" x14ac:dyDescent="0.2">
      <c r="A1047" s="120"/>
      <c r="B1047" s="16">
        <f>HEX2DEC("01")</f>
        <v>1</v>
      </c>
      <c r="C1047" s="17" t="str">
        <f t="array" ref="C1047">INDEX(Moves!$B$2:'Moves'!$B$177, SUM(HEX2DEC("A4"),1), 1)</f>
        <v>Tail Whip</v>
      </c>
      <c r="D1047" s="16">
        <f t="shared" si="85"/>
        <v>1</v>
      </c>
      <c r="E1047" s="17" t="str">
        <f t="array" ref="E1047">INDEX(Moves!$B$2:'Moves'!$B$177, SUM(HEX2DEC("A4"),1), 1)</f>
        <v>Tail Whip</v>
      </c>
      <c r="F1047" s="11">
        <v>8</v>
      </c>
      <c r="G1047" s="20" t="str">
        <f>VLOOKUP(F1047, TMHM!$B$10:$C1519, 2, FALSE)</f>
        <v>Charm</v>
      </c>
      <c r="H1047" s="21"/>
      <c r="I1047" s="25"/>
      <c r="J1047" s="30"/>
    </row>
    <row r="1048" spans="1:10" x14ac:dyDescent="0.2">
      <c r="A1048" s="120"/>
      <c r="B1048" s="34"/>
      <c r="C1048" s="35"/>
      <c r="D1048" s="34">
        <f t="shared" si="85"/>
        <v>1</v>
      </c>
      <c r="E1048" s="35" t="s">
        <v>154</v>
      </c>
      <c r="F1048" s="11">
        <v>9</v>
      </c>
      <c r="G1048" s="20" t="str">
        <f>VLOOKUP(F1048, TMHM!$B$10:$C1519, 2, FALSE)</f>
        <v>Snore</v>
      </c>
      <c r="H1048" s="21"/>
      <c r="I1048" s="25"/>
      <c r="J1048" s="30"/>
    </row>
    <row r="1049" spans="1:10" x14ac:dyDescent="0.2">
      <c r="A1049" s="120"/>
      <c r="B1049" s="34"/>
      <c r="C1049" s="35"/>
      <c r="D1049" s="34">
        <f t="shared" si="85"/>
        <v>1</v>
      </c>
      <c r="E1049" s="35" t="s">
        <v>48</v>
      </c>
      <c r="F1049" s="11">
        <v>15</v>
      </c>
      <c r="G1049" s="20" t="str">
        <f>VLOOKUP(F1049, TMHM!$B$10:$C1519, 2, FALSE)</f>
        <v>Hyper Beam</v>
      </c>
      <c r="H1049" s="21"/>
      <c r="I1049" s="25"/>
      <c r="J1049" s="30"/>
    </row>
    <row r="1050" spans="1:10" x14ac:dyDescent="0.2">
      <c r="A1050" s="120"/>
      <c r="B1050" s="48">
        <f>HEX2DEC("0D")</f>
        <v>13</v>
      </c>
      <c r="C1050" s="23" t="str">
        <f t="array" ref="C1050">INDEX(Moves!$B$2:'Moves'!$B$177, SUM(HEX2DEC("50"),1), 1)</f>
        <v>Low Kick</v>
      </c>
      <c r="D1050" s="48">
        <f>HEX2DEC("0D")</f>
        <v>13</v>
      </c>
      <c r="E1050" s="23" t="s">
        <v>154</v>
      </c>
      <c r="F1050" s="11">
        <v>18</v>
      </c>
      <c r="G1050" s="20" t="str">
        <f>VLOOKUP(F1050, TMHM!$B$10:$C1519, 2, FALSE)</f>
        <v>AncientPower</v>
      </c>
      <c r="H1050" s="21"/>
      <c r="I1050" s="25"/>
      <c r="J1050" s="30"/>
    </row>
    <row r="1051" spans="1:10" x14ac:dyDescent="0.2">
      <c r="A1051" s="120"/>
      <c r="B1051" s="48">
        <f>HEX2DEC("13")</f>
        <v>19</v>
      </c>
      <c r="C1051" s="23" t="str">
        <f t="array" ref="C1051">INDEX(Moves!$B$2:'Moves'!$B$177, SUM(HEX2DEC("96"),1), 1)</f>
        <v>Double-Edge</v>
      </c>
      <c r="D1051" s="48">
        <f>HEX2DEC("13")</f>
        <v>19</v>
      </c>
      <c r="E1051" s="23" t="s">
        <v>48</v>
      </c>
      <c r="F1051" s="11">
        <v>23</v>
      </c>
      <c r="G1051" s="20" t="str">
        <f>VLOOKUP(F1051, TMHM!$B$10:$C1519, 2, FALSE)</f>
        <v>Iron Tail</v>
      </c>
      <c r="H1051" s="21"/>
      <c r="I1051" s="25"/>
      <c r="J1051" s="30"/>
    </row>
    <row r="1052" spans="1:10" x14ac:dyDescent="0.2">
      <c r="A1052" s="120"/>
      <c r="B1052" s="48">
        <f>HEX2DEC("1F")</f>
        <v>31</v>
      </c>
      <c r="C1052" s="23" t="str">
        <f t="array" ref="C1052">INDEX(Moves!$B$2:'Moves'!$B$177, SUM(HEX2DEC("A2"),1), 1)</f>
        <v>Defense Curl</v>
      </c>
      <c r="D1052" s="48">
        <f>HEX2DEC("1F")</f>
        <v>31</v>
      </c>
      <c r="E1052" s="23" t="s">
        <v>27</v>
      </c>
      <c r="F1052" s="11">
        <v>28</v>
      </c>
      <c r="G1052" s="20" t="str">
        <f>VLOOKUP(F1052, TMHM!$B$10:$C1519, 2, FALSE)</f>
        <v>Dig</v>
      </c>
      <c r="H1052" s="21"/>
      <c r="I1052" s="25"/>
      <c r="J1052" s="30"/>
    </row>
    <row r="1053" spans="1:10" x14ac:dyDescent="0.2">
      <c r="A1053" s="120"/>
      <c r="B1053" s="16">
        <f>HEX2DEC("25")</f>
        <v>37</v>
      </c>
      <c r="C1053" s="17" t="str">
        <f t="array" ref="C1053">INDEX(Moves!$B$2:'Moves'!$B$177, SUM(HEX2DEC("9A"),1), 1)</f>
        <v>Horn Drill</v>
      </c>
      <c r="D1053" s="16">
        <f>HEX2DEC("25")</f>
        <v>37</v>
      </c>
      <c r="E1053" s="17" t="str">
        <f t="array" ref="E1053">INDEX(Moves!$B$2:'Moves'!$B$177, SUM(HEX2DEC("9A"),1), 1)</f>
        <v>Horn Drill</v>
      </c>
      <c r="F1053" s="11">
        <v>35</v>
      </c>
      <c r="G1053" s="20" t="str">
        <f>VLOOKUP(F1053, TMHM!$B$10:$C1519, 2, FALSE)</f>
        <v>Harden</v>
      </c>
      <c r="H1053" s="21"/>
      <c r="I1053" s="25"/>
      <c r="J1053" s="30"/>
    </row>
    <row r="1054" spans="1:10" x14ac:dyDescent="0.2">
      <c r="A1054" s="120"/>
      <c r="B1054" s="48">
        <f>HEX2DEC("36")</f>
        <v>54</v>
      </c>
      <c r="C1054" s="23" t="str">
        <f t="array" ref="C1054">INDEX(Moves!$B$2:'Moves'!$B$177, SUM(HEX2DEC("91"),1), 1)</f>
        <v>Horn Attack</v>
      </c>
      <c r="D1054" s="48">
        <f>HEX2DEC("31")</f>
        <v>49</v>
      </c>
      <c r="E1054" s="23" t="s">
        <v>124</v>
      </c>
      <c r="F1054" s="11">
        <v>39</v>
      </c>
      <c r="G1054" s="20" t="str">
        <f>VLOOKUP(F1054, TMHM!$B$10:$C1519, 2, FALSE)</f>
        <v>Rock Tomb</v>
      </c>
      <c r="H1054" s="21"/>
      <c r="I1054" s="25"/>
      <c r="J1054" s="30"/>
    </row>
    <row r="1055" spans="1:10" x14ac:dyDescent="0.2">
      <c r="A1055" s="120"/>
      <c r="B1055" s="16">
        <f>HEX2DEC("41")</f>
        <v>65</v>
      </c>
      <c r="C1055" s="17" t="str">
        <f t="array" ref="C1055">INDEX(Moves!$B$2:'Moves'!$B$177, SUM(HEX2DEC("34"),1), 1)</f>
        <v>Earthquake</v>
      </c>
      <c r="D1055" s="16">
        <f>HEX2DEC("37")</f>
        <v>55</v>
      </c>
      <c r="E1055" s="17" t="str">
        <f t="array" ref="E1055">INDEX(Moves!$B$2:'Moves'!$B$177, SUM(HEX2DEC("34"),1), 1)</f>
        <v>Earthquake</v>
      </c>
      <c r="F1055" s="11"/>
      <c r="H1055" s="21"/>
      <c r="I1055" s="25"/>
      <c r="J1055" s="30"/>
    </row>
    <row r="1056" spans="1:10" x14ac:dyDescent="0.2">
      <c r="A1056" s="121" t="s">
        <v>220</v>
      </c>
      <c r="B1056" s="64">
        <f>HEX2DEC("00")</f>
        <v>0</v>
      </c>
      <c r="C1056" s="65" t="str">
        <f t="array" ref="C1056">INDEX(Moves!$B$2:'Moves'!$B$177, SUM(HEX2DEC("89"),1), 1)</f>
        <v>Tackle</v>
      </c>
      <c r="D1056" s="64">
        <f>HEX2DEC("01")</f>
        <v>1</v>
      </c>
      <c r="E1056" s="65" t="s">
        <v>84</v>
      </c>
      <c r="F1056" s="41">
        <v>5</v>
      </c>
      <c r="G1056" s="12" t="str">
        <f>VLOOKUP(F1056, TMHM!$B$10:$C1519, 2, FALSE)</f>
        <v>Roar</v>
      </c>
      <c r="H1056" s="13">
        <v>4</v>
      </c>
      <c r="I1056" s="14" t="str">
        <f>VLOOKUP(H1056, TMHM!$B$2:$C$7, 2, FALSE)</f>
        <v>Strength</v>
      </c>
      <c r="J1056" s="30"/>
    </row>
    <row r="1057" spans="1:10" x14ac:dyDescent="0.2">
      <c r="A1057" s="120"/>
      <c r="B1057" s="16">
        <f>HEX2DEC("05")</f>
        <v>5</v>
      </c>
      <c r="C1057" s="17" t="str">
        <f t="array" ref="C1057">INDEX(Moves!$B$2:'Moves'!$B$177, SUM(HEX2DEC("A0"),1), 1)</f>
        <v>Growl</v>
      </c>
      <c r="D1057" s="16">
        <f>HEX2DEC("05")</f>
        <v>5</v>
      </c>
      <c r="E1057" s="17" t="str">
        <f t="array" ref="E1057">INDEX(Moves!$B$2:'Moves'!$B$177, SUM(HEX2DEC("A0"),1), 1)</f>
        <v>Growl</v>
      </c>
      <c r="F1057" s="11">
        <v>7</v>
      </c>
      <c r="G1057" s="20" t="str">
        <f>VLOOKUP(F1057, TMHM!$B$10:$C1519, 2, FALSE)</f>
        <v>Secret Power</v>
      </c>
      <c r="H1057" s="21">
        <v>5</v>
      </c>
      <c r="I1057" s="20" t="str">
        <f>VLOOKUP(H1057, TMHM!$B$2:$C$7, 2, FALSE)</f>
        <v>Flash</v>
      </c>
      <c r="J1057" s="30"/>
    </row>
    <row r="1058" spans="1:10" x14ac:dyDescent="0.2">
      <c r="A1058" s="120"/>
      <c r="B1058" s="16">
        <f>HEX2DEC("09")</f>
        <v>9</v>
      </c>
      <c r="C1058" s="17" t="str">
        <f t="array" ref="C1058">INDEX(Moves!$B$2:'Moves'!$B$177, SUM(HEX2DEC("A4"),1), 1)</f>
        <v>Tail Whip</v>
      </c>
      <c r="D1058" s="16">
        <f>HEX2DEC("09")</f>
        <v>9</v>
      </c>
      <c r="E1058" s="17" t="str">
        <f t="array" ref="E1058">INDEX(Moves!$B$2:'Moves'!$B$177, SUM(HEX2DEC("A4"),1), 1)</f>
        <v>Tail Whip</v>
      </c>
      <c r="F1058" s="11">
        <v>8</v>
      </c>
      <c r="G1058" s="20" t="str">
        <f>VLOOKUP(F1058, TMHM!$B$10:$C1519, 2, FALSE)</f>
        <v>Charm</v>
      </c>
      <c r="H1058" s="21"/>
      <c r="I1058" s="25"/>
      <c r="J1058" s="30"/>
    </row>
    <row r="1059" spans="1:10" x14ac:dyDescent="0.2">
      <c r="A1059" s="120"/>
      <c r="B1059" s="48">
        <f>HEX2DEC("0D")</f>
        <v>13</v>
      </c>
      <c r="C1059" s="23" t="str">
        <f t="array" ref="C1059">INDEX(Moves!$B$2:'Moves'!$B$177, SUM(HEX2DEC("1E"),1), 1)</f>
        <v>Giga Drain</v>
      </c>
      <c r="D1059" s="48">
        <f>HEX2DEC("0D")</f>
        <v>13</v>
      </c>
      <c r="E1059" s="23" t="s">
        <v>221</v>
      </c>
      <c r="F1059" s="11">
        <v>9</v>
      </c>
      <c r="G1059" s="20" t="str">
        <f>VLOOKUP(F1059, TMHM!$B$10:$C1519, 2, FALSE)</f>
        <v>Snore</v>
      </c>
      <c r="H1059" s="21"/>
      <c r="I1059" s="25"/>
      <c r="J1059" s="30"/>
    </row>
    <row r="1060" spans="1:10" x14ac:dyDescent="0.2">
      <c r="A1060" s="120"/>
      <c r="B1060" s="48">
        <f>HEX2DEC("11")</f>
        <v>17</v>
      </c>
      <c r="C1060" s="23" t="str">
        <f t="array" ref="C1060">INDEX(Moves!$B$2:'Moves'!$B$177, SUM(HEX2DEC("AA"),1), 1)</f>
        <v>Encore</v>
      </c>
      <c r="D1060" s="48">
        <f>HEX2DEC("11")</f>
        <v>17</v>
      </c>
      <c r="E1060" s="23" t="s">
        <v>85</v>
      </c>
      <c r="F1060" s="11">
        <v>15</v>
      </c>
      <c r="G1060" s="20" t="str">
        <f>VLOOKUP(F1060, TMHM!$B$10:$C1519, 2, FALSE)</f>
        <v>Hyper Beam</v>
      </c>
      <c r="H1060" s="21"/>
      <c r="I1060" s="25"/>
      <c r="J1060" s="30"/>
    </row>
    <row r="1061" spans="1:10" x14ac:dyDescent="0.2">
      <c r="A1061" s="120"/>
      <c r="B1061" s="48">
        <f>HEX2DEC("17")</f>
        <v>23</v>
      </c>
      <c r="C1061" s="23" t="str">
        <f t="array" ref="C1061">INDEX(Moves!$B$2:'Moves'!$B$177, SUM(HEX2DEC("A1"),1), 1)</f>
        <v>Charm</v>
      </c>
      <c r="D1061" s="48">
        <f>HEX2DEC("17")</f>
        <v>23</v>
      </c>
      <c r="E1061" s="23" t="s">
        <v>86</v>
      </c>
      <c r="F1061" s="11">
        <v>21</v>
      </c>
      <c r="G1061" s="20" t="str">
        <f>VLOOKUP(F1061, TMHM!$B$10:$C1519, 2, FALSE)</f>
        <v>Recover</v>
      </c>
      <c r="H1061" s="21"/>
      <c r="I1061" s="25"/>
      <c r="J1061" s="30"/>
    </row>
    <row r="1062" spans="1:10" x14ac:dyDescent="0.2">
      <c r="A1062" s="120"/>
      <c r="B1062" s="16">
        <f>HEX2DEC("1D")</f>
        <v>29</v>
      </c>
      <c r="C1062" s="17" t="str">
        <f t="array" ref="C1062">INDEX(Moves!$B$2:'Moves'!$B$177, SUM(HEX2DEC("9C"),1), 1)</f>
        <v>Sing</v>
      </c>
      <c r="D1062" s="16">
        <f>HEX2DEC("1D")</f>
        <v>29</v>
      </c>
      <c r="E1062" s="17" t="str">
        <f t="array" ref="E1062">INDEX(Moves!$B$2:'Moves'!$B$177, SUM(HEX2DEC("9C"),1), 1)</f>
        <v>Sing</v>
      </c>
      <c r="F1062" s="11">
        <v>32</v>
      </c>
      <c r="G1062" s="20" t="str">
        <f>VLOOKUP(F1062, TMHM!$B$10:$C1519, 2, FALSE)</f>
        <v>Double Team</v>
      </c>
      <c r="H1062" s="21"/>
      <c r="I1062" s="25"/>
      <c r="J1062" s="30"/>
    </row>
    <row r="1063" spans="1:10" x14ac:dyDescent="0.2">
      <c r="A1063" s="120"/>
      <c r="B1063" s="48">
        <f>HEX2DEC("23")</f>
        <v>35</v>
      </c>
      <c r="C1063" s="23" t="str">
        <f t="array" ref="C1063">INDEX(Moves!$B$2:'Moves'!$B$177, SUM(HEX2DEC("93"),1), 1)</f>
        <v>Secret Power</v>
      </c>
      <c r="D1063" s="48">
        <f>HEX2DEC("23")</f>
        <v>35</v>
      </c>
      <c r="E1063" s="23" t="s">
        <v>201</v>
      </c>
      <c r="F1063" s="11">
        <v>35</v>
      </c>
      <c r="G1063" s="20" t="str">
        <f>VLOOKUP(F1063, TMHM!$B$10:$C1519, 2, FALSE)</f>
        <v>Harden</v>
      </c>
      <c r="H1063" s="21"/>
      <c r="I1063" s="25"/>
      <c r="J1063" s="30"/>
    </row>
    <row r="1064" spans="1:10" x14ac:dyDescent="0.2">
      <c r="A1064" s="120"/>
      <c r="B1064" s="50">
        <f>HEX2DEC("29")</f>
        <v>41</v>
      </c>
      <c r="C1064" s="51" t="str">
        <f t="array" ref="C1064">INDEX(Moves!$B$2:'Moves'!$B$177, SUM(HEX2DEC("A3"),1), 1)</f>
        <v>Harden</v>
      </c>
      <c r="D1064" s="50">
        <f>HEX2DEC("29")</f>
        <v>41</v>
      </c>
      <c r="E1064" s="51" t="s">
        <v>222</v>
      </c>
      <c r="F1064" s="11"/>
      <c r="H1064" s="21"/>
      <c r="I1064" s="25"/>
      <c r="J1064" s="30"/>
    </row>
    <row r="1065" spans="1:10" x14ac:dyDescent="0.2">
      <c r="A1065" s="120"/>
      <c r="B1065" s="48">
        <f>HEX2DEC("31")</f>
        <v>49</v>
      </c>
      <c r="C1065" s="23" t="str">
        <f t="array" ref="C1065">INDEX(Moves!$B$2:'Moves'!$B$177, SUM(HEX2DEC("A2"),1), 1)</f>
        <v>Defense Curl</v>
      </c>
      <c r="D1065" s="48">
        <f>HEX2DEC("31")</f>
        <v>49</v>
      </c>
      <c r="E1065" s="23" t="s">
        <v>68</v>
      </c>
      <c r="F1065" s="11"/>
      <c r="H1065" s="21"/>
      <c r="I1065" s="25"/>
      <c r="J1065" s="30"/>
    </row>
    <row r="1066" spans="1:10" x14ac:dyDescent="0.2">
      <c r="A1066" s="120"/>
      <c r="B1066" s="16">
        <f>HEX2DEC("39")</f>
        <v>57</v>
      </c>
      <c r="C1066" s="17" t="str">
        <f t="array" ref="C1066">INDEX(Moves!$B$2:'Moves'!$B$177, SUM(HEX2DEC("96"),1), 1)</f>
        <v>Double-Edge</v>
      </c>
      <c r="D1066" s="16">
        <f>HEX2DEC("39")</f>
        <v>57</v>
      </c>
      <c r="E1066" s="17" t="str">
        <f t="array" ref="E1066">INDEX(Moves!$B$2:'Moves'!$B$177, SUM(HEX2DEC("96"),1), 1)</f>
        <v>Double-Edge</v>
      </c>
      <c r="F1066" s="11"/>
      <c r="H1066" s="21"/>
      <c r="I1066" s="25"/>
      <c r="J1066" s="30"/>
    </row>
    <row r="1067" spans="1:10" x14ac:dyDescent="0.2">
      <c r="A1067" s="121" t="s">
        <v>223</v>
      </c>
      <c r="B1067" s="61">
        <f>HEX2DEC("00")</f>
        <v>0</v>
      </c>
      <c r="C1067" s="62" t="str">
        <f t="array" ref="C1067">INDEX(Moves!$B$2:'Moves'!$B$177, SUM(HEX2DEC("89"),1), 1)</f>
        <v>Tackle</v>
      </c>
      <c r="D1067" s="61">
        <f>HEX2DEC("01")</f>
        <v>1</v>
      </c>
      <c r="E1067" s="62" t="s">
        <v>146</v>
      </c>
      <c r="F1067" s="41">
        <v>1</v>
      </c>
      <c r="G1067" s="12" t="str">
        <f>VLOOKUP(F1067, TMHM!$B$10:$C1519, 2, FALSE)</f>
        <v>Focus Punch</v>
      </c>
      <c r="H1067" s="13">
        <v>1</v>
      </c>
      <c r="I1067" s="14" t="str">
        <f>VLOOKUP(H1067, TMHM!$B$2:$C$7, 2, FALSE)</f>
        <v>Cut</v>
      </c>
      <c r="J1067" s="30"/>
    </row>
    <row r="1068" spans="1:10" x14ac:dyDescent="0.2">
      <c r="A1068" s="120"/>
      <c r="B1068" s="16">
        <f>HEX2DEC("04")</f>
        <v>4</v>
      </c>
      <c r="C1068" s="17" t="str">
        <f t="array" ref="C1068">INDEX(Moves!$B$2:'Moves'!$B$177, SUM(HEX2DEC("26"),1), 1)</f>
        <v>Sleep Powder</v>
      </c>
      <c r="D1068" s="16">
        <f>HEX2DEC("04")</f>
        <v>4</v>
      </c>
      <c r="E1068" s="17" t="str">
        <f t="array" ref="E1068">INDEX(Moves!$B$2:'Moves'!$B$177, SUM(HEX2DEC("26"),1), 1)</f>
        <v>Sleep Powder</v>
      </c>
      <c r="F1068" s="11">
        <v>6</v>
      </c>
      <c r="G1068" s="20" t="str">
        <f>VLOOKUP(F1068, TMHM!$B$10:$C1519, 2, FALSE)</f>
        <v>Toxic</v>
      </c>
      <c r="H1068" s="21">
        <v>5</v>
      </c>
      <c r="I1068" s="20" t="str">
        <f>VLOOKUP(H1068, TMHM!$B$2:$C$7, 2, FALSE)</f>
        <v>Flash</v>
      </c>
      <c r="J1068" s="30"/>
    </row>
    <row r="1069" spans="1:10" x14ac:dyDescent="0.2">
      <c r="A1069" s="120"/>
      <c r="B1069" s="16">
        <f>HEX2DEC("0A")</f>
        <v>10</v>
      </c>
      <c r="C1069" s="17" t="str">
        <f t="array" ref="C1069">INDEX(Moves!$B$2:'Moves'!$B$177, SUM(HEX2DEC("1C"),1), 1)</f>
        <v>Absorb</v>
      </c>
      <c r="D1069" s="16">
        <f>HEX2DEC("0A")</f>
        <v>10</v>
      </c>
      <c r="E1069" s="17" t="str">
        <f t="array" ref="E1069">INDEX(Moves!$B$2:'Moves'!$B$177, SUM(HEX2DEC("1C"),1), 1)</f>
        <v>Absorb</v>
      </c>
      <c r="F1069" s="11">
        <v>7</v>
      </c>
      <c r="G1069" s="20" t="str">
        <f>VLOOKUP(F1069, TMHM!$B$10:$C1519, 2, FALSE)</f>
        <v>Secret Power</v>
      </c>
      <c r="H1069" s="21"/>
      <c r="I1069" s="25"/>
      <c r="J1069" s="30"/>
    </row>
    <row r="1070" spans="1:10" x14ac:dyDescent="0.2">
      <c r="A1070" s="120"/>
      <c r="B1070" s="16">
        <f>HEX2DEC("0D")</f>
        <v>13</v>
      </c>
      <c r="C1070" s="17" t="str">
        <f t="array" ref="C1070">INDEX(Moves!$B$2:'Moves'!$B$177, SUM(HEX2DEC("4B"),1), 1)</f>
        <v>PoisonPowder</v>
      </c>
      <c r="D1070" s="16">
        <f>HEX2DEC("0D")</f>
        <v>13</v>
      </c>
      <c r="E1070" s="17" t="str">
        <f t="array" ref="E1070">INDEX(Moves!$B$2:'Moves'!$B$177, SUM(HEX2DEC("4B"),1), 1)</f>
        <v>PoisonPowder</v>
      </c>
      <c r="F1070" s="11">
        <v>17</v>
      </c>
      <c r="G1070" s="20" t="str">
        <f>VLOOKUP(F1070, TMHM!$B$10:$C1519, 2, FALSE)</f>
        <v>SmokeScreen</v>
      </c>
      <c r="H1070" s="21"/>
      <c r="I1070" s="25"/>
      <c r="J1070" s="30"/>
    </row>
    <row r="1071" spans="1:10" x14ac:dyDescent="0.2">
      <c r="A1071" s="120"/>
      <c r="B1071" s="16">
        <f>HEX2DEC("13")</f>
        <v>19</v>
      </c>
      <c r="C1071" s="17" t="str">
        <f t="array" ref="C1071">INDEX(Moves!$B$2:'Moves'!$B$177, SUM(HEX2DEC("1F"),1), 1)</f>
        <v>Vine Whip</v>
      </c>
      <c r="D1071" s="16">
        <f>HEX2DEC("13")</f>
        <v>19</v>
      </c>
      <c r="E1071" s="17" t="str">
        <f t="array" ref="E1071">INDEX(Moves!$B$2:'Moves'!$B$177, SUM(HEX2DEC("1F"),1), 1)</f>
        <v>Vine Whip</v>
      </c>
      <c r="F1071" s="11">
        <v>19</v>
      </c>
      <c r="G1071" s="20" t="str">
        <f>VLOOKUP(F1071, TMHM!$B$10:$C1519, 2, FALSE)</f>
        <v>Giga Drain</v>
      </c>
      <c r="H1071" s="21"/>
      <c r="I1071" s="25"/>
      <c r="J1071" s="30"/>
    </row>
    <row r="1072" spans="1:10" x14ac:dyDescent="0.2">
      <c r="A1072" s="120"/>
      <c r="B1072" s="48">
        <f>HEX2DEC("19")</f>
        <v>25</v>
      </c>
      <c r="C1072" s="23" t="str">
        <f t="array" ref="C1072">INDEX(Moves!$B$2:'Moves'!$B$177, SUM(HEX2DEC("22"),1), 1)</f>
        <v>Leaf Blade</v>
      </c>
      <c r="D1072" s="48">
        <f>HEX2DEC("19")</f>
        <v>25</v>
      </c>
      <c r="E1072" s="23" t="s">
        <v>185</v>
      </c>
      <c r="F1072" s="11">
        <v>21</v>
      </c>
      <c r="G1072" s="20" t="str">
        <f>VLOOKUP(F1072, TMHM!$B$10:$C1519, 2, FALSE)</f>
        <v>Recover</v>
      </c>
      <c r="H1072" s="21"/>
      <c r="I1072" s="25"/>
      <c r="J1072" s="30"/>
    </row>
    <row r="1073" spans="1:10" x14ac:dyDescent="0.2">
      <c r="A1073" s="120"/>
      <c r="B1073" s="50">
        <f>HEX2DEC("1F")</f>
        <v>31</v>
      </c>
      <c r="C1073" s="51" t="str">
        <f t="array" ref="C1073">INDEX(Moves!$B$2:'Moves'!$B$177, SUM(HEX2DEC("1E"),1), 1)</f>
        <v>Giga Drain</v>
      </c>
      <c r="D1073" s="50">
        <f>HEX2DEC("1F")</f>
        <v>31</v>
      </c>
      <c r="E1073" s="51" t="s">
        <v>224</v>
      </c>
      <c r="F1073" s="11">
        <v>22</v>
      </c>
      <c r="G1073" s="20" t="str">
        <f>VLOOKUP(F1073, TMHM!$B$10:$C1519, 2, FALSE)</f>
        <v>SolarBeam</v>
      </c>
      <c r="H1073" s="21"/>
      <c r="I1073" s="25"/>
      <c r="J1073" s="30"/>
    </row>
    <row r="1074" spans="1:10" x14ac:dyDescent="0.2">
      <c r="A1074" s="120"/>
      <c r="B1074" s="16">
        <f>HEX2DEC("22")</f>
        <v>34</v>
      </c>
      <c r="C1074" s="17" t="str">
        <f t="array" ref="C1074">INDEX(Moves!$B$2:'Moves'!$B$177, SUM(HEX2DEC("28"),1), 1)</f>
        <v>Stun Spore</v>
      </c>
      <c r="D1074" s="16">
        <f>HEX2DEC("22")</f>
        <v>34</v>
      </c>
      <c r="E1074" s="17" t="str">
        <f t="array" ref="E1074">INDEX(Moves!$B$2:'Moves'!$B$177, SUM(HEX2DEC("28"),1), 1)</f>
        <v>Stun Spore</v>
      </c>
      <c r="F1074" s="11">
        <v>33</v>
      </c>
      <c r="G1074" s="20" t="str">
        <f>VLOOKUP(F1074, TMHM!$B$10:$C1519, 2, FALSE)</f>
        <v>Razor Leaf</v>
      </c>
      <c r="H1074" s="21"/>
      <c r="I1074" s="25"/>
      <c r="J1074" s="30"/>
    </row>
    <row r="1075" spans="1:10" x14ac:dyDescent="0.2">
      <c r="A1075" s="120"/>
      <c r="B1075" s="48">
        <f>HEX2DEC("28")</f>
        <v>40</v>
      </c>
      <c r="C1075" s="23" t="str">
        <f t="array" ref="C1075">INDEX(Moves!$B$2:'Moves'!$B$177, SUM(HEX2DEC("A9"),1), 1)</f>
        <v>Recover</v>
      </c>
      <c r="D1075" s="48">
        <f>HEX2DEC("28")</f>
        <v>40</v>
      </c>
      <c r="E1075" s="23" t="s">
        <v>67</v>
      </c>
      <c r="F1075" s="11"/>
      <c r="H1075" s="21"/>
      <c r="I1075" s="25"/>
      <c r="J1075" s="30"/>
    </row>
    <row r="1076" spans="1:10" x14ac:dyDescent="0.2">
      <c r="A1076" s="120"/>
      <c r="B1076" s="48">
        <f>HEX2DEC("2E")</f>
        <v>46</v>
      </c>
      <c r="C1076" s="23" t="str">
        <f t="array" ref="C1076">INDEX(Moves!$B$2:'Moves'!$B$177, SUM(HEX2DEC("24"),1), 1)</f>
        <v>Frenzy Plant</v>
      </c>
      <c r="D1076" s="48">
        <f>HEX2DEC("2E")</f>
        <v>46</v>
      </c>
      <c r="E1076" s="23" t="s">
        <v>19</v>
      </c>
      <c r="F1076" s="11"/>
      <c r="H1076" s="21"/>
      <c r="I1076" s="25"/>
      <c r="J1076" s="30"/>
    </row>
    <row r="1077" spans="1:10" x14ac:dyDescent="0.2">
      <c r="A1077" s="121" t="s">
        <v>225</v>
      </c>
      <c r="B1077" s="61">
        <f>HEX2DEC("00")</f>
        <v>0</v>
      </c>
      <c r="C1077" s="62" t="str">
        <f t="array" ref="C1077">INDEX(Moves!$B$2:'Moves'!$B$177, SUM(HEX2DEC("4E"),1), 1)</f>
        <v>Mach Punch</v>
      </c>
      <c r="D1077" s="61">
        <f>HEX2DEC("01")</f>
        <v>1</v>
      </c>
      <c r="E1077" s="62" t="s">
        <v>210</v>
      </c>
      <c r="F1077" s="41">
        <v>7</v>
      </c>
      <c r="G1077" s="12" t="str">
        <f>VLOOKUP(F1077, TMHM!$B$10:$C1519, 2, FALSE)</f>
        <v>Secret Power</v>
      </c>
      <c r="H1077" s="13">
        <v>4</v>
      </c>
      <c r="I1077" s="14" t="str">
        <f>VLOOKUP(H1077, TMHM!$B$2:$C$7, 2, FALSE)</f>
        <v>Strength</v>
      </c>
      <c r="J1077" s="30"/>
    </row>
    <row r="1078" spans="1:10" x14ac:dyDescent="0.2">
      <c r="A1078" s="120"/>
      <c r="B1078" s="48">
        <f>HEX2DEC("07")</f>
        <v>7</v>
      </c>
      <c r="C1078" s="23" t="str">
        <f t="array" ref="C1078">INDEX(Moves!$B$2:'Moves'!$B$177, SUM(HEX2DEC("A6"),1), 1)</f>
        <v>SmokeScreen</v>
      </c>
      <c r="D1078" s="48">
        <f>HEX2DEC("07")</f>
        <v>7</v>
      </c>
      <c r="E1078" s="23" t="s">
        <v>59</v>
      </c>
      <c r="F1078" s="11">
        <v>8</v>
      </c>
      <c r="G1078" s="20" t="str">
        <f>VLOOKUP(F1078, TMHM!$B$10:$C1519, 2, FALSE)</f>
        <v>Charm</v>
      </c>
      <c r="H1078" s="21"/>
      <c r="I1078" s="25"/>
      <c r="J1078" s="30"/>
    </row>
    <row r="1079" spans="1:10" x14ac:dyDescent="0.2">
      <c r="A1079" s="120"/>
      <c r="B1079" s="16">
        <f>HEX2DEC("0D")</f>
        <v>13</v>
      </c>
      <c r="C1079" s="17" t="str">
        <f t="array" ref="C1079">INDEX(Moves!$B$2:'Moves'!$B$177, SUM(HEX2DEC("80"),1), 1)</f>
        <v>Bite</v>
      </c>
      <c r="D1079" s="16">
        <f>HEX2DEC("0D")</f>
        <v>13</v>
      </c>
      <c r="E1079" s="17" t="str">
        <f t="array" ref="E1079">INDEX(Moves!$B$2:'Moves'!$B$177, SUM(HEX2DEC("80"),1), 1)</f>
        <v>Bite</v>
      </c>
      <c r="F1079" s="11">
        <v>9</v>
      </c>
      <c r="G1079" s="20" t="str">
        <f>VLOOKUP(F1079, TMHM!$B$10:$C1519, 2, FALSE)</f>
        <v>Snore</v>
      </c>
      <c r="H1079" s="21"/>
      <c r="I1079" s="25"/>
      <c r="J1079" s="30"/>
    </row>
    <row r="1080" spans="1:10" x14ac:dyDescent="0.2">
      <c r="A1080" s="120"/>
      <c r="B1080" s="16">
        <f>HEX2DEC("13")</f>
        <v>19</v>
      </c>
      <c r="C1080" s="17" t="str">
        <f t="array" ref="C1080">INDEX(Moves!$B$2:'Moves'!$B$177, SUM(HEX2DEC("A4"),1), 1)</f>
        <v>Tail Whip</v>
      </c>
      <c r="D1080" s="16">
        <f>HEX2DEC("13")</f>
        <v>19</v>
      </c>
      <c r="E1080" s="17" t="str">
        <f t="array" ref="E1080">INDEX(Moves!$B$2:'Moves'!$B$177, SUM(HEX2DEC("A4"),1), 1)</f>
        <v>Tail Whip</v>
      </c>
      <c r="F1080" s="11">
        <v>15</v>
      </c>
      <c r="G1080" s="20" t="str">
        <f>VLOOKUP(F1080, TMHM!$B$10:$C1519, 2, FALSE)</f>
        <v>Hyper Beam</v>
      </c>
      <c r="H1080" s="21"/>
      <c r="I1080" s="25"/>
      <c r="J1080" s="30"/>
    </row>
    <row r="1081" spans="1:10" x14ac:dyDescent="0.2">
      <c r="A1081" s="120"/>
      <c r="B1081" s="48">
        <f>HEX2DEC("19")</f>
        <v>25</v>
      </c>
      <c r="C1081" s="23" t="str">
        <f t="array" ref="C1081">INDEX(Moves!$B$2:'Moves'!$B$177, SUM(HEX2DEC("4F"),1), 1)</f>
        <v>Karate Chop</v>
      </c>
      <c r="D1081" s="48">
        <f>HEX2DEC("19")</f>
        <v>25</v>
      </c>
      <c r="E1081" s="23" t="s">
        <v>211</v>
      </c>
      <c r="F1081" s="11">
        <v>18</v>
      </c>
      <c r="G1081" s="20" t="str">
        <f>VLOOKUP(F1081, TMHM!$B$10:$C1519, 2, FALSE)</f>
        <v>AncientPower</v>
      </c>
      <c r="H1081" s="21"/>
      <c r="I1081" s="25"/>
      <c r="J1081" s="30"/>
    </row>
    <row r="1082" spans="1:10" x14ac:dyDescent="0.2">
      <c r="A1082" s="120"/>
      <c r="B1082" s="48">
        <f>HEX2DEC("1F")</f>
        <v>31</v>
      </c>
      <c r="C1082" s="23" t="str">
        <f t="array" ref="C1082">INDEX(Moves!$B$2:'Moves'!$B$177, SUM(HEX2DEC("7C"),1), 1)</f>
        <v>Outrage</v>
      </c>
      <c r="D1082" s="48">
        <f>HEX2DEC("1F")</f>
        <v>31</v>
      </c>
      <c r="E1082" s="23" t="s">
        <v>26</v>
      </c>
      <c r="F1082" s="11">
        <v>23</v>
      </c>
      <c r="G1082" s="20" t="str">
        <f>VLOOKUP(F1082, TMHM!$B$10:$C1519, 2, FALSE)</f>
        <v>Iron Tail</v>
      </c>
      <c r="H1082" s="21"/>
      <c r="I1082" s="25"/>
      <c r="J1082" s="30"/>
    </row>
    <row r="1083" spans="1:10" x14ac:dyDescent="0.2">
      <c r="A1083" s="120"/>
      <c r="B1083" s="48">
        <f>HEX2DEC("25")</f>
        <v>37</v>
      </c>
      <c r="C1083" s="23" t="str">
        <f t="array" ref="C1083">INDEX(Moves!$B$2:'Moves'!$B$177, SUM(HEX2DEC("3A"),1), 1)</f>
        <v>AncientPower</v>
      </c>
      <c r="D1083" s="48">
        <f>HEX2DEC("25")</f>
        <v>37</v>
      </c>
      <c r="E1083" s="23" t="s">
        <v>206</v>
      </c>
      <c r="F1083" s="11">
        <v>26</v>
      </c>
      <c r="G1083" s="20" t="str">
        <f>VLOOKUP(F1083, TMHM!$B$10:$C1519, 2, FALSE)</f>
        <v>Earthquake</v>
      </c>
      <c r="H1083" s="21"/>
      <c r="I1083" s="25"/>
      <c r="J1083" s="30"/>
    </row>
    <row r="1084" spans="1:10" x14ac:dyDescent="0.2">
      <c r="A1084" s="120"/>
      <c r="B1084" s="48">
        <f>HEX2DEC("2B")</f>
        <v>43</v>
      </c>
      <c r="C1084" s="23" t="str">
        <f t="array" ref="C1084">INDEX(Moves!$B$2:'Moves'!$B$177, SUM(HEX2DEC("58"),1), 1)</f>
        <v>DynamicPunch</v>
      </c>
      <c r="D1084" s="48">
        <f>HEX2DEC("2B")</f>
        <v>43</v>
      </c>
      <c r="E1084" s="23" t="s">
        <v>226</v>
      </c>
      <c r="F1084" s="11">
        <v>28</v>
      </c>
      <c r="G1084" s="20" t="str">
        <f>VLOOKUP(F1084, TMHM!$B$10:$C1519, 2, FALSE)</f>
        <v>Dig</v>
      </c>
      <c r="H1084" s="21"/>
      <c r="I1084" s="25"/>
      <c r="J1084" s="30"/>
    </row>
    <row r="1085" spans="1:10" x14ac:dyDescent="0.2">
      <c r="A1085" s="120"/>
      <c r="B1085" s="48">
        <f>HEX2DEC("31")</f>
        <v>49</v>
      </c>
      <c r="C1085" s="23" t="str">
        <f t="array" ref="C1085">INDEX(Moves!$B$2:'Moves'!$B$177, SUM(HEX2DEC("A9"),1), 1)</f>
        <v>Recover</v>
      </c>
      <c r="D1085" s="48">
        <f>HEX2DEC("31")</f>
        <v>49</v>
      </c>
      <c r="E1085" s="23" t="s">
        <v>208</v>
      </c>
      <c r="F1085" s="11">
        <v>35</v>
      </c>
      <c r="G1085" s="20" t="str">
        <f>VLOOKUP(F1085, TMHM!$B$10:$C1519, 2, FALSE)</f>
        <v>Harden</v>
      </c>
      <c r="H1085" s="21"/>
      <c r="I1085" s="25"/>
      <c r="J1085" s="30"/>
    </row>
    <row r="1086" spans="1:10" x14ac:dyDescent="0.2">
      <c r="A1086" s="120"/>
      <c r="B1086" s="73"/>
      <c r="C1086" s="74"/>
      <c r="D1086" s="73"/>
      <c r="E1086" s="74"/>
      <c r="F1086" s="11">
        <v>39</v>
      </c>
      <c r="G1086" s="20" t="str">
        <f>VLOOKUP(F1086, TMHM!$B$10:$C1519, 2, FALSE)</f>
        <v>Rock Tomb</v>
      </c>
      <c r="H1086" s="21"/>
      <c r="I1086" s="25"/>
      <c r="J1086" s="30"/>
    </row>
    <row r="1087" spans="1:10" x14ac:dyDescent="0.2">
      <c r="A1087" s="121" t="s">
        <v>227</v>
      </c>
      <c r="B1087" s="70">
        <f>HEX2DEC("00")</f>
        <v>0</v>
      </c>
      <c r="C1087" s="71" t="str">
        <f t="array" ref="C1087">INDEX(Moves!$B$2:'Moves'!$B$177, SUM(HEX2DEC("08"),1), 1)</f>
        <v>Bubble</v>
      </c>
      <c r="D1087" s="70">
        <f>HEX2DEC("01")</f>
        <v>1</v>
      </c>
      <c r="E1087" s="71" t="str">
        <f t="array" ref="E1087">INDEX(Moves!$B$2:'Moves'!$B$177, SUM(HEX2DEC("08"),1), 1)</f>
        <v>Bubble</v>
      </c>
      <c r="F1087" s="41">
        <v>3</v>
      </c>
      <c r="G1087" s="12" t="str">
        <f>VLOOKUP(F1087, TMHM!$B$10:$C1519, 2, FALSE)</f>
        <v>Water Pulse</v>
      </c>
      <c r="H1087" s="13">
        <v>3</v>
      </c>
      <c r="I1087" s="14" t="str">
        <f>VLOOKUP(H1087, TMHM!$B$2:$C$7, 2, FALSE)</f>
        <v>Surf</v>
      </c>
      <c r="J1087" s="30"/>
    </row>
    <row r="1088" spans="1:10" x14ac:dyDescent="0.2">
      <c r="A1088" s="120"/>
      <c r="B1088" s="50">
        <f>HEX2DEC("08")</f>
        <v>8</v>
      </c>
      <c r="C1088" s="51" t="str">
        <f t="array" ref="C1088">INDEX(Moves!$B$2:'Moves'!$B$177, SUM(HEX2DEC("4A"),1), 1)</f>
        <v>Poison Gas</v>
      </c>
      <c r="D1088" s="50">
        <f>HEX2DEC("08")</f>
        <v>8</v>
      </c>
      <c r="E1088" s="51" t="s">
        <v>228</v>
      </c>
      <c r="F1088" s="11">
        <v>6</v>
      </c>
      <c r="G1088" s="20" t="str">
        <f>VLOOKUP(F1088, TMHM!$B$10:$C1519, 2, FALSE)</f>
        <v>Toxic</v>
      </c>
      <c r="H1088" s="21"/>
      <c r="I1088" s="25"/>
      <c r="J1088" s="30"/>
    </row>
    <row r="1089" spans="1:10" x14ac:dyDescent="0.2">
      <c r="A1089" s="120"/>
      <c r="B1089" s="48">
        <f>HEX2DEC("0F")</f>
        <v>15</v>
      </c>
      <c r="C1089" s="23" t="str">
        <f t="array" ref="C1089">INDEX(Moves!$B$2:'Moves'!$B$177, SUM(HEX2DEC("77"),1), 1)</f>
        <v>Confuse Ray</v>
      </c>
      <c r="D1089" s="48">
        <f>HEX2DEC("0F")</f>
        <v>15</v>
      </c>
      <c r="E1089" s="23" t="s">
        <v>59</v>
      </c>
      <c r="F1089" s="11">
        <v>8</v>
      </c>
      <c r="G1089" s="20" t="str">
        <f>VLOOKUP(F1089, TMHM!$B$10:$C1519, 2, FALSE)</f>
        <v>Charm</v>
      </c>
      <c r="H1089" s="21"/>
      <c r="I1089" s="25"/>
      <c r="J1089" s="30"/>
    </row>
    <row r="1090" spans="1:10" x14ac:dyDescent="0.2">
      <c r="A1090" s="120"/>
      <c r="B1090" s="50">
        <f>HEX2DEC("16")</f>
        <v>22</v>
      </c>
      <c r="C1090" s="51" t="str">
        <f t="array" ref="C1090">INDEX(Moves!$B$2:'Moves'!$B$177, SUM(HEX2DEC("0C"),1), 1)</f>
        <v>Octazooka</v>
      </c>
      <c r="D1090" s="50">
        <f>HEX2DEC("16")</f>
        <v>22</v>
      </c>
      <c r="E1090" s="51" t="str">
        <f t="array" ref="E1090">INDEX(Moves!$B$2:'Moves'!$B$177, SUM(HEX2DEC("09"),1), 1)</f>
        <v>Water Gun</v>
      </c>
      <c r="F1090" s="11">
        <v>11</v>
      </c>
      <c r="G1090" s="20" t="str">
        <f>VLOOKUP(F1090, TMHM!$B$10:$C1519, 2, FALSE)</f>
        <v>Bubblebeam</v>
      </c>
      <c r="H1090" s="21"/>
      <c r="I1090" s="25"/>
      <c r="J1090" s="30"/>
    </row>
    <row r="1091" spans="1:10" x14ac:dyDescent="0.2">
      <c r="A1091" s="120"/>
      <c r="B1091" s="16">
        <f>HEX2DEC("1D")</f>
        <v>29</v>
      </c>
      <c r="C1091" s="17" t="str">
        <f t="array" ref="C1091">INDEX(Moves!$B$2:'Moves'!$B$177, SUM(HEX2DEC("78"),1), 1)</f>
        <v>Twister</v>
      </c>
      <c r="D1091" s="16">
        <f>HEX2DEC("1D")</f>
        <v>29</v>
      </c>
      <c r="E1091" s="17" t="str">
        <f t="array" ref="E1091">INDEX(Moves!$B$2:'Moves'!$B$177, SUM(HEX2DEC("78"),1), 1)</f>
        <v>Twister</v>
      </c>
      <c r="F1091" s="11">
        <v>13</v>
      </c>
      <c r="G1091" s="20" t="str">
        <f>VLOOKUP(F1091, TMHM!$B$10:$C1519, 2, FALSE)</f>
        <v>Ice Beam</v>
      </c>
      <c r="H1091" s="21"/>
      <c r="I1091" s="25"/>
      <c r="J1091" s="30"/>
    </row>
    <row r="1092" spans="1:10" x14ac:dyDescent="0.2">
      <c r="A1092" s="120"/>
      <c r="B1092" s="16">
        <f>HEX2DEC("24")</f>
        <v>36</v>
      </c>
      <c r="C1092" s="17" t="str">
        <f t="array" ref="C1092">INDEX(Moves!$B$2:'Moves'!$B$177, SUM(HEX2DEC("71"),1), 1)</f>
        <v>Agility</v>
      </c>
      <c r="D1092" s="16">
        <f>HEX2DEC("24")</f>
        <v>36</v>
      </c>
      <c r="E1092" s="17" t="str">
        <f t="array" ref="E1092">INDEX(Moves!$B$2:'Moves'!$B$177, SUM(HEX2DEC("71"),1), 1)</f>
        <v>Agility</v>
      </c>
      <c r="F1092" s="11">
        <v>21</v>
      </c>
      <c r="G1092" s="20" t="str">
        <f>VLOOKUP(F1092, TMHM!$B$10:$C1519, 2, FALSE)</f>
        <v>Recover</v>
      </c>
      <c r="H1092" s="21"/>
      <c r="I1092" s="25"/>
      <c r="J1092" s="30"/>
    </row>
    <row r="1093" spans="1:10" x14ac:dyDescent="0.2">
      <c r="A1093" s="120"/>
      <c r="B1093" s="16">
        <f>HEX2DEC("2B")</f>
        <v>43</v>
      </c>
      <c r="C1093" s="17" t="str">
        <f t="array" ref="C1093">INDEX(Moves!$B$2:'Moves'!$B$177, SUM(HEX2DEC("0F"),1), 1)</f>
        <v>Hydro Pump</v>
      </c>
      <c r="D1093" s="16">
        <f>HEX2DEC("2B")</f>
        <v>43</v>
      </c>
      <c r="E1093" s="17" t="str">
        <f t="array" ref="E1093">INDEX(Moves!$B$2:'Moves'!$B$177, SUM(HEX2DEC("0F"),1), 1)</f>
        <v>Hydro Pump</v>
      </c>
      <c r="F1093" s="11">
        <v>32</v>
      </c>
      <c r="G1093" s="20" t="str">
        <f>VLOOKUP(F1093, TMHM!$B$10:$C1519, 2, FALSE)</f>
        <v>Double Team</v>
      </c>
      <c r="H1093" s="21"/>
      <c r="I1093" s="25"/>
      <c r="J1093" s="30"/>
    </row>
    <row r="1094" spans="1:10" x14ac:dyDescent="0.2">
      <c r="A1094" s="120"/>
      <c r="B1094" s="73"/>
      <c r="C1094" s="74"/>
      <c r="D1094" s="73"/>
      <c r="E1094" s="74"/>
      <c r="F1094" s="11">
        <v>35</v>
      </c>
      <c r="G1094" s="20" t="str">
        <f>VLOOKUP(F1094, TMHM!$B$10:$C1519, 2, FALSE)</f>
        <v>Harden</v>
      </c>
      <c r="H1094" s="21"/>
      <c r="I1094" s="25"/>
      <c r="J1094" s="30"/>
    </row>
    <row r="1095" spans="1:10" x14ac:dyDescent="0.2">
      <c r="A1095" s="120"/>
      <c r="B1095" s="73"/>
      <c r="C1095" s="74"/>
      <c r="D1095" s="73"/>
      <c r="E1095" s="74"/>
      <c r="F1095" s="11">
        <v>36</v>
      </c>
      <c r="G1095" s="20" t="str">
        <f>VLOOKUP(F1095, TMHM!$B$10:$C1519, 2, FALSE)</f>
        <v>Sludge Bomb</v>
      </c>
      <c r="H1095" s="21"/>
      <c r="I1095" s="25"/>
      <c r="J1095" s="30"/>
    </row>
    <row r="1096" spans="1:10" x14ac:dyDescent="0.2">
      <c r="A1096" s="121" t="s">
        <v>229</v>
      </c>
      <c r="B1096" s="70">
        <f>HEX2DEC("00")</f>
        <v>0</v>
      </c>
      <c r="C1096" s="71" t="str">
        <f t="array" ref="C1096">INDEX(Moves!$B$2:'Moves'!$B$177, SUM(HEX2DEC("08"),1), 1)</f>
        <v>Bubble</v>
      </c>
      <c r="D1096" s="70">
        <f t="shared" ref="D1096:D1099" si="86">HEX2DEC("01")</f>
        <v>1</v>
      </c>
      <c r="E1096" s="71" t="str">
        <f t="array" ref="E1096">INDEX(Moves!$B$2:'Moves'!$B$177, SUM(HEX2DEC("08"),1), 1)</f>
        <v>Bubble</v>
      </c>
      <c r="F1096" s="41">
        <v>3</v>
      </c>
      <c r="G1096" s="12" t="str">
        <f>VLOOKUP(F1096, TMHM!$B$10:$C1519, 2, FALSE)</f>
        <v>Water Pulse</v>
      </c>
      <c r="H1096" s="13">
        <v>3</v>
      </c>
      <c r="I1096" s="14" t="str">
        <f>VLOOKUP(H1096, TMHM!$B$2:$C$7, 2, FALSE)</f>
        <v>Surf</v>
      </c>
      <c r="J1096" s="30"/>
    </row>
    <row r="1097" spans="1:10" x14ac:dyDescent="0.2">
      <c r="A1097" s="120"/>
      <c r="B1097" s="34"/>
      <c r="C1097" s="35"/>
      <c r="D1097" s="34">
        <f t="shared" si="86"/>
        <v>1</v>
      </c>
      <c r="E1097" s="35" t="s">
        <v>228</v>
      </c>
      <c r="F1097" s="11">
        <v>6</v>
      </c>
      <c r="G1097" s="20" t="str">
        <f>VLOOKUP(F1097, TMHM!$B$10:$C1519, 2, FALSE)</f>
        <v>Toxic</v>
      </c>
      <c r="H1097" s="21"/>
      <c r="I1097" s="25"/>
      <c r="J1097" s="30"/>
    </row>
    <row r="1098" spans="1:10" x14ac:dyDescent="0.2">
      <c r="A1098" s="120"/>
      <c r="B1098" s="34"/>
      <c r="C1098" s="35"/>
      <c r="D1098" s="34">
        <f t="shared" si="86"/>
        <v>1</v>
      </c>
      <c r="E1098" s="35" t="s">
        <v>59</v>
      </c>
      <c r="F1098" s="11">
        <v>8</v>
      </c>
      <c r="G1098" s="20" t="str">
        <f>VLOOKUP(F1098, TMHM!$B$10:$C1519, 2, FALSE)</f>
        <v>Charm</v>
      </c>
      <c r="H1098" s="21"/>
      <c r="I1098" s="25"/>
      <c r="J1098" s="30"/>
    </row>
    <row r="1099" spans="1:10" x14ac:dyDescent="0.2">
      <c r="A1099" s="120"/>
      <c r="B1099" s="34"/>
      <c r="C1099" s="35"/>
      <c r="D1099" s="34">
        <f t="shared" si="86"/>
        <v>1</v>
      </c>
      <c r="E1099" s="35" t="str">
        <f t="array" ref="E1099">INDEX(Moves!$B$2:'Moves'!$B$177, SUM(HEX2DEC("09"),1), 1)</f>
        <v>Water Gun</v>
      </c>
      <c r="F1099" s="11">
        <v>11</v>
      </c>
      <c r="G1099" s="20" t="str">
        <f>VLOOKUP(F1099, TMHM!$B$10:$C1519, 2, FALSE)</f>
        <v>Bubblebeam</v>
      </c>
      <c r="H1099" s="21"/>
      <c r="I1099" s="25"/>
      <c r="J1099" s="30"/>
    </row>
    <row r="1100" spans="1:10" x14ac:dyDescent="0.2">
      <c r="A1100" s="120"/>
      <c r="B1100" s="50">
        <f>HEX2DEC("08")</f>
        <v>8</v>
      </c>
      <c r="C1100" s="51" t="str">
        <f t="array" ref="C1100">INDEX(Moves!$B$2:'Moves'!$B$177, SUM(HEX2DEC("4A"),1), 1)</f>
        <v>Poison Gas</v>
      </c>
      <c r="D1100" s="50">
        <f>HEX2DEC("08")</f>
        <v>8</v>
      </c>
      <c r="E1100" s="51" t="s">
        <v>228</v>
      </c>
      <c r="F1100" s="11">
        <v>13</v>
      </c>
      <c r="G1100" s="20" t="str">
        <f>VLOOKUP(F1100, TMHM!$B$10:$C1519, 2, FALSE)</f>
        <v>Ice Beam</v>
      </c>
      <c r="H1100" s="21"/>
      <c r="I1100" s="25"/>
      <c r="J1100" s="30"/>
    </row>
    <row r="1101" spans="1:10" x14ac:dyDescent="0.2">
      <c r="A1101" s="120"/>
      <c r="B1101" s="48">
        <f>HEX2DEC("0F")</f>
        <v>15</v>
      </c>
      <c r="C1101" s="23" t="str">
        <f t="array" ref="C1101">INDEX(Moves!$B$2:'Moves'!$B$177, SUM(HEX2DEC("77"),1), 1)</f>
        <v>Confuse Ray</v>
      </c>
      <c r="D1101" s="48">
        <f>HEX2DEC("0F")</f>
        <v>15</v>
      </c>
      <c r="E1101" s="23" t="s">
        <v>59</v>
      </c>
      <c r="F1101" s="11">
        <v>14</v>
      </c>
      <c r="G1101" s="20" t="str">
        <f>VLOOKUP(F1101, TMHM!$B$10:$C1519, 2, FALSE)</f>
        <v>Blizzard</v>
      </c>
      <c r="H1101" s="21"/>
      <c r="I1101" s="25"/>
      <c r="J1101" s="30"/>
    </row>
    <row r="1102" spans="1:10" x14ac:dyDescent="0.2">
      <c r="A1102" s="120"/>
      <c r="B1102" s="50">
        <f>HEX2DEC("16")</f>
        <v>22</v>
      </c>
      <c r="C1102" s="51" t="str">
        <f t="array" ref="C1102">INDEX(Moves!$B$2:'Moves'!$B$177, SUM(HEX2DEC("0C"),1), 1)</f>
        <v>Octazooka</v>
      </c>
      <c r="D1102" s="50">
        <f>HEX2DEC("16")</f>
        <v>22</v>
      </c>
      <c r="E1102" s="51" t="str">
        <f t="array" ref="E1102">INDEX(Moves!$B$2:'Moves'!$B$177, SUM(HEX2DEC("09"),1), 1)</f>
        <v>Water Gun</v>
      </c>
      <c r="F1102" s="11">
        <v>21</v>
      </c>
      <c r="G1102" s="20" t="str">
        <f>VLOOKUP(F1102, TMHM!$B$10:$C1519, 2, FALSE)</f>
        <v>Recover</v>
      </c>
      <c r="H1102" s="21"/>
      <c r="I1102" s="25"/>
      <c r="J1102" s="30"/>
    </row>
    <row r="1103" spans="1:10" x14ac:dyDescent="0.2">
      <c r="A1103" s="120"/>
      <c r="B1103" s="16">
        <f>HEX2DEC("1D")</f>
        <v>29</v>
      </c>
      <c r="C1103" s="17" t="str">
        <f t="array" ref="C1103">INDEX(Moves!$B$2:'Moves'!$B$177, SUM(HEX2DEC("78"),1), 1)</f>
        <v>Twister</v>
      </c>
      <c r="D1103" s="16">
        <f>HEX2DEC("1D")</f>
        <v>29</v>
      </c>
      <c r="E1103" s="17" t="str">
        <f t="array" ref="E1103">INDEX(Moves!$B$2:'Moves'!$B$177, SUM(HEX2DEC("78"),1), 1)</f>
        <v>Twister</v>
      </c>
      <c r="F1103" s="11">
        <v>32</v>
      </c>
      <c r="G1103" s="20" t="str">
        <f>VLOOKUP(F1103, TMHM!$B$10:$C1519, 2, FALSE)</f>
        <v>Double Team</v>
      </c>
      <c r="H1103" s="21"/>
      <c r="I1103" s="25"/>
      <c r="J1103" s="30"/>
    </row>
    <row r="1104" spans="1:10" x14ac:dyDescent="0.2">
      <c r="A1104" s="120"/>
      <c r="B1104" s="16">
        <f>HEX2DEC("28")</f>
        <v>40</v>
      </c>
      <c r="C1104" s="17" t="str">
        <f t="array" ref="C1104">INDEX(Moves!$B$2:'Moves'!$B$177, SUM(HEX2DEC("71"),1), 1)</f>
        <v>Agility</v>
      </c>
      <c r="D1104" s="16">
        <f>HEX2DEC("28")</f>
        <v>40</v>
      </c>
      <c r="E1104" s="17" t="str">
        <f t="array" ref="E1104">INDEX(Moves!$B$2:'Moves'!$B$177, SUM(HEX2DEC("71"),1), 1)</f>
        <v>Agility</v>
      </c>
      <c r="F1104" s="11">
        <v>35</v>
      </c>
      <c r="G1104" s="20" t="str">
        <f>VLOOKUP(F1104, TMHM!$B$10:$C1519, 2, FALSE)</f>
        <v>Harden</v>
      </c>
      <c r="H1104" s="21"/>
      <c r="I1104" s="25"/>
      <c r="J1104" s="30"/>
    </row>
    <row r="1105" spans="1:10" x14ac:dyDescent="0.2">
      <c r="A1105" s="120"/>
      <c r="B1105" s="16">
        <f>HEX2DEC("33")</f>
        <v>51</v>
      </c>
      <c r="C1105" s="17" t="str">
        <f t="array" ref="C1105">INDEX(Moves!$B$2:'Moves'!$B$177, SUM(HEX2DEC("0F"),1), 1)</f>
        <v>Hydro Pump</v>
      </c>
      <c r="D1105" s="16">
        <f>HEX2DEC("33")</f>
        <v>51</v>
      </c>
      <c r="E1105" s="17" t="str">
        <f t="array" ref="E1105">INDEX(Moves!$B$2:'Moves'!$B$177, SUM(HEX2DEC("0F"),1), 1)</f>
        <v>Hydro Pump</v>
      </c>
      <c r="F1105" s="11">
        <v>36</v>
      </c>
      <c r="G1105" s="20" t="str">
        <f>VLOOKUP(F1105, TMHM!$B$10:$C1519, 2, FALSE)</f>
        <v>Sludge Bomb</v>
      </c>
      <c r="H1105" s="21"/>
      <c r="I1105" s="25"/>
      <c r="J1105" s="30"/>
    </row>
    <row r="1106" spans="1:10" x14ac:dyDescent="0.2">
      <c r="A1106" s="121" t="s">
        <v>230</v>
      </c>
      <c r="B1106" s="70">
        <f>HEX2DEC("00")</f>
        <v>0</v>
      </c>
      <c r="C1106" s="71" t="str">
        <f t="array" ref="C1106">INDEX(Moves!$B$2:'Moves'!$B$177, SUM(HEX2DEC("5B"),1), 1)</f>
        <v>Peck</v>
      </c>
      <c r="D1106" s="70">
        <f t="shared" ref="D1106:D1107" si="87">HEX2DEC("01")</f>
        <v>1</v>
      </c>
      <c r="E1106" s="71" t="str">
        <f t="array" ref="E1106">INDEX(Moves!$B$2:'Moves'!$B$177, SUM(HEX2DEC("5B"),1), 1)</f>
        <v>Peck</v>
      </c>
      <c r="F1106" s="41">
        <v>3</v>
      </c>
      <c r="G1106" s="12" t="str">
        <f>VLOOKUP(F1106, TMHM!$B$10:$C1519, 2, FALSE)</f>
        <v>Water Pulse</v>
      </c>
      <c r="H1106" s="13">
        <v>3</v>
      </c>
      <c r="I1106" s="14" t="str">
        <f>VLOOKUP(H1106, TMHM!$B$2:$C$7, 2, FALSE)</f>
        <v>Surf</v>
      </c>
      <c r="J1106" s="30"/>
    </row>
    <row r="1107" spans="1:10" x14ac:dyDescent="0.2">
      <c r="A1107" s="120"/>
      <c r="B1107" s="43">
        <f>HEX2DEC("02")</f>
        <v>2</v>
      </c>
      <c r="C1107" s="17" t="str">
        <f t="array" ref="C1107">INDEX(Moves!$B$2:'Moves'!$B$177, SUM(HEX2DEC("A4"),1), 1)</f>
        <v>Tail Whip</v>
      </c>
      <c r="D1107" s="43">
        <f t="shared" si="87"/>
        <v>1</v>
      </c>
      <c r="E1107" s="17" t="str">
        <f t="array" ref="E1107">INDEX(Moves!$B$2:'Moves'!$B$177, SUM(HEX2DEC("A4"),1), 1)</f>
        <v>Tail Whip</v>
      </c>
      <c r="F1107" s="11">
        <v>6</v>
      </c>
      <c r="G1107" s="20" t="str">
        <f>VLOOKUP(F1107, TMHM!$B$10:$C1519, 2, FALSE)</f>
        <v>Toxic</v>
      </c>
      <c r="H1107" s="21"/>
      <c r="I1107" s="25"/>
      <c r="J1107" s="30"/>
    </row>
    <row r="1108" spans="1:10" x14ac:dyDescent="0.2">
      <c r="A1108" s="120"/>
      <c r="B1108" s="16">
        <f>HEX2DEC("0A")</f>
        <v>10</v>
      </c>
      <c r="C1108" s="17" t="str">
        <f t="array" ref="C1108">INDEX(Moves!$B$2:'Moves'!$B$177, SUM(HEX2DEC("9E"),1), 1)</f>
        <v>Supersonic</v>
      </c>
      <c r="D1108" s="16">
        <f>HEX2DEC("0A")</f>
        <v>10</v>
      </c>
      <c r="E1108" s="17" t="str">
        <f t="array" ref="E1108">INDEX(Moves!$B$2:'Moves'!$B$177, SUM(HEX2DEC("9E"),1), 1)</f>
        <v>Supersonic</v>
      </c>
      <c r="F1108" s="11">
        <v>8</v>
      </c>
      <c r="G1108" s="20" t="str">
        <f>VLOOKUP(F1108, TMHM!$B$10:$C1519, 2, FALSE)</f>
        <v>Charm</v>
      </c>
      <c r="H1108" s="21"/>
      <c r="I1108" s="25"/>
      <c r="J1108" s="30"/>
    </row>
    <row r="1109" spans="1:10" x14ac:dyDescent="0.2">
      <c r="A1109" s="120"/>
      <c r="B1109" s="50">
        <f>HEX2DEC("0F")</f>
        <v>15</v>
      </c>
      <c r="C1109" s="51" t="str">
        <f t="array" ref="C1109">INDEX(Moves!$B$2:'Moves'!$B$177, SUM(HEX2DEC("89"),1), 1)</f>
        <v>Tackle</v>
      </c>
      <c r="D1109" s="50">
        <f>HEX2DEC("0F")</f>
        <v>15</v>
      </c>
      <c r="E1109" s="51" t="str">
        <f t="array" ref="E1109">INDEX(Moves!$B$2:'Moves'!$B$177, SUM(HEX2DEC("91"),1), 1)</f>
        <v>Horn Attack</v>
      </c>
      <c r="F1109" s="11">
        <v>11</v>
      </c>
      <c r="G1109" s="20" t="str">
        <f>VLOOKUP(F1109, TMHM!$B$10:$C1519, 2, FALSE)</f>
        <v>Bubblebeam</v>
      </c>
      <c r="H1109" s="21"/>
      <c r="I1109" s="25"/>
      <c r="J1109" s="30"/>
    </row>
    <row r="1110" spans="1:10" x14ac:dyDescent="0.2">
      <c r="A1110" s="120"/>
      <c r="B1110" s="48">
        <f>HEX2DEC("18")</f>
        <v>24</v>
      </c>
      <c r="C1110" s="23" t="str">
        <f t="array" ref="C1110">INDEX(Moves!$B$2:'Moves'!$B$177, SUM(HEX2DEC("A6"),1), 1)</f>
        <v>SmokeScreen</v>
      </c>
      <c r="D1110" s="48">
        <f>HEX2DEC("18")</f>
        <v>24</v>
      </c>
      <c r="E1110" s="23" t="s">
        <v>231</v>
      </c>
      <c r="F1110" s="11">
        <v>13</v>
      </c>
      <c r="G1110" s="20" t="str">
        <f>VLOOKUP(F1110, TMHM!$B$10:$C1519, 2, FALSE)</f>
        <v>Ice Beam</v>
      </c>
      <c r="H1110" s="21"/>
      <c r="I1110" s="25"/>
      <c r="J1110" s="30"/>
    </row>
    <row r="1111" spans="1:10" x14ac:dyDescent="0.2">
      <c r="A1111" s="120"/>
      <c r="B1111" s="48">
        <f>HEX2DEC("1D")</f>
        <v>29</v>
      </c>
      <c r="C1111" s="23" t="str">
        <f t="array" ref="C1111">INDEX(Moves!$B$2:'Moves'!$B$177, SUM(HEX2DEC("91"),1), 1)</f>
        <v>Horn Attack</v>
      </c>
      <c r="D1111" s="48">
        <f>HEX2DEC("1D")</f>
        <v>29</v>
      </c>
      <c r="E1111" s="23" t="s">
        <v>48</v>
      </c>
      <c r="F1111" s="11">
        <v>14</v>
      </c>
      <c r="G1111" s="20" t="str">
        <f>VLOOKUP(F1111, TMHM!$B$10:$C1519, 2, FALSE)</f>
        <v>Blizzard</v>
      </c>
      <c r="H1111" s="21"/>
      <c r="I1111" s="25"/>
      <c r="J1111" s="30"/>
    </row>
    <row r="1112" spans="1:10" x14ac:dyDescent="0.2">
      <c r="A1112" s="120"/>
      <c r="B1112" s="48">
        <f>HEX2DEC("26")</f>
        <v>38</v>
      </c>
      <c r="C1112" s="23" t="str">
        <f t="array" ref="C1112">INDEX(Moves!$B$2:'Moves'!$B$177, SUM(HEX2DEC("81"),1), 1)</f>
        <v>Crunch</v>
      </c>
      <c r="D1112" s="48">
        <f>HEX2DEC("26")</f>
        <v>38</v>
      </c>
      <c r="E1112" s="23" t="s">
        <v>232</v>
      </c>
      <c r="F1112" s="11">
        <v>21</v>
      </c>
      <c r="G1112" s="20" t="str">
        <f>VLOOKUP(F1112, TMHM!$B$10:$C1519, 2, FALSE)</f>
        <v>Recover</v>
      </c>
      <c r="H1112" s="21"/>
      <c r="I1112" s="25"/>
      <c r="J1112" s="30"/>
    </row>
    <row r="1113" spans="1:10" x14ac:dyDescent="0.2">
      <c r="A1113" s="120"/>
      <c r="B1113" s="16">
        <f>HEX2DEC("2B")</f>
        <v>43</v>
      </c>
      <c r="C1113" s="17" t="str">
        <f t="array" ref="C1113">INDEX(Moves!$B$2:'Moves'!$B$177, SUM(HEX2DEC("9A"),1), 1)</f>
        <v>Horn Drill</v>
      </c>
      <c r="D1113" s="16">
        <f>HEX2DEC("2B")</f>
        <v>43</v>
      </c>
      <c r="E1113" s="17" t="str">
        <f t="array" ref="E1113">INDEX(Moves!$B$2:'Moves'!$B$177, SUM(HEX2DEC("9A"),1), 1)</f>
        <v>Horn Drill</v>
      </c>
      <c r="F1113" s="11">
        <v>32</v>
      </c>
      <c r="G1113" s="20" t="str">
        <f>VLOOKUP(F1113, TMHM!$B$10:$C1519, 2, FALSE)</f>
        <v>Double Team</v>
      </c>
      <c r="H1113" s="21"/>
      <c r="I1113" s="25"/>
      <c r="J1113" s="30"/>
    </row>
    <row r="1114" spans="1:10" x14ac:dyDescent="0.2">
      <c r="A1114" s="120"/>
      <c r="B1114" s="16">
        <f>HEX2DEC("34")</f>
        <v>52</v>
      </c>
      <c r="C1114" s="17" t="str">
        <f t="array" ref="C1114">INDEX(Moves!$B$2:'Moves'!$B$177, SUM(HEX2DEC("71"),1), 1)</f>
        <v>Agility</v>
      </c>
      <c r="D1114" s="16">
        <f>HEX2DEC("34")</f>
        <v>52</v>
      </c>
      <c r="E1114" s="17" t="str">
        <f t="array" ref="E1114">INDEX(Moves!$B$2:'Moves'!$B$177, SUM(HEX2DEC("71"),1), 1)</f>
        <v>Agility</v>
      </c>
      <c r="F1114" s="11">
        <v>35</v>
      </c>
      <c r="G1114" s="20" t="str">
        <f>VLOOKUP(F1114, TMHM!$B$10:$C1519, 2, FALSE)</f>
        <v>Harden</v>
      </c>
      <c r="H1114" s="21"/>
      <c r="I1114" s="25"/>
      <c r="J1114" s="30"/>
    </row>
    <row r="1115" spans="1:10" x14ac:dyDescent="0.2">
      <c r="A1115" s="120"/>
      <c r="B1115" s="73"/>
      <c r="C1115" s="74"/>
      <c r="D1115" s="73"/>
      <c r="E1115" s="74"/>
      <c r="F1115" s="11">
        <v>36</v>
      </c>
      <c r="G1115" s="20" t="str">
        <f>VLOOKUP(F1115, TMHM!$B$10:$C1519, 2, FALSE)</f>
        <v>Sludge Bomb</v>
      </c>
      <c r="H1115" s="21"/>
      <c r="I1115" s="25"/>
      <c r="J1115" s="30"/>
    </row>
    <row r="1116" spans="1:10" x14ac:dyDescent="0.2">
      <c r="A1116" s="121" t="s">
        <v>233</v>
      </c>
      <c r="B1116" s="70">
        <f>HEX2DEC("00")</f>
        <v>0</v>
      </c>
      <c r="C1116" s="71" t="str">
        <f t="array" ref="C1116">INDEX(Moves!$B$2:'Moves'!$B$177, SUM(HEX2DEC("5B"),1), 1)</f>
        <v>Peck</v>
      </c>
      <c r="D1116" s="70">
        <f t="shared" ref="D1116:D1117" si="88">HEX2DEC("01")</f>
        <v>1</v>
      </c>
      <c r="E1116" s="71" t="str">
        <f t="array" ref="E1116">INDEX(Moves!$B$2:'Moves'!$B$177, SUM(HEX2DEC("5B"),1), 1)</f>
        <v>Peck</v>
      </c>
      <c r="F1116" s="41">
        <v>3</v>
      </c>
      <c r="G1116" s="12" t="str">
        <f>VLOOKUP(F1116, TMHM!$B$10:$C1519, 2, FALSE)</f>
        <v>Water Pulse</v>
      </c>
      <c r="H1116" s="13">
        <v>3</v>
      </c>
      <c r="I1116" s="14" t="str">
        <f>VLOOKUP(H1116, TMHM!$B$2:$C$7, 2, FALSE)</f>
        <v>Surf</v>
      </c>
      <c r="J1116" s="30"/>
    </row>
    <row r="1117" spans="1:10" x14ac:dyDescent="0.2">
      <c r="A1117" s="120"/>
      <c r="B1117" s="43">
        <f>HEX2DEC("02")</f>
        <v>2</v>
      </c>
      <c r="C1117" s="17" t="str">
        <f t="array" ref="C1117">INDEX(Moves!$B$2:'Moves'!$B$177, SUM(HEX2DEC("A4"),1), 1)</f>
        <v>Tail Whip</v>
      </c>
      <c r="D1117" s="43">
        <f t="shared" si="88"/>
        <v>1</v>
      </c>
      <c r="E1117" s="17" t="str">
        <f t="array" ref="E1117">INDEX(Moves!$B$2:'Moves'!$B$177, SUM(HEX2DEC("A4"),1), 1)</f>
        <v>Tail Whip</v>
      </c>
      <c r="F1117" s="11">
        <v>6</v>
      </c>
      <c r="G1117" s="20" t="str">
        <f>VLOOKUP(F1117, TMHM!$B$10:$C1519, 2, FALSE)</f>
        <v>Toxic</v>
      </c>
      <c r="H1117" s="21"/>
      <c r="I1117" s="25"/>
      <c r="J1117" s="30"/>
    </row>
    <row r="1118" spans="1:10" x14ac:dyDescent="0.2">
      <c r="A1118" s="120"/>
      <c r="B1118" s="16">
        <f>HEX2DEC("0A")</f>
        <v>10</v>
      </c>
      <c r="C1118" s="17" t="str">
        <f t="array" ref="C1118">INDEX(Moves!$B$2:'Moves'!$B$177, SUM(HEX2DEC("9E"),1), 1)</f>
        <v>Supersonic</v>
      </c>
      <c r="D1118" s="16">
        <f>HEX2DEC("0A")</f>
        <v>10</v>
      </c>
      <c r="E1118" s="17" t="str">
        <f t="array" ref="E1118">INDEX(Moves!$B$2:'Moves'!$B$177, SUM(HEX2DEC("9E"),1), 1)</f>
        <v>Supersonic</v>
      </c>
      <c r="F1118" s="11">
        <v>8</v>
      </c>
      <c r="G1118" s="20" t="str">
        <f>VLOOKUP(F1118, TMHM!$B$10:$C1519, 2, FALSE)</f>
        <v>Charm</v>
      </c>
      <c r="H1118" s="21"/>
      <c r="I1118" s="25"/>
      <c r="J1118" s="30"/>
    </row>
    <row r="1119" spans="1:10" x14ac:dyDescent="0.2">
      <c r="A1119" s="120"/>
      <c r="B1119" s="50">
        <f>HEX2DEC("0F")</f>
        <v>15</v>
      </c>
      <c r="C1119" s="51" t="str">
        <f t="array" ref="C1119">INDEX(Moves!$B$2:'Moves'!$B$177, SUM(HEX2DEC("89"),1), 1)</f>
        <v>Tackle</v>
      </c>
      <c r="D1119" s="50">
        <f>HEX2DEC("0F")</f>
        <v>15</v>
      </c>
      <c r="E1119" s="51" t="str">
        <f t="array" ref="E1119">INDEX(Moves!$B$2:'Moves'!$B$177, SUM(HEX2DEC("91"),1), 1)</f>
        <v>Horn Attack</v>
      </c>
      <c r="F1119" s="11">
        <v>11</v>
      </c>
      <c r="G1119" s="20" t="str">
        <f>VLOOKUP(F1119, TMHM!$B$10:$C1519, 2, FALSE)</f>
        <v>Bubblebeam</v>
      </c>
      <c r="H1119" s="21"/>
      <c r="I1119" s="25"/>
      <c r="J1119" s="30"/>
    </row>
    <row r="1120" spans="1:10" x14ac:dyDescent="0.2">
      <c r="A1120" s="120"/>
      <c r="B1120" s="48">
        <f>HEX2DEC("18")</f>
        <v>24</v>
      </c>
      <c r="C1120" s="23" t="str">
        <f t="array" ref="C1120">INDEX(Moves!$B$2:'Moves'!$B$177, SUM(HEX2DEC("A6"),1), 1)</f>
        <v>SmokeScreen</v>
      </c>
      <c r="D1120" s="48">
        <f>HEX2DEC("18")</f>
        <v>24</v>
      </c>
      <c r="E1120" s="23" t="s">
        <v>231</v>
      </c>
      <c r="F1120" s="11">
        <v>13</v>
      </c>
      <c r="G1120" s="20" t="str">
        <f>VLOOKUP(F1120, TMHM!$B$10:$C1519, 2, FALSE)</f>
        <v>Ice Beam</v>
      </c>
      <c r="H1120" s="21"/>
      <c r="I1120" s="25"/>
      <c r="J1120" s="30"/>
    </row>
    <row r="1121" spans="1:10" x14ac:dyDescent="0.2">
      <c r="A1121" s="120"/>
      <c r="B1121" s="48">
        <f>HEX2DEC("1D")</f>
        <v>29</v>
      </c>
      <c r="C1121" s="23" t="str">
        <f t="array" ref="C1121">INDEX(Moves!$B$2:'Moves'!$B$177, SUM(HEX2DEC("91"),1), 1)</f>
        <v>Horn Attack</v>
      </c>
      <c r="D1121" s="48">
        <f>HEX2DEC("1D")</f>
        <v>29</v>
      </c>
      <c r="E1121" s="23" t="s">
        <v>48</v>
      </c>
      <c r="F1121" s="11">
        <v>14</v>
      </c>
      <c r="G1121" s="20" t="str">
        <f>VLOOKUP(F1121, TMHM!$B$10:$C1519, 2, FALSE)</f>
        <v>Blizzard</v>
      </c>
      <c r="H1121" s="21"/>
      <c r="I1121" s="25"/>
      <c r="J1121" s="30"/>
    </row>
    <row r="1122" spans="1:10" x14ac:dyDescent="0.2">
      <c r="A1122" s="120"/>
      <c r="B1122" s="48">
        <f>HEX2DEC("29")</f>
        <v>41</v>
      </c>
      <c r="C1122" s="23" t="str">
        <f t="array" ref="C1122">INDEX(Moves!$B$2:'Moves'!$B$177, SUM(HEX2DEC("81"),1), 1)</f>
        <v>Crunch</v>
      </c>
      <c r="D1122" s="48">
        <f>HEX2DEC("29")</f>
        <v>41</v>
      </c>
      <c r="E1122" s="23" t="s">
        <v>232</v>
      </c>
      <c r="F1122" s="11">
        <v>21</v>
      </c>
      <c r="G1122" s="20" t="str">
        <f>VLOOKUP(F1122, TMHM!$B$10:$C1519, 2, FALSE)</f>
        <v>Recover</v>
      </c>
      <c r="H1122" s="21"/>
      <c r="I1122" s="25"/>
      <c r="J1122" s="30"/>
    </row>
    <row r="1123" spans="1:10" x14ac:dyDescent="0.2">
      <c r="A1123" s="120"/>
      <c r="B1123" s="16">
        <f>HEX2DEC("31")</f>
        <v>49</v>
      </c>
      <c r="C1123" s="17" t="str">
        <f t="array" ref="C1123">INDEX(Moves!$B$2:'Moves'!$B$177, SUM(HEX2DEC("9A"),1), 1)</f>
        <v>Horn Drill</v>
      </c>
      <c r="D1123" s="16">
        <f>HEX2DEC("31")</f>
        <v>49</v>
      </c>
      <c r="E1123" s="17" t="str">
        <f t="array" ref="E1123">INDEX(Moves!$B$2:'Moves'!$B$177, SUM(HEX2DEC("9A"),1), 1)</f>
        <v>Horn Drill</v>
      </c>
      <c r="F1123" s="11">
        <v>32</v>
      </c>
      <c r="G1123" s="20" t="str">
        <f>VLOOKUP(F1123, TMHM!$B$10:$C1519, 2, FALSE)</f>
        <v>Double Team</v>
      </c>
      <c r="H1123" s="21"/>
      <c r="I1123" s="25"/>
      <c r="J1123" s="30"/>
    </row>
    <row r="1124" spans="1:10" x14ac:dyDescent="0.2">
      <c r="A1124" s="120"/>
      <c r="B1124" s="16">
        <f>HEX2DEC("3D")</f>
        <v>61</v>
      </c>
      <c r="C1124" s="17" t="str">
        <f t="array" ref="C1124">INDEX(Moves!$B$2:'Moves'!$B$177, SUM(HEX2DEC("71"),1), 1)</f>
        <v>Agility</v>
      </c>
      <c r="D1124" s="16">
        <f>HEX2DEC("3D")</f>
        <v>61</v>
      </c>
      <c r="E1124" s="17" t="str">
        <f t="array" ref="E1124">INDEX(Moves!$B$2:'Moves'!$B$177, SUM(HEX2DEC("71"),1), 1)</f>
        <v>Agility</v>
      </c>
      <c r="F1124" s="11">
        <v>35</v>
      </c>
      <c r="G1124" s="20" t="str">
        <f>VLOOKUP(F1124, TMHM!$B$10:$C1519, 2, FALSE)</f>
        <v>Harden</v>
      </c>
      <c r="H1124" s="21"/>
      <c r="I1124" s="25"/>
      <c r="J1124" s="30"/>
    </row>
    <row r="1125" spans="1:10" x14ac:dyDescent="0.2">
      <c r="A1125" s="120"/>
      <c r="B1125" s="73"/>
      <c r="C1125" s="74"/>
      <c r="D1125" s="73"/>
      <c r="E1125" s="74"/>
      <c r="F1125" s="11">
        <v>36</v>
      </c>
      <c r="G1125" s="20" t="str">
        <f>VLOOKUP(F1125, TMHM!$B$10:$C1519, 2, FALSE)</f>
        <v>Sludge Bomb</v>
      </c>
      <c r="H1125" s="21"/>
      <c r="I1125" s="25"/>
      <c r="J1125" s="30"/>
    </row>
    <row r="1126" spans="1:10" x14ac:dyDescent="0.2">
      <c r="A1126" s="121" t="s">
        <v>234</v>
      </c>
      <c r="B1126" s="70">
        <f>HEX2DEC("00")</f>
        <v>0</v>
      </c>
      <c r="C1126" s="71" t="str">
        <f t="array" ref="C1126">INDEX(Moves!$B$2:'Moves'!$B$177, SUM(HEX2DEC("89"),1), 1)</f>
        <v>Tackle</v>
      </c>
      <c r="D1126" s="70">
        <f t="shared" ref="D1126:D1127" si="89">HEX2DEC("01")</f>
        <v>1</v>
      </c>
      <c r="E1126" s="71" t="str">
        <f t="array" ref="E1126">INDEX(Moves!$B$2:'Moves'!$B$177, SUM(HEX2DEC("89"),1), 1)</f>
        <v>Tackle</v>
      </c>
      <c r="F1126" s="41">
        <v>3</v>
      </c>
      <c r="G1126" s="12" t="str">
        <f>VLOOKUP(F1126, TMHM!$B$10:$C1519, 2, FALSE)</f>
        <v>Water Pulse</v>
      </c>
      <c r="H1126" s="13">
        <v>3</v>
      </c>
      <c r="I1126" s="14" t="str">
        <f>VLOOKUP(H1126, TMHM!$B$2:$C$7, 2, FALSE)</f>
        <v>Surf</v>
      </c>
      <c r="J1126" s="30"/>
    </row>
    <row r="1127" spans="1:10" x14ac:dyDescent="0.2">
      <c r="A1127" s="120"/>
      <c r="B1127" s="43">
        <f>HEX2DEC("02")</f>
        <v>2</v>
      </c>
      <c r="C1127" s="17" t="str">
        <f t="array" ref="C1127">INDEX(Moves!$B$2:'Moves'!$B$177, SUM(HEX2DEC("A3"),1), 1)</f>
        <v>Harden</v>
      </c>
      <c r="D1127" s="43">
        <f t="shared" si="89"/>
        <v>1</v>
      </c>
      <c r="E1127" s="17" t="str">
        <f t="array" ref="E1127">INDEX(Moves!$B$2:'Moves'!$B$177, SUM(HEX2DEC("A3"),1), 1)</f>
        <v>Harden</v>
      </c>
      <c r="F1127" s="11">
        <v>6</v>
      </c>
      <c r="G1127" s="20" t="str">
        <f>VLOOKUP(F1127, TMHM!$B$10:$C1519, 2, FALSE)</f>
        <v>Toxic</v>
      </c>
      <c r="H1127" s="21"/>
      <c r="I1127" s="25"/>
      <c r="J1127" s="30"/>
    </row>
    <row r="1128" spans="1:10" x14ac:dyDescent="0.2">
      <c r="A1128" s="120"/>
      <c r="B1128" s="16">
        <f>HEX2DEC("07")</f>
        <v>7</v>
      </c>
      <c r="C1128" s="17" t="str">
        <f t="array" ref="C1128">INDEX(Moves!$B$2:'Moves'!$B$177, SUM(HEX2DEC("09"),1), 1)</f>
        <v>Water Gun</v>
      </c>
      <c r="D1128" s="16">
        <f>HEX2DEC("07")</f>
        <v>7</v>
      </c>
      <c r="E1128" s="17" t="str">
        <f t="array" ref="E1128">INDEX(Moves!$B$2:'Moves'!$B$177, SUM(HEX2DEC("09"),1), 1)</f>
        <v>Water Gun</v>
      </c>
      <c r="F1128" s="11">
        <v>8</v>
      </c>
      <c r="G1128" s="20" t="str">
        <f>VLOOKUP(F1128, TMHM!$B$10:$C1519, 2, FALSE)</f>
        <v>Charm</v>
      </c>
      <c r="H1128" s="21"/>
      <c r="I1128" s="25"/>
      <c r="J1128" s="30"/>
    </row>
    <row r="1129" spans="1:10" x14ac:dyDescent="0.2">
      <c r="A1129" s="120"/>
      <c r="B1129" s="48">
        <f>HEX2DEC("0D")</f>
        <v>13</v>
      </c>
      <c r="C1129" s="23" t="str">
        <f t="array" ref="C1129">INDEX(Moves!$B$2:'Moves'!$B$177, SUM(HEX2DEC("71"),1), 1)</f>
        <v>Agility</v>
      </c>
      <c r="D1129" s="48">
        <f>HEX2DEC("0D")</f>
        <v>13</v>
      </c>
      <c r="E1129" s="23" t="s">
        <v>34</v>
      </c>
      <c r="F1129" s="11">
        <v>11</v>
      </c>
      <c r="G1129" s="20" t="str">
        <f>VLOOKUP(F1129, TMHM!$B$10:$C1519, 2, FALSE)</f>
        <v>Bubblebeam</v>
      </c>
      <c r="H1129" s="21"/>
      <c r="I1129" s="25"/>
      <c r="J1129" s="30"/>
    </row>
    <row r="1130" spans="1:10" x14ac:dyDescent="0.2">
      <c r="A1130" s="120"/>
      <c r="B1130" s="16">
        <f>HEX2DEC("13")</f>
        <v>19</v>
      </c>
      <c r="C1130" s="17" t="str">
        <f t="array" ref="C1130">INDEX(Moves!$B$2:'Moves'!$B$177, SUM(HEX2DEC("A9"),1), 1)</f>
        <v>Recover</v>
      </c>
      <c r="D1130" s="16">
        <f>HEX2DEC("13")</f>
        <v>19</v>
      </c>
      <c r="E1130" s="17" t="str">
        <f t="array" ref="E1130">INDEX(Moves!$B$2:'Moves'!$B$177, SUM(HEX2DEC("A9"),1), 1)</f>
        <v>Recover</v>
      </c>
      <c r="F1130" s="11">
        <v>13</v>
      </c>
      <c r="G1130" s="20" t="str">
        <f>VLOOKUP(F1130, TMHM!$B$10:$C1519, 2, FALSE)</f>
        <v>Ice Beam</v>
      </c>
      <c r="H1130" s="21"/>
      <c r="I1130" s="25"/>
      <c r="J1130" s="30"/>
    </row>
    <row r="1131" spans="1:10" x14ac:dyDescent="0.2">
      <c r="A1131" s="120"/>
      <c r="B1131" s="16">
        <f>HEX2DEC("19")</f>
        <v>25</v>
      </c>
      <c r="C1131" s="17" t="str">
        <f t="array" ref="C1131">INDEX(Moves!$B$2:'Moves'!$B$177, SUM(HEX2DEC("90"),1), 1)</f>
        <v>Swift</v>
      </c>
      <c r="D1131" s="16">
        <f>HEX2DEC("19")</f>
        <v>25</v>
      </c>
      <c r="E1131" s="17" t="str">
        <f t="array" ref="E1131">INDEX(Moves!$B$2:'Moves'!$B$177, SUM(HEX2DEC("90"),1), 1)</f>
        <v>Swift</v>
      </c>
      <c r="F1131" s="11">
        <v>14</v>
      </c>
      <c r="G1131" s="20" t="str">
        <f>VLOOKUP(F1131, TMHM!$B$10:$C1519, 2, FALSE)</f>
        <v>Blizzard</v>
      </c>
      <c r="H1131" s="21"/>
      <c r="I1131" s="25"/>
      <c r="J1131" s="30"/>
    </row>
    <row r="1132" spans="1:10" x14ac:dyDescent="0.2">
      <c r="A1132" s="120"/>
      <c r="B1132" s="16">
        <f>HEX2DEC("1F")</f>
        <v>31</v>
      </c>
      <c r="C1132" s="17" t="str">
        <f t="array" ref="C1132">INDEX(Moves!$B$2:'Moves'!$B$177, SUM(HEX2DEC("0B"),1), 1)</f>
        <v>Bubblebeam</v>
      </c>
      <c r="D1132" s="16">
        <f>HEX2DEC("1F")</f>
        <v>31</v>
      </c>
      <c r="E1132" s="17" t="str">
        <f t="array" ref="E1132">INDEX(Moves!$B$2:'Moves'!$B$177, SUM(HEX2DEC("0B"),1), 1)</f>
        <v>Bubblebeam</v>
      </c>
      <c r="F1132" s="11">
        <v>21</v>
      </c>
      <c r="G1132" s="20" t="str">
        <f>VLOOKUP(F1132, TMHM!$B$10:$C1519, 2, FALSE)</f>
        <v>Recover</v>
      </c>
      <c r="H1132" s="21"/>
      <c r="I1132" s="25"/>
      <c r="J1132" s="30"/>
    </row>
    <row r="1133" spans="1:10" x14ac:dyDescent="0.2">
      <c r="A1133" s="120"/>
      <c r="B1133" s="48">
        <f>HEX2DEC("25")</f>
        <v>37</v>
      </c>
      <c r="C1133" s="23" t="str">
        <f t="array" ref="C1133">INDEX(Moves!$B$2:'Moves'!$B$177, SUM(HEX2DEC("A8"),1), 1)</f>
        <v>Double Team</v>
      </c>
      <c r="D1133" s="48">
        <f>HEX2DEC("25")</f>
        <v>37</v>
      </c>
      <c r="E1133" s="23" t="s">
        <v>86</v>
      </c>
      <c r="F1133" s="11">
        <v>32</v>
      </c>
      <c r="G1133" s="20" t="str">
        <f>VLOOKUP(F1133, TMHM!$B$10:$C1519, 2, FALSE)</f>
        <v>Double Team</v>
      </c>
      <c r="H1133" s="21"/>
      <c r="I1133" s="25"/>
      <c r="J1133" s="30"/>
    </row>
    <row r="1134" spans="1:10" x14ac:dyDescent="0.2">
      <c r="A1134" s="120"/>
      <c r="B1134" s="48">
        <f>HEX2DEC("2B")</f>
        <v>43</v>
      </c>
      <c r="C1134" s="23" t="str">
        <f t="array" ref="C1134">INDEX(Moves!$B$2:'Moves'!$B$177, SUM(HEX2DEC("86"),1), 1)</f>
        <v>Iron Defense</v>
      </c>
      <c r="D1134" s="48">
        <f>HEX2DEC("2B")</f>
        <v>43</v>
      </c>
      <c r="E1134" s="23" t="s">
        <v>68</v>
      </c>
      <c r="F1134" s="11">
        <v>35</v>
      </c>
      <c r="G1134" s="20" t="str">
        <f>VLOOKUP(F1134, TMHM!$B$10:$C1519, 2, FALSE)</f>
        <v>Harden</v>
      </c>
      <c r="H1134" s="21"/>
      <c r="I1134" s="25"/>
      <c r="J1134" s="30"/>
    </row>
    <row r="1135" spans="1:10" x14ac:dyDescent="0.2">
      <c r="A1135" s="120"/>
      <c r="B1135" s="16">
        <f>HEX2DEC("32")</f>
        <v>50</v>
      </c>
      <c r="C1135" s="17" t="str">
        <f t="array" ref="C1135">INDEX(Moves!$B$2:'Moves'!$B$177, SUM(HEX2DEC("0F"),1), 1)</f>
        <v>Hydro Pump</v>
      </c>
      <c r="D1135" s="16">
        <f>HEX2DEC("32")</f>
        <v>50</v>
      </c>
      <c r="E1135" s="17" t="str">
        <f t="array" ref="E1135">INDEX(Moves!$B$2:'Moves'!$B$177, SUM(HEX2DEC("0F"),1), 1)</f>
        <v>Hydro Pump</v>
      </c>
      <c r="F1135" s="11">
        <v>36</v>
      </c>
      <c r="G1135" s="20" t="str">
        <f>VLOOKUP(F1135, TMHM!$B$10:$C1519, 2, FALSE)</f>
        <v>Sludge Bomb</v>
      </c>
      <c r="H1135" s="21"/>
      <c r="I1135" s="25"/>
      <c r="J1135" s="30"/>
    </row>
    <row r="1136" spans="1:10" x14ac:dyDescent="0.2">
      <c r="A1136" s="121" t="s">
        <v>235</v>
      </c>
      <c r="B1136" s="70">
        <f>HEX2DEC("00")</f>
        <v>0</v>
      </c>
      <c r="C1136" s="71" t="str">
        <f t="array" ref="C1136">INDEX(Moves!$B$2:'Moves'!$B$177, SUM(HEX2DEC("89"),1), 1)</f>
        <v>Tackle</v>
      </c>
      <c r="D1136" s="70">
        <f>HEX2DEC("00")</f>
        <v>0</v>
      </c>
      <c r="E1136" s="71" t="str">
        <f t="array" ref="E1136">INDEX(Moves!$B$2:'Moves'!$B$177, SUM(HEX2DEC("89"),1), 1)</f>
        <v>Tackle</v>
      </c>
      <c r="F1136" s="41">
        <v>3</v>
      </c>
      <c r="G1136" s="12" t="str">
        <f>VLOOKUP(F1136, TMHM!$B$10:$C1519, 2, FALSE)</f>
        <v>Water Pulse</v>
      </c>
      <c r="H1136" s="13">
        <v>3</v>
      </c>
      <c r="I1136" s="14" t="str">
        <f>VLOOKUP(H1136, TMHM!$B$2:$C$7, 2, FALSE)</f>
        <v>Surf</v>
      </c>
      <c r="J1136" s="30"/>
    </row>
    <row r="1137" spans="1:10" x14ac:dyDescent="0.2">
      <c r="A1137" s="120"/>
      <c r="B1137" s="43">
        <f>HEX2DEC("02")</f>
        <v>2</v>
      </c>
      <c r="C1137" s="23" t="str">
        <f t="array" ref="C1137">INDEX(Moves!$B$2:'Moves'!$B$177, SUM(HEX2DEC("A3"),1), 1)</f>
        <v>Harden</v>
      </c>
      <c r="D1137" s="43">
        <f t="shared" ref="D1137:D1139" si="90">HEX2DEC("01")</f>
        <v>1</v>
      </c>
      <c r="E1137" s="23" t="s">
        <v>34</v>
      </c>
      <c r="F1137" s="11">
        <v>6</v>
      </c>
      <c r="G1137" s="20" t="str">
        <f>VLOOKUP(F1137, TMHM!$B$10:$C1519, 2, FALSE)</f>
        <v>Toxic</v>
      </c>
      <c r="H1137" s="21"/>
      <c r="I1137" s="25"/>
      <c r="J1137" s="30"/>
    </row>
    <row r="1138" spans="1:10" x14ac:dyDescent="0.2">
      <c r="A1138" s="120"/>
      <c r="B1138" s="43">
        <f>HEX2DEC("07")</f>
        <v>7</v>
      </c>
      <c r="C1138" s="23" t="str">
        <f t="array" ref="C1138">INDEX(Moves!$B$2:'Moves'!$B$177, SUM(HEX2DEC("09"),1), 1)</f>
        <v>Water Gun</v>
      </c>
      <c r="D1138" s="43">
        <f t="shared" si="90"/>
        <v>1</v>
      </c>
      <c r="E1138" s="23" t="str">
        <f t="array" ref="E1138">INDEX(Moves!$B$2:'Moves'!$B$177, SUM(HEX2DEC("A9"),1), 1)</f>
        <v>Recover</v>
      </c>
      <c r="F1138" s="11">
        <v>8</v>
      </c>
      <c r="G1138" s="20" t="str">
        <f>VLOOKUP(F1138, TMHM!$B$10:$C1519, 2, FALSE)</f>
        <v>Charm</v>
      </c>
      <c r="H1138" s="21"/>
      <c r="I1138" s="25"/>
      <c r="J1138" s="30"/>
    </row>
    <row r="1139" spans="1:10" x14ac:dyDescent="0.2">
      <c r="A1139" s="120"/>
      <c r="B1139" s="43">
        <f>HEX2DEC("0D")</f>
        <v>13</v>
      </c>
      <c r="C1139" s="23" t="str">
        <f t="array" ref="C1139">INDEX(Moves!$B$2:'Moves'!$B$177, SUM(HEX2DEC("71"),1), 1)</f>
        <v>Agility</v>
      </c>
      <c r="D1139" s="43">
        <f t="shared" si="90"/>
        <v>1</v>
      </c>
      <c r="E1139" s="23" t="str">
        <f t="array" ref="E1139">INDEX(Moves!$B$2:'Moves'!$B$177, SUM(HEX2DEC("0B"),1), 1)</f>
        <v>Bubblebeam</v>
      </c>
      <c r="F1139" s="11">
        <v>11</v>
      </c>
      <c r="G1139" s="20" t="str">
        <f>VLOOKUP(F1139, TMHM!$B$10:$C1519, 2, FALSE)</f>
        <v>Bubblebeam</v>
      </c>
      <c r="H1139" s="21"/>
      <c r="I1139" s="25"/>
      <c r="J1139" s="30"/>
    </row>
    <row r="1140" spans="1:10" x14ac:dyDescent="0.2">
      <c r="A1140" s="120"/>
      <c r="B1140" s="48">
        <f>HEX2DEC("25")</f>
        <v>37</v>
      </c>
      <c r="C1140" s="23" t="str">
        <f t="array" ref="C1140">INDEX(Moves!$B$2:'Moves'!$B$177, SUM(HEX2DEC("77"),1), 1)</f>
        <v>Confuse Ray</v>
      </c>
      <c r="D1140" s="48">
        <f>HEX2DEC("25")</f>
        <v>37</v>
      </c>
      <c r="E1140" s="23" t="str">
        <f t="array" ref="E1140">INDEX(Moves!$B$2:'Moves'!$B$177, SUM(HEX2DEC("77"),1), 1)</f>
        <v>Confuse Ray</v>
      </c>
      <c r="F1140" s="11">
        <v>13</v>
      </c>
      <c r="G1140" s="20" t="str">
        <f>VLOOKUP(F1140, TMHM!$B$10:$C1519, 2, FALSE)</f>
        <v>Ice Beam</v>
      </c>
      <c r="H1140" s="21"/>
      <c r="I1140" s="25"/>
      <c r="J1140" s="30"/>
    </row>
    <row r="1141" spans="1:10" x14ac:dyDescent="0.2">
      <c r="A1141" s="120"/>
      <c r="B1141" s="73"/>
      <c r="C1141" s="74"/>
      <c r="D1141" s="73"/>
      <c r="E1141" s="74"/>
      <c r="F1141" s="11">
        <v>14</v>
      </c>
      <c r="G1141" s="20" t="str">
        <f>VLOOKUP(F1141, TMHM!$B$10:$C1519, 2, FALSE)</f>
        <v>Blizzard</v>
      </c>
      <c r="H1141" s="21"/>
      <c r="I1141" s="25"/>
      <c r="J1141" s="30"/>
    </row>
    <row r="1142" spans="1:10" x14ac:dyDescent="0.2">
      <c r="A1142" s="120"/>
      <c r="B1142" s="73"/>
      <c r="C1142" s="74"/>
      <c r="D1142" s="73"/>
      <c r="E1142" s="74"/>
      <c r="F1142" s="11">
        <v>21</v>
      </c>
      <c r="G1142" s="20" t="str">
        <f>VLOOKUP(F1142, TMHM!$B$10:$C1519, 2, FALSE)</f>
        <v>Recover</v>
      </c>
      <c r="H1142" s="21"/>
      <c r="I1142" s="25"/>
      <c r="J1142" s="30"/>
    </row>
    <row r="1143" spans="1:10" x14ac:dyDescent="0.2">
      <c r="A1143" s="120"/>
      <c r="B1143" s="73"/>
      <c r="C1143" s="74"/>
      <c r="D1143" s="73"/>
      <c r="E1143" s="74"/>
      <c r="F1143" s="11">
        <v>32</v>
      </c>
      <c r="G1143" s="20" t="str">
        <f>VLOOKUP(F1143, TMHM!$B$10:$C1519, 2, FALSE)</f>
        <v>Double Team</v>
      </c>
      <c r="H1143" s="21"/>
      <c r="I1143" s="25"/>
      <c r="J1143" s="30"/>
    </row>
    <row r="1144" spans="1:10" x14ac:dyDescent="0.2">
      <c r="A1144" s="120"/>
      <c r="B1144" s="73"/>
      <c r="C1144" s="74"/>
      <c r="D1144" s="73"/>
      <c r="E1144" s="74"/>
      <c r="F1144" s="11">
        <v>35</v>
      </c>
      <c r="G1144" s="20" t="str">
        <f>VLOOKUP(F1144, TMHM!$B$10:$C1519, 2, FALSE)</f>
        <v>Harden</v>
      </c>
      <c r="H1144" s="21"/>
      <c r="I1144" s="25"/>
      <c r="J1144" s="30"/>
    </row>
    <row r="1145" spans="1:10" x14ac:dyDescent="0.2">
      <c r="A1145" s="120"/>
      <c r="B1145" s="73"/>
      <c r="C1145" s="74"/>
      <c r="D1145" s="73"/>
      <c r="E1145" s="74"/>
      <c r="F1145" s="11">
        <v>36</v>
      </c>
      <c r="G1145" s="20" t="str">
        <f>VLOOKUP(F1145, TMHM!$B$10:$C1519, 2, FALSE)</f>
        <v>Sludge Bomb</v>
      </c>
      <c r="H1145" s="21"/>
      <c r="I1145" s="25"/>
      <c r="J1145" s="30"/>
    </row>
    <row r="1146" spans="1:10" x14ac:dyDescent="0.2">
      <c r="A1146" s="121" t="s">
        <v>236</v>
      </c>
      <c r="B1146" s="61">
        <f>HEX2DEC("00")</f>
        <v>0</v>
      </c>
      <c r="C1146" s="62" t="str">
        <f t="array" ref="C1146">INDEX(Moves!$B$2:'Moves'!$B$177, SUM(HEX2DEC("9E"),1), 1)</f>
        <v>Supersonic</v>
      </c>
      <c r="D1146" s="61">
        <f>HEX2DEC("01")</f>
        <v>1</v>
      </c>
      <c r="E1146" s="62" t="s">
        <v>147</v>
      </c>
      <c r="F1146" s="41">
        <v>4</v>
      </c>
      <c r="G1146" s="12" t="str">
        <f>VLOOKUP(F1146, TMHM!$B$10:$C1519, 2, FALSE)</f>
        <v>Calm Mind</v>
      </c>
      <c r="H1146" s="13">
        <v>5</v>
      </c>
      <c r="I1146" s="14" t="str">
        <f>VLOOKUP(H1146, TMHM!$B$2:$C$7, 2, FALSE)</f>
        <v>Flash</v>
      </c>
      <c r="J1146" s="30"/>
    </row>
    <row r="1147" spans="1:10" x14ac:dyDescent="0.2">
      <c r="A1147" s="120"/>
      <c r="B1147" s="16">
        <f>HEX2DEC("06")</f>
        <v>6</v>
      </c>
      <c r="C1147" s="17" t="str">
        <f t="array" ref="C1147">INDEX(Moves!$B$2:'Moves'!$B$177, SUM(HEX2DEC("65"),1), 1)</f>
        <v>Confusion</v>
      </c>
      <c r="D1147" s="16">
        <f>HEX2DEC("06")</f>
        <v>6</v>
      </c>
      <c r="E1147" s="17" t="str">
        <f t="array" ref="E1147">INDEX(Moves!$B$2:'Moves'!$B$177, SUM(HEX2DEC("65"),1), 1)</f>
        <v>Confusion</v>
      </c>
      <c r="F1147" s="11">
        <v>16</v>
      </c>
      <c r="G1147" s="20" t="str">
        <f>VLOOKUP(F1147, TMHM!$B$10:$C1519, 2, FALSE)</f>
        <v>Rest</v>
      </c>
      <c r="H1147" s="21"/>
      <c r="I1147" s="25"/>
      <c r="J1147" s="30"/>
    </row>
    <row r="1148" spans="1:10" x14ac:dyDescent="0.2">
      <c r="A1148" s="120"/>
      <c r="B1148" s="48">
        <f>HEX2DEC("0B")</f>
        <v>11</v>
      </c>
      <c r="C1148" s="23" t="str">
        <f t="array" ref="C1148">INDEX(Moves!$B$2:'Moves'!$B$177, SUM(HEX2DEC("A9"),1), 1)</f>
        <v>Recover</v>
      </c>
      <c r="D1148" s="48">
        <f>HEX2DEC("0B")</f>
        <v>11</v>
      </c>
      <c r="E1148" s="23" t="s">
        <v>237</v>
      </c>
      <c r="F1148" s="21">
        <v>29</v>
      </c>
      <c r="G1148" s="20" t="str">
        <f>VLOOKUP(F1148, TMHM!$B$10:$C1519, 2, FALSE)</f>
        <v>Psychic</v>
      </c>
      <c r="H1148" s="21"/>
      <c r="I1148" s="25"/>
      <c r="J1148" s="30"/>
    </row>
    <row r="1149" spans="1:10" x14ac:dyDescent="0.2">
      <c r="A1149" s="120"/>
      <c r="B1149" s="48">
        <f>HEX2DEC("10")</f>
        <v>16</v>
      </c>
      <c r="C1149" s="23" t="str">
        <f t="array" ref="C1149">INDEX(Moves!$B$2:'Moves'!$B$177, SUM(HEX2DEC("A1"),1), 1)</f>
        <v>Charm</v>
      </c>
      <c r="D1149" s="48">
        <f>HEX2DEC("10")</f>
        <v>16</v>
      </c>
      <c r="E1149" s="23" t="s">
        <v>189</v>
      </c>
      <c r="F1149" s="21">
        <v>30</v>
      </c>
      <c r="G1149" s="20" t="str">
        <f>VLOOKUP(F1149, TMHM!$B$10:$C1519, 2, FALSE)</f>
        <v>Shadow Ball</v>
      </c>
      <c r="H1149" s="21"/>
      <c r="I1149" s="25"/>
      <c r="J1149" s="30"/>
    </row>
    <row r="1150" spans="1:10" x14ac:dyDescent="0.2">
      <c r="A1150" s="120"/>
      <c r="B1150" s="48">
        <f>HEX2DEC("15")</f>
        <v>21</v>
      </c>
      <c r="C1150" s="23" t="str">
        <f t="array" ref="C1150">INDEX(Moves!$B$2:'Moves'!$B$177, SUM(HEX2DEC("90"),1), 1)</f>
        <v>Swift</v>
      </c>
      <c r="D1150" s="48">
        <f>HEX2DEC("15")</f>
        <v>21</v>
      </c>
      <c r="E1150" s="23" t="s">
        <v>238</v>
      </c>
      <c r="F1150" s="21">
        <v>40</v>
      </c>
      <c r="G1150" s="20" t="str">
        <f>VLOOKUP(F1150, TMHM!$B$10:$C1519, 2, FALSE)</f>
        <v>Psychic</v>
      </c>
      <c r="H1150" s="21"/>
      <c r="I1150" s="25"/>
      <c r="J1150" s="30"/>
    </row>
    <row r="1151" spans="1:10" x14ac:dyDescent="0.2">
      <c r="A1151" s="120"/>
      <c r="B1151" s="48">
        <f>HEX2DEC("1A")</f>
        <v>26</v>
      </c>
      <c r="C1151" s="23" t="str">
        <f t="array" ref="C1151">INDEX(Moves!$B$2:'Moves'!$B$177, SUM(HEX2DEC("68"),1), 1)</f>
        <v>Extrasensory</v>
      </c>
      <c r="D1151" s="48">
        <f t="shared" ref="D1151:D1152" si="91">HEX2DEC("1A")</f>
        <v>26</v>
      </c>
      <c r="E1151" s="23" t="s">
        <v>68</v>
      </c>
      <c r="F1151" s="21"/>
      <c r="H1151" s="21"/>
      <c r="I1151" s="25"/>
      <c r="J1151" s="30"/>
    </row>
    <row r="1152" spans="1:10" x14ac:dyDescent="0.2">
      <c r="A1152" s="120"/>
      <c r="B1152" s="34"/>
      <c r="C1152" s="35"/>
      <c r="D1152" s="34">
        <f t="shared" si="91"/>
        <v>26</v>
      </c>
      <c r="E1152" s="35" t="s">
        <v>135</v>
      </c>
      <c r="F1152" s="21"/>
      <c r="H1152" s="21"/>
      <c r="I1152" s="25"/>
      <c r="J1152" s="30"/>
    </row>
    <row r="1153" spans="1:10" x14ac:dyDescent="0.2">
      <c r="A1153" s="120"/>
      <c r="B1153" s="50">
        <f>HEX2DEC("1F")</f>
        <v>31</v>
      </c>
      <c r="C1153" s="51" t="str">
        <f t="array" ref="C1153">INDEX(Moves!$B$2:'Moves'!$B$177, SUM(HEX2DEC("6E"),1), 1)</f>
        <v>Rest</v>
      </c>
      <c r="D1153" s="50">
        <f>HEX2DEC("1F")</f>
        <v>31</v>
      </c>
      <c r="E1153" s="51" t="s">
        <v>239</v>
      </c>
      <c r="F1153" s="21"/>
      <c r="H1153" s="21"/>
      <c r="I1153" s="25"/>
      <c r="J1153" s="30"/>
    </row>
    <row r="1154" spans="1:10" x14ac:dyDescent="0.2">
      <c r="A1154" s="120"/>
      <c r="B1154" s="50">
        <f>HEX2DEC("24")</f>
        <v>36</v>
      </c>
      <c r="C1154" s="51" t="str">
        <f t="array" ref="C1154">INDEX(Moves!$B$2:'Moves'!$B$177, SUM(HEX2DEC("77"),1), 1)</f>
        <v>Confuse Ray</v>
      </c>
      <c r="D1154" s="50">
        <f>HEX2DEC("24")</f>
        <v>36</v>
      </c>
      <c r="E1154" s="51" t="str">
        <f t="array" ref="E1154">INDEX(Moves!$B$2:'Moves'!$B$177, SUM(HEX2DEC("66"),1), 1)</f>
        <v>Psybeam</v>
      </c>
      <c r="F1154" s="21"/>
      <c r="H1154" s="21"/>
      <c r="I1154" s="25"/>
      <c r="J1154" s="30"/>
    </row>
    <row r="1155" spans="1:10" x14ac:dyDescent="0.2">
      <c r="A1155" s="120"/>
      <c r="B1155" s="48">
        <f>HEX2DEC("29")</f>
        <v>41</v>
      </c>
      <c r="C1155" s="23" t="str">
        <f t="array" ref="C1155">INDEX(Moves!$B$2:'Moves'!$B$177, SUM(HEX2DEC("70"),1), 1)</f>
        <v>Calm Mind</v>
      </c>
      <c r="D1155" s="48">
        <f>HEX2DEC("29")</f>
        <v>41</v>
      </c>
      <c r="E1155" s="23" t="s">
        <v>240</v>
      </c>
      <c r="F1155" s="21"/>
      <c r="H1155" s="21"/>
      <c r="I1155" s="25"/>
      <c r="J1155" s="30"/>
    </row>
    <row r="1156" spans="1:10" x14ac:dyDescent="0.2">
      <c r="A1156" s="120"/>
      <c r="B1156" s="34"/>
      <c r="C1156" s="35"/>
      <c r="D1156" s="34">
        <f>HEX2DEC("2E")</f>
        <v>46</v>
      </c>
      <c r="E1156" s="35" t="s">
        <v>44</v>
      </c>
      <c r="F1156" s="21"/>
      <c r="H1156" s="21"/>
      <c r="I1156" s="25"/>
      <c r="J1156" s="30"/>
    </row>
    <row r="1157" spans="1:10" x14ac:dyDescent="0.2">
      <c r="A1157" s="121" t="s">
        <v>241</v>
      </c>
      <c r="B1157" s="70">
        <f>HEX2DEC("00")</f>
        <v>0</v>
      </c>
      <c r="C1157" s="71" t="str">
        <f t="array" ref="C1157">INDEX(Moves!$B$2:'Moves'!$B$177, SUM(HEX2DEC("8C"),1), 1)</f>
        <v>Quick Attack</v>
      </c>
      <c r="D1157" s="70">
        <f t="shared" ref="D1157:D1158" si="92">HEX2DEC("01")</f>
        <v>1</v>
      </c>
      <c r="E1157" s="71" t="str">
        <f t="array" ref="E1157">INDEX(Moves!$B$2:'Moves'!$B$177, SUM(HEX2DEC("8C"),1), 1)</f>
        <v>Quick Attack</v>
      </c>
      <c r="F1157" s="41">
        <v>1</v>
      </c>
      <c r="G1157" s="12" t="str">
        <f>VLOOKUP(F1157, TMHM!$B$10:$C1519, 2, FALSE)</f>
        <v>Focus Punch</v>
      </c>
      <c r="H1157" s="13">
        <v>1</v>
      </c>
      <c r="I1157" s="14" t="str">
        <f>VLOOKUP(H1157, TMHM!$B$2:$C$7, 2, FALSE)</f>
        <v>Cut</v>
      </c>
      <c r="J1157" s="30"/>
    </row>
    <row r="1158" spans="1:10" x14ac:dyDescent="0.2">
      <c r="A1158" s="120"/>
      <c r="B1158" s="48">
        <f>HEX2DEC("02")</f>
        <v>2</v>
      </c>
      <c r="C1158" s="23" t="str">
        <f t="array" ref="C1158">INDEX(Moves!$B$2:'Moves'!$B$177, SUM(HEX2DEC("A0"),1), 1)</f>
        <v>Growl</v>
      </c>
      <c r="D1158" s="48">
        <f t="shared" si="92"/>
        <v>1</v>
      </c>
      <c r="E1158" s="23" t="s">
        <v>59</v>
      </c>
      <c r="F1158" s="11">
        <v>5</v>
      </c>
      <c r="G1158" s="20" t="str">
        <f>VLOOKUP(F1158, TMHM!$B$10:$C1519, 2, FALSE)</f>
        <v>Roar</v>
      </c>
      <c r="H1158" s="21"/>
      <c r="I1158" s="25"/>
      <c r="J1158" s="30"/>
    </row>
    <row r="1159" spans="1:10" x14ac:dyDescent="0.2">
      <c r="A1159" s="120"/>
      <c r="B1159" s="48">
        <f>HEX2DEC("06")</f>
        <v>6</v>
      </c>
      <c r="C1159" s="23" t="str">
        <f t="array" ref="C1159">INDEX(Moves!$B$2:'Moves'!$B$177, SUM(HEX2DEC("86"),1), 1)</f>
        <v>Iron Defense</v>
      </c>
      <c r="D1159" s="48">
        <f>HEX2DEC("06")</f>
        <v>6</v>
      </c>
      <c r="E1159" s="23" t="s">
        <v>49</v>
      </c>
      <c r="F1159" s="21">
        <v>7</v>
      </c>
      <c r="G1159" s="20" t="str">
        <f>VLOOKUP(F1159, TMHM!$B$10:$C1519, 2, FALSE)</f>
        <v>Secret Power</v>
      </c>
      <c r="H1159" s="21"/>
      <c r="I1159" s="25"/>
      <c r="J1159" s="30"/>
    </row>
    <row r="1160" spans="1:10" x14ac:dyDescent="0.2">
      <c r="A1160" s="120"/>
      <c r="B1160" s="16">
        <f>HEX2DEC("0C")</f>
        <v>12</v>
      </c>
      <c r="C1160" s="17" t="str">
        <f t="array" ref="C1160">INDEX(Moves!$B$2:'Moves'!$B$177, SUM(HEX2DEC("7F"),1), 1)</f>
        <v>Pursuit</v>
      </c>
      <c r="D1160" s="16">
        <f>HEX2DEC("0C")</f>
        <v>12</v>
      </c>
      <c r="E1160" s="17" t="str">
        <f t="array" ref="E1160">INDEX(Moves!$B$2:'Moves'!$B$177, SUM(HEX2DEC("7F"),1), 1)</f>
        <v>Pursuit</v>
      </c>
      <c r="F1160" s="21">
        <v>10</v>
      </c>
      <c r="G1160" s="20" t="str">
        <f>VLOOKUP(F1160, TMHM!$B$10:$C1519, 2, FALSE)</f>
        <v>Bite</v>
      </c>
      <c r="H1160" s="21"/>
      <c r="I1160" s="25"/>
      <c r="J1160" s="30"/>
    </row>
    <row r="1161" spans="1:10" x14ac:dyDescent="0.2">
      <c r="A1161" s="120"/>
      <c r="B1161" s="16">
        <f>HEX2DEC("12")</f>
        <v>18</v>
      </c>
      <c r="C1161" s="17" t="str">
        <f t="array" ref="C1161">INDEX(Moves!$B$2:'Moves'!$B$177, SUM(HEX2DEC("8A"),1), 1)</f>
        <v>False Swipe</v>
      </c>
      <c r="D1161" s="16">
        <f>HEX2DEC("12")</f>
        <v>18</v>
      </c>
      <c r="E1161" s="17" t="str">
        <f t="array" ref="E1161">INDEX(Moves!$B$2:'Moves'!$B$177, SUM(HEX2DEC("8A"),1), 1)</f>
        <v>False Swipe</v>
      </c>
      <c r="F1161" s="21">
        <v>15</v>
      </c>
      <c r="G1161" s="20" t="str">
        <f>VLOOKUP(F1161, TMHM!$B$10:$C1519, 2, FALSE)</f>
        <v>Hyper Beam</v>
      </c>
      <c r="H1161" s="21"/>
      <c r="I1161" s="25"/>
      <c r="J1161" s="30"/>
    </row>
    <row r="1162" spans="1:10" x14ac:dyDescent="0.2">
      <c r="A1162" s="120"/>
      <c r="B1162" s="16">
        <f>HEX2DEC("18")</f>
        <v>24</v>
      </c>
      <c r="C1162" s="17" t="str">
        <f t="array" ref="C1162">INDEX(Moves!$B$2:'Moves'!$B$177, SUM(HEX2DEC("71"),1), 1)</f>
        <v>Agility</v>
      </c>
      <c r="D1162" s="16">
        <f>HEX2DEC("18")</f>
        <v>24</v>
      </c>
      <c r="E1162" s="17" t="str">
        <f t="array" ref="E1162">INDEX(Moves!$B$2:'Moves'!$B$177, SUM(HEX2DEC("71"),1), 1)</f>
        <v>Agility</v>
      </c>
      <c r="F1162" s="21">
        <v>21</v>
      </c>
      <c r="G1162" s="20" t="str">
        <f>VLOOKUP(F1162, TMHM!$B$10:$C1519, 2, FALSE)</f>
        <v>Recover</v>
      </c>
      <c r="H1162" s="21"/>
      <c r="I1162" s="25"/>
      <c r="J1162" s="30"/>
    </row>
    <row r="1163" spans="1:10" x14ac:dyDescent="0.2">
      <c r="A1163" s="120"/>
      <c r="B1163" s="50">
        <f>HEX2DEC("1E")</f>
        <v>30</v>
      </c>
      <c r="C1163" s="51" t="str">
        <f t="array" ref="C1163">INDEX(Moves!$B$2:'Moves'!$B$177, SUM(HEX2DEC("5D"),1), 1)</f>
        <v>Air Cutter</v>
      </c>
      <c r="D1163" s="50">
        <f>HEX2DEC("1E")</f>
        <v>30</v>
      </c>
      <c r="E1163" s="51" t="s">
        <v>242</v>
      </c>
      <c r="F1163" s="21">
        <v>23</v>
      </c>
      <c r="G1163" s="20" t="str">
        <f>VLOOKUP(F1163, TMHM!$B$10:$C1519, 2, FALSE)</f>
        <v>Iron Tail</v>
      </c>
      <c r="H1163" s="21"/>
      <c r="I1163" s="25"/>
      <c r="J1163" s="30"/>
    </row>
    <row r="1164" spans="1:10" x14ac:dyDescent="0.2">
      <c r="A1164" s="120"/>
      <c r="B1164" s="48">
        <f>HEX2DEC("24")</f>
        <v>36</v>
      </c>
      <c r="C1164" s="23" t="str">
        <f t="array" ref="C1164">INDEX(Moves!$B$2:'Moves'!$B$177, SUM(HEX2DEC("57"),1), 1)</f>
        <v>Cross Chop</v>
      </c>
      <c r="D1164" s="48">
        <f>HEX2DEC("24")</f>
        <v>36</v>
      </c>
      <c r="E1164" s="23" t="s">
        <v>28</v>
      </c>
      <c r="F1164" s="21">
        <v>26</v>
      </c>
      <c r="G1164" s="20" t="str">
        <f>VLOOKUP(F1164, TMHM!$B$10:$C1519, 2, FALSE)</f>
        <v>Earthquake</v>
      </c>
      <c r="H1164" s="21"/>
      <c r="I1164" s="25"/>
      <c r="J1164" s="30"/>
    </row>
    <row r="1165" spans="1:10" x14ac:dyDescent="0.2">
      <c r="A1165" s="120"/>
      <c r="B1165" s="16">
        <f>HEX2DEC("2A")</f>
        <v>42</v>
      </c>
      <c r="C1165" s="17" t="str">
        <f t="array" ref="C1165">INDEX(Moves!$B$2:'Moves'!$B$177, SUM(HEX2DEC("9F"),1), 1)</f>
        <v>Sword Dance</v>
      </c>
      <c r="D1165" s="16">
        <f>HEX2DEC("2A")</f>
        <v>42</v>
      </c>
      <c r="E1165" s="17" t="str">
        <f t="array" ref="E1165">INDEX(Moves!$B$2:'Moves'!$B$177, SUM(HEX2DEC("9F"),1), 1)</f>
        <v>Sword Dance</v>
      </c>
      <c r="F1165" s="21"/>
      <c r="H1165" s="21"/>
      <c r="I1165" s="25"/>
      <c r="J1165" s="30"/>
    </row>
    <row r="1166" spans="1:10" x14ac:dyDescent="0.2">
      <c r="A1166" s="120"/>
      <c r="B1166" s="16">
        <f>HEX2DEC("30")</f>
        <v>48</v>
      </c>
      <c r="C1166" s="17" t="str">
        <f t="array" ref="C1166">INDEX(Moves!$B$2:'Moves'!$B$177, SUM(HEX2DEC("A8"),1), 1)</f>
        <v>Double Team</v>
      </c>
      <c r="D1166" s="16">
        <f>HEX2DEC("30")</f>
        <v>48</v>
      </c>
      <c r="E1166" s="17" t="str">
        <f t="array" ref="E1166">INDEX(Moves!$B$2:'Moves'!$B$177, SUM(HEX2DEC("A8"),1), 1)</f>
        <v>Double Team</v>
      </c>
      <c r="F1166" s="21"/>
      <c r="H1166" s="21"/>
      <c r="I1166" s="25"/>
      <c r="J1166" s="30"/>
    </row>
    <row r="1167" spans="1:10" x14ac:dyDescent="0.2">
      <c r="A1167" s="121" t="s">
        <v>243</v>
      </c>
      <c r="B1167" s="61">
        <f>HEX2DEC("00")</f>
        <v>0</v>
      </c>
      <c r="C1167" s="62" t="str">
        <f t="array" ref="C1167">INDEX(Moves!$B$2:'Moves'!$B$177, SUM(HEX2DEC("89"),1), 1)</f>
        <v>Tackle</v>
      </c>
      <c r="D1167" s="61">
        <f t="shared" ref="D1167:D1170" si="93">HEX2DEC("01")</f>
        <v>1</v>
      </c>
      <c r="E1167" s="62" t="s">
        <v>84</v>
      </c>
      <c r="F1167" s="41">
        <v>3</v>
      </c>
      <c r="G1167" s="12" t="str">
        <f>VLOOKUP(F1167, TMHM!$B$10:$C1519, 2, FALSE)</f>
        <v>Water Pulse</v>
      </c>
      <c r="H1167" s="13">
        <v>3</v>
      </c>
      <c r="I1167" s="14" t="str">
        <f>VLOOKUP(H1167, TMHM!$B$2:$C$7, 2, FALSE)</f>
        <v>Surf</v>
      </c>
      <c r="J1167" s="30"/>
    </row>
    <row r="1168" spans="1:10" x14ac:dyDescent="0.2">
      <c r="A1168" s="120"/>
      <c r="B1168" s="43">
        <f>HEX2DEC("02")</f>
        <v>2</v>
      </c>
      <c r="C1168" s="17" t="str">
        <f t="array" ref="C1168">INDEX(Moves!$B$2:'Moves'!$B$177, SUM(HEX2DEC("72"),1), 1)</f>
        <v>Lick</v>
      </c>
      <c r="D1168" s="43">
        <f t="shared" si="93"/>
        <v>1</v>
      </c>
      <c r="E1168" s="17" t="str">
        <f t="array" ref="E1168">INDEX(Moves!$B$2:'Moves'!$B$177, SUM(HEX2DEC("72"),1), 1)</f>
        <v>Lick</v>
      </c>
      <c r="F1168" s="11">
        <v>5</v>
      </c>
      <c r="G1168" s="20" t="str">
        <f>VLOOKUP(F1168, TMHM!$B$10:$C1519, 2, FALSE)</f>
        <v>Roar</v>
      </c>
      <c r="H1168" s="21">
        <v>4</v>
      </c>
      <c r="I1168" s="20" t="str">
        <f>VLOOKUP(H1168, TMHM!$B$2:$C$7, 2, FALSE)</f>
        <v>Strength</v>
      </c>
      <c r="J1168" s="30"/>
    </row>
    <row r="1169" spans="1:10" x14ac:dyDescent="0.2">
      <c r="A1169" s="120"/>
      <c r="B1169" s="34"/>
      <c r="C1169" s="35"/>
      <c r="D1169" s="34">
        <f t="shared" si="93"/>
        <v>1</v>
      </c>
      <c r="E1169" s="35" t="str">
        <f t="array" ref="E1169">INDEX(Moves!$B$2:'Moves'!$B$177, SUM(HEX2DEC("9D"),1), 1)</f>
        <v>Lovely Kiss</v>
      </c>
      <c r="F1169" s="21">
        <v>8</v>
      </c>
      <c r="G1169" s="20" t="str">
        <f>VLOOKUP(F1169, TMHM!$B$10:$C1519, 2, FALSE)</f>
        <v>Charm</v>
      </c>
      <c r="H1169" s="21"/>
      <c r="I1169" s="25"/>
      <c r="J1169" s="30"/>
    </row>
    <row r="1170" spans="1:10" x14ac:dyDescent="0.2">
      <c r="A1170" s="120"/>
      <c r="B1170" s="34"/>
      <c r="C1170" s="35"/>
      <c r="D1170" s="34">
        <f t="shared" si="93"/>
        <v>1</v>
      </c>
      <c r="E1170" s="35" t="str">
        <f t="array" ref="E1170">INDEX(Moves!$B$2:'Moves'!$B$177, SUM(HEX2DEC("29"),1), 1)</f>
        <v>Power Snow</v>
      </c>
      <c r="F1170" s="21">
        <v>11</v>
      </c>
      <c r="G1170" s="20" t="str">
        <f>VLOOKUP(F1170, TMHM!$B$10:$C1519, 2, FALSE)</f>
        <v>Bubblebeam</v>
      </c>
      <c r="H1170" s="21"/>
      <c r="I1170" s="25"/>
      <c r="J1170" s="30"/>
    </row>
    <row r="1171" spans="1:10" x14ac:dyDescent="0.2">
      <c r="A1171" s="120"/>
      <c r="B1171" s="43">
        <f>HEX2DEC("04")</f>
        <v>4</v>
      </c>
      <c r="C1171" s="17" t="str">
        <f t="array" ref="C1171">INDEX(Moves!$B$2:'Moves'!$B$177, SUM(HEX2DEC("9D"),1), 1)</f>
        <v>Lovely Kiss</v>
      </c>
      <c r="D1171" s="43">
        <f>HEX2DEC("09")</f>
        <v>9</v>
      </c>
      <c r="E1171" s="17" t="str">
        <f t="array" ref="E1171">INDEX(Moves!$B$2:'Moves'!$B$177, SUM(HEX2DEC("9D"),1), 1)</f>
        <v>Lovely Kiss</v>
      </c>
      <c r="F1171" s="21">
        <v>13</v>
      </c>
      <c r="G1171" s="20" t="str">
        <f>VLOOKUP(F1171, TMHM!$B$10:$C1519, 2, FALSE)</f>
        <v>Ice Beam</v>
      </c>
      <c r="H1171" s="21"/>
      <c r="I1171" s="25"/>
      <c r="J1171" s="30"/>
    </row>
    <row r="1172" spans="1:10" x14ac:dyDescent="0.2">
      <c r="A1172" s="120"/>
      <c r="B1172" s="16">
        <f>HEX2DEC("0D")</f>
        <v>13</v>
      </c>
      <c r="C1172" s="17" t="str">
        <f t="array" ref="C1172">INDEX(Moves!$B$2:'Moves'!$B$177, SUM(HEX2DEC("29"),1), 1)</f>
        <v>Power Snow</v>
      </c>
      <c r="D1172" s="16">
        <f>HEX2DEC("0D")</f>
        <v>13</v>
      </c>
      <c r="E1172" s="17" t="str">
        <f t="array" ref="E1172">INDEX(Moves!$B$2:'Moves'!$B$177, SUM(HEX2DEC("29"),1), 1)</f>
        <v>Power Snow</v>
      </c>
      <c r="F1172" s="21">
        <v>14</v>
      </c>
      <c r="G1172" s="20" t="str">
        <f>VLOOKUP(F1172, TMHM!$B$10:$C1519, 2, FALSE)</f>
        <v>Blizzard</v>
      </c>
      <c r="H1172" s="21"/>
      <c r="I1172" s="25"/>
      <c r="J1172" s="30"/>
    </row>
    <row r="1173" spans="1:10" x14ac:dyDescent="0.2">
      <c r="A1173" s="120"/>
      <c r="B1173" s="48">
        <f>HEX2DEC("15")</f>
        <v>21</v>
      </c>
      <c r="C1173" s="23" t="str">
        <f t="array" ref="C1173">INDEX(Moves!$B$2:'Moves'!$B$177, SUM(HEX2DEC("65"),1), 1)</f>
        <v>Confusion</v>
      </c>
      <c r="D1173" s="48">
        <f>HEX2DEC("15")</f>
        <v>21</v>
      </c>
      <c r="E1173" s="23" t="s">
        <v>85</v>
      </c>
      <c r="F1173" s="21">
        <v>21</v>
      </c>
      <c r="G1173" s="20" t="str">
        <f>VLOOKUP(F1173, TMHM!$B$10:$C1519, 2, FALSE)</f>
        <v>Recover</v>
      </c>
      <c r="H1173" s="21"/>
      <c r="I1173" s="25"/>
      <c r="J1173" s="30"/>
    </row>
    <row r="1174" spans="1:10" x14ac:dyDescent="0.2">
      <c r="A1174" s="120"/>
      <c r="B1174" s="16">
        <f>HEX2DEC("19")</f>
        <v>25</v>
      </c>
      <c r="C1174" s="17" t="str">
        <f t="array" ref="C1174">INDEX(Moves!$B$2:'Moves'!$B$177, SUM(HEX2DEC("2C"),1), 1)</f>
        <v>Ice Punch</v>
      </c>
      <c r="D1174" s="16">
        <f>HEX2DEC("19")</f>
        <v>25</v>
      </c>
      <c r="E1174" s="17" t="str">
        <f t="array" ref="E1174">INDEX(Moves!$B$2:'Moves'!$B$177, SUM(HEX2DEC("2C"),1), 1)</f>
        <v>Ice Punch</v>
      </c>
      <c r="F1174" s="21">
        <v>32</v>
      </c>
      <c r="G1174" s="20" t="str">
        <f>VLOOKUP(F1174, TMHM!$B$10:$C1519, 2, FALSE)</f>
        <v>Double Team</v>
      </c>
      <c r="H1174" s="21"/>
      <c r="I1174" s="25"/>
      <c r="J1174" s="30"/>
    </row>
    <row r="1175" spans="1:10" x14ac:dyDescent="0.2">
      <c r="A1175" s="120"/>
      <c r="B1175" s="48">
        <f>HEX2DEC("23")</f>
        <v>35</v>
      </c>
      <c r="C1175" s="23" t="str">
        <f t="array" ref="C1175">INDEX(Moves!$B$2:'Moves'!$B$177, SUM(HEX2DEC("73"),1), 1)</f>
        <v>Astonish</v>
      </c>
      <c r="D1175" s="48">
        <f>HEX2DEC("23")</f>
        <v>35</v>
      </c>
      <c r="E1175" s="23" t="s">
        <v>99</v>
      </c>
      <c r="F1175" s="21">
        <v>35</v>
      </c>
      <c r="G1175" s="20" t="str">
        <f>VLOOKUP(F1175, TMHM!$B$10:$C1519, 2, FALSE)</f>
        <v>Harden</v>
      </c>
      <c r="H1175" s="21"/>
      <c r="I1175" s="25"/>
      <c r="J1175" s="30"/>
    </row>
    <row r="1176" spans="1:10" x14ac:dyDescent="0.2">
      <c r="A1176" s="120"/>
      <c r="B1176" s="48">
        <f>HEX2DEC("29")</f>
        <v>41</v>
      </c>
      <c r="C1176" s="23" t="str">
        <f t="array" ref="C1176">INDEX(Moves!$B$2:'Moves'!$B$177, SUM(HEX2DEC("9E"),1), 1)</f>
        <v>Supersonic</v>
      </c>
      <c r="D1176" s="48">
        <f>HEX2DEC("29")</f>
        <v>41</v>
      </c>
      <c r="E1176" s="23" t="s">
        <v>77</v>
      </c>
      <c r="F1176" s="21"/>
      <c r="H1176" s="21"/>
      <c r="I1176" s="25"/>
      <c r="J1176" s="30"/>
    </row>
    <row r="1177" spans="1:10" x14ac:dyDescent="0.2">
      <c r="A1177" s="120"/>
      <c r="B1177" s="48">
        <f>HEX2DEC("33")</f>
        <v>51</v>
      </c>
      <c r="C1177" s="23" t="str">
        <f t="array" ref="C1177">INDEX(Moves!$B$2:'Moves'!$B$177, SUM(HEX2DEC("2F"),1), 1)</f>
        <v>Sheer Cold</v>
      </c>
      <c r="D1177" s="48">
        <f>HEX2DEC("33")</f>
        <v>51</v>
      </c>
      <c r="E1177" s="23" t="s">
        <v>244</v>
      </c>
      <c r="F1177" s="21"/>
      <c r="H1177" s="21"/>
      <c r="I1177" s="25"/>
      <c r="J1177" s="30"/>
    </row>
    <row r="1178" spans="1:10" x14ac:dyDescent="0.2">
      <c r="A1178" s="120"/>
      <c r="B1178" s="16">
        <f>HEX2DEC("39")</f>
        <v>57</v>
      </c>
      <c r="C1178" s="17" t="str">
        <f t="array" ref="C1178">INDEX(Moves!$B$2:'Moves'!$B$177, SUM(HEX2DEC("2E"),1), 1)</f>
        <v>Blizzard</v>
      </c>
      <c r="D1178" s="16">
        <f>HEX2DEC("39")</f>
        <v>57</v>
      </c>
      <c r="E1178" s="17" t="str">
        <f t="array" ref="E1178">INDEX(Moves!$B$2:'Moves'!$B$177, SUM(HEX2DEC("2E"),1), 1)</f>
        <v>Blizzard</v>
      </c>
      <c r="F1178" s="21"/>
      <c r="H1178" s="21"/>
      <c r="I1178" s="25"/>
      <c r="J1178" s="30"/>
    </row>
    <row r="1179" spans="1:10" x14ac:dyDescent="0.2">
      <c r="A1179" s="121" t="s">
        <v>245</v>
      </c>
      <c r="B1179" s="70">
        <f>HEX2DEC("00")</f>
        <v>0</v>
      </c>
      <c r="C1179" s="71" t="str">
        <f t="array" ref="C1179">INDEX(Moves!$B$2:'Moves'!$B$177, SUM(HEX2DEC("8C"),1), 1)</f>
        <v>Quick Attack</v>
      </c>
      <c r="D1179" s="70">
        <f t="shared" ref="D1179:D1181" si="94">HEX2DEC("01")</f>
        <v>1</v>
      </c>
      <c r="E1179" s="71" t="str">
        <f t="array" ref="E1179">INDEX(Moves!$B$2:'Moves'!$B$177, SUM(HEX2DEC("8C"),1), 1)</f>
        <v>Quick Attack</v>
      </c>
      <c r="F1179" s="41">
        <v>4</v>
      </c>
      <c r="G1179" s="12" t="str">
        <f>VLOOKUP(F1179, TMHM!$B$10:$C1519, 2, FALSE)</f>
        <v>Calm Mind</v>
      </c>
      <c r="H1179" s="13">
        <v>5</v>
      </c>
      <c r="I1179" s="14" t="str">
        <f>VLOOKUP(H1179, TMHM!$B$2:$C$7, 2, FALSE)</f>
        <v>Flash</v>
      </c>
      <c r="J1179" s="30"/>
    </row>
    <row r="1180" spans="1:10" x14ac:dyDescent="0.2">
      <c r="A1180" s="120"/>
      <c r="B1180" s="48">
        <f>HEX2DEC("02")</f>
        <v>2</v>
      </c>
      <c r="C1180" s="23" t="str">
        <f t="array" ref="C1180">INDEX(Moves!$B$2:'Moves'!$B$177, SUM(HEX2DEC("A0"),1), 1)</f>
        <v>Growl</v>
      </c>
      <c r="D1180" s="48">
        <f t="shared" si="94"/>
        <v>1</v>
      </c>
      <c r="E1180" s="23" t="s">
        <v>59</v>
      </c>
      <c r="F1180" s="11">
        <v>5</v>
      </c>
      <c r="G1180" s="20" t="str">
        <f>VLOOKUP(F1180, TMHM!$B$10:$C1519, 2, FALSE)</f>
        <v>Roar</v>
      </c>
      <c r="H1180" s="21"/>
      <c r="I1180" s="25"/>
      <c r="J1180" s="30"/>
    </row>
    <row r="1181" spans="1:10" x14ac:dyDescent="0.2">
      <c r="A1181" s="120"/>
      <c r="B1181" s="34"/>
      <c r="C1181" s="35"/>
      <c r="D1181" s="34">
        <f t="shared" si="94"/>
        <v>1</v>
      </c>
      <c r="E1181" s="35" t="str">
        <f t="array" ref="E1181">INDEX(Moves!$B$2:'Moves'!$B$177, SUM(HEX2DEC("16"),1), 1)</f>
        <v>Thunder Punch</v>
      </c>
      <c r="F1181" s="21">
        <v>8</v>
      </c>
      <c r="G1181" s="20" t="str">
        <f>VLOOKUP(F1181, TMHM!$B$10:$C1519, 2, FALSE)</f>
        <v>Charm</v>
      </c>
      <c r="H1181" s="21"/>
      <c r="I1181" s="25"/>
      <c r="J1181" s="30"/>
    </row>
    <row r="1182" spans="1:10" x14ac:dyDescent="0.2">
      <c r="A1182" s="120"/>
      <c r="B1182" s="50">
        <f>HEX2DEC("09")</f>
        <v>9</v>
      </c>
      <c r="C1182" s="51" t="str">
        <f t="array" ref="C1182">INDEX(Moves!$B$2:'Moves'!$B$177, SUM(HEX2DEC("15"),1), 1)</f>
        <v>Spark</v>
      </c>
      <c r="D1182" s="50">
        <f>HEX2DEC("09")</f>
        <v>9</v>
      </c>
      <c r="E1182" s="51" t="str">
        <f t="array" ref="E1182">INDEX(Moves!$B$2:'Moves'!$B$177, SUM(HEX2DEC("16"),1), 1)</f>
        <v>Thunder Punch</v>
      </c>
      <c r="F1182" s="21">
        <v>24</v>
      </c>
      <c r="G1182" s="20" t="str">
        <f>VLOOKUP(F1182, TMHM!$B$10:$C1519, 2, FALSE)</f>
        <v>Thunderbolt</v>
      </c>
      <c r="H1182" s="21"/>
      <c r="I1182" s="25"/>
      <c r="J1182" s="30"/>
    </row>
    <row r="1183" spans="1:10" x14ac:dyDescent="0.2">
      <c r="A1183" s="120"/>
      <c r="B1183" s="48">
        <f>HEX2DEC("11")</f>
        <v>17</v>
      </c>
      <c r="C1183" s="23" t="str">
        <f t="array" ref="C1183">INDEX(Moves!$B$2:'Moves'!$B$177, SUM(HEX2DEC("A2"),1), 1)</f>
        <v>Defense Curl</v>
      </c>
      <c r="D1183" s="48">
        <f>HEX2DEC("11")</f>
        <v>17</v>
      </c>
      <c r="E1183" s="23" t="s">
        <v>68</v>
      </c>
      <c r="F1183" s="21">
        <v>25</v>
      </c>
      <c r="G1183" s="20" t="str">
        <f>VLOOKUP(F1183, TMHM!$B$10:$C1519, 2, FALSE)</f>
        <v>Thunder</v>
      </c>
      <c r="H1183" s="21"/>
      <c r="I1183" s="25"/>
      <c r="J1183" s="30"/>
    </row>
    <row r="1184" spans="1:10" x14ac:dyDescent="0.2">
      <c r="A1184" s="120"/>
      <c r="B1184" s="16">
        <f>HEX2DEC("19")</f>
        <v>25</v>
      </c>
      <c r="C1184" s="17" t="str">
        <f t="array" ref="C1184">INDEX(Moves!$B$2:'Moves'!$B$177, SUM(HEX2DEC("90"),1), 1)</f>
        <v>Swift</v>
      </c>
      <c r="D1184" s="16">
        <f>HEX2DEC("19")</f>
        <v>25</v>
      </c>
      <c r="E1184" s="17" t="str">
        <f t="array" ref="E1184">INDEX(Moves!$B$2:'Moves'!$B$177, SUM(HEX2DEC("90"),1), 1)</f>
        <v>Swift</v>
      </c>
      <c r="F1184" s="21">
        <v>32</v>
      </c>
      <c r="G1184" s="20" t="str">
        <f>VLOOKUP(F1184, TMHM!$B$10:$C1519, 2, FALSE)</f>
        <v>Double Team</v>
      </c>
      <c r="H1184" s="21"/>
      <c r="I1184" s="25"/>
      <c r="J1184" s="30"/>
    </row>
    <row r="1185" spans="1:10" x14ac:dyDescent="0.2">
      <c r="A1185" s="120"/>
      <c r="B1185" s="48">
        <f>HEX2DEC("24")</f>
        <v>36</v>
      </c>
      <c r="C1185" s="23" t="str">
        <f t="array" ref="C1185">INDEX(Moves!$B$2:'Moves'!$B$177, SUM(HEX2DEC("70"),1), 1)</f>
        <v>Calm Mind</v>
      </c>
      <c r="D1185" s="48">
        <f>HEX2DEC("24")</f>
        <v>36</v>
      </c>
      <c r="E1185" s="23" t="s">
        <v>63</v>
      </c>
      <c r="F1185" s="21">
        <v>34</v>
      </c>
      <c r="G1185" s="20" t="str">
        <f>VLOOKUP(F1185, TMHM!$B$10:$C1519, 2, FALSE)</f>
        <v>Shock Wave</v>
      </c>
      <c r="H1185" s="21"/>
      <c r="I1185" s="25"/>
      <c r="J1185" s="30"/>
    </row>
    <row r="1186" spans="1:10" x14ac:dyDescent="0.2">
      <c r="A1186" s="120"/>
      <c r="B1186" s="16">
        <f>HEX2DEC("2F")</f>
        <v>47</v>
      </c>
      <c r="C1186" s="17" t="str">
        <f t="array" ref="C1186">INDEX(Moves!$B$2:'Moves'!$B$177, SUM(HEX2DEC("17"),1), 1)</f>
        <v>Thunderbolt</v>
      </c>
      <c r="D1186" s="16">
        <f>HEX2DEC("2F")</f>
        <v>47</v>
      </c>
      <c r="E1186" s="17" t="str">
        <f t="array" ref="E1186">INDEX(Moves!$B$2:'Moves'!$B$177, SUM(HEX2DEC("17"),1), 1)</f>
        <v>Thunderbolt</v>
      </c>
      <c r="F1186" s="21"/>
      <c r="H1186" s="21"/>
      <c r="I1186" s="25"/>
      <c r="J1186" s="30"/>
    </row>
    <row r="1187" spans="1:10" x14ac:dyDescent="0.2">
      <c r="A1187" s="120"/>
      <c r="B1187" s="16">
        <f>HEX2DEC("3A")</f>
        <v>58</v>
      </c>
      <c r="C1187" s="17" t="str">
        <f t="array" ref="C1187">INDEX(Moves!$B$2:'Moves'!$B$177, SUM(HEX2DEC("1A"),1), 1)</f>
        <v>Thunder</v>
      </c>
      <c r="D1187" s="16">
        <f>HEX2DEC("3A")</f>
        <v>58</v>
      </c>
      <c r="E1187" s="17" t="str">
        <f t="array" ref="E1187">INDEX(Moves!$B$2:'Moves'!$B$177, SUM(HEX2DEC("1A"),1), 1)</f>
        <v>Thunder</v>
      </c>
      <c r="F1187" s="21"/>
      <c r="H1187" s="21"/>
      <c r="I1187" s="25"/>
      <c r="J1187" s="30"/>
    </row>
    <row r="1188" spans="1:10" x14ac:dyDescent="0.2">
      <c r="A1188" s="121" t="s">
        <v>246</v>
      </c>
      <c r="B1188" s="70">
        <f>HEX2DEC("00")</f>
        <v>0</v>
      </c>
      <c r="C1188" s="71" t="str">
        <f t="array" ref="C1188">INDEX(Moves!$B$2:'Moves'!$B$177, SUM(HEX2DEC("00"),1), 1)</f>
        <v>Ember</v>
      </c>
      <c r="D1188" s="70">
        <f t="shared" ref="D1188:D1191" si="95">HEX2DEC("01")</f>
        <v>1</v>
      </c>
      <c r="E1188" s="71" t="str">
        <f t="array" ref="E1188">INDEX(Moves!$B$2:'Moves'!$B$177, SUM(HEX2DEC("00"),1), 1)</f>
        <v>Ember</v>
      </c>
      <c r="F1188" s="41">
        <v>1</v>
      </c>
      <c r="G1188" s="12" t="str">
        <f>VLOOKUP(F1188, TMHM!$B$10:$C1519, 2, FALSE)</f>
        <v>Focus Punch</v>
      </c>
      <c r="H1188" s="13">
        <v>1</v>
      </c>
      <c r="I1188" s="14" t="str">
        <f>VLOOKUP(H1188, TMHM!$B$2:$C$7, 2, FALSE)</f>
        <v>Cut</v>
      </c>
      <c r="J1188" s="30"/>
    </row>
    <row r="1189" spans="1:10" x14ac:dyDescent="0.2">
      <c r="A1189" s="120"/>
      <c r="B1189" s="34"/>
      <c r="C1189" s="35"/>
      <c r="D1189" s="34">
        <f t="shared" si="95"/>
        <v>1</v>
      </c>
      <c r="E1189" s="35" t="s">
        <v>59</v>
      </c>
      <c r="F1189" s="11">
        <v>2</v>
      </c>
      <c r="G1189" s="20" t="str">
        <f>VLOOKUP(F1189, TMHM!$B$10:$C1519, 2, FALSE)</f>
        <v>Dragon Claw</v>
      </c>
      <c r="H1189" s="21">
        <v>5</v>
      </c>
      <c r="I1189" s="20" t="str">
        <f>VLOOKUP(H1189, TMHM!$B$2:$C$7, 2, FALSE)</f>
        <v>Flash</v>
      </c>
      <c r="J1189" s="30"/>
    </row>
    <row r="1190" spans="1:10" x14ac:dyDescent="0.2">
      <c r="A1190" s="120"/>
      <c r="B1190" s="34"/>
      <c r="C1190" s="35"/>
      <c r="D1190" s="34">
        <f t="shared" si="95"/>
        <v>1</v>
      </c>
      <c r="E1190" s="35" t="str">
        <f t="array" ref="E1190">INDEX(Moves!$B$2:'Moves'!$B$177, SUM(HEX2DEC("44"),1), 1)</f>
        <v>Smog</v>
      </c>
      <c r="F1190" s="21">
        <v>5</v>
      </c>
      <c r="G1190" s="20" t="str">
        <f>VLOOKUP(F1190, TMHM!$B$10:$C1519, 2, FALSE)</f>
        <v>Roar</v>
      </c>
      <c r="H1190" s="21"/>
      <c r="I1190" s="25"/>
      <c r="J1190" s="30"/>
    </row>
    <row r="1191" spans="1:10" x14ac:dyDescent="0.2">
      <c r="A1191" s="120"/>
      <c r="B1191" s="34"/>
      <c r="C1191" s="35"/>
      <c r="D1191" s="34">
        <f t="shared" si="95"/>
        <v>1</v>
      </c>
      <c r="E1191" s="35" t="str">
        <f t="array" ref="E1191">INDEX(Moves!$B$2:'Moves'!$B$177, SUM(HEX2DEC("02"),1), 1)</f>
        <v>Fire Punch</v>
      </c>
      <c r="F1191" s="21">
        <v>21</v>
      </c>
      <c r="G1191" s="20" t="str">
        <f>VLOOKUP(F1191, TMHM!$B$10:$C1519, 2, FALSE)</f>
        <v>Recover</v>
      </c>
      <c r="H1191" s="21"/>
      <c r="I1191" s="25"/>
      <c r="J1191" s="30"/>
    </row>
    <row r="1192" spans="1:10" x14ac:dyDescent="0.2">
      <c r="A1192" s="120"/>
      <c r="B1192" s="48">
        <f>HEX2DEC("07")</f>
        <v>7</v>
      </c>
      <c r="C1192" s="23" t="str">
        <f t="array" ref="C1192">INDEX(Moves!$B$2:'Moves'!$B$177, SUM(HEX2DEC("A0"),1), 1)</f>
        <v>Growl</v>
      </c>
      <c r="D1192" s="48">
        <f>HEX2DEC("07")</f>
        <v>7</v>
      </c>
      <c r="E1192" s="23" t="s">
        <v>59</v>
      </c>
      <c r="F1192" s="21">
        <v>27</v>
      </c>
      <c r="G1192" s="20" t="str">
        <f>VLOOKUP(F1192, TMHM!$B$10:$C1519, 2, FALSE)</f>
        <v>Fire Punch</v>
      </c>
      <c r="H1192" s="21"/>
      <c r="I1192" s="25"/>
      <c r="J1192" s="30"/>
    </row>
    <row r="1193" spans="1:10" x14ac:dyDescent="0.2">
      <c r="A1193" s="120"/>
      <c r="B1193" s="50">
        <f>HEX2DEC("0D")</f>
        <v>13</v>
      </c>
      <c r="C1193" s="51" t="str">
        <f t="array" ref="C1193">INDEX(Moves!$B$2:'Moves'!$B$177, SUM(HEX2DEC("A6"),1), 1)</f>
        <v>SmokeScreen</v>
      </c>
      <c r="D1193" s="50">
        <f>HEX2DEC("0D")</f>
        <v>13</v>
      </c>
      <c r="E1193" s="51" t="str">
        <f t="array" ref="E1193">INDEX(Moves!$B$2:'Moves'!$B$177, SUM(HEX2DEC("44"),1), 1)</f>
        <v>Smog</v>
      </c>
      <c r="F1193" s="21">
        <v>38</v>
      </c>
      <c r="G1193" s="20" t="str">
        <f>VLOOKUP(F1193, TMHM!$B$10:$C1519, 2, FALSE)</f>
        <v>Fire Blast</v>
      </c>
      <c r="H1193" s="21"/>
      <c r="I1193" s="25"/>
      <c r="J1193" s="30"/>
    </row>
    <row r="1194" spans="1:10" x14ac:dyDescent="0.2">
      <c r="A1194" s="120"/>
      <c r="B1194" s="73">
        <f>HEX2DEC("13")</f>
        <v>19</v>
      </c>
      <c r="C1194" s="76" t="str">
        <f t="array" ref="C1194">INDEX(Moves!$B$2:'Moves'!$B$177, SUM(HEX2DEC("02"),1), 1)</f>
        <v>Fire Punch</v>
      </c>
      <c r="D1194" s="73">
        <f>HEX2DEC("13")</f>
        <v>19</v>
      </c>
      <c r="E1194" s="76" t="str">
        <f t="array" ref="E1194">INDEX(Moves!$B$2:'Moves'!$B$177, SUM(HEX2DEC("02"),1), 1)</f>
        <v>Fire Punch</v>
      </c>
      <c r="F1194" s="21"/>
      <c r="H1194" s="21"/>
      <c r="I1194" s="25"/>
      <c r="J1194" s="30"/>
    </row>
    <row r="1195" spans="1:10" x14ac:dyDescent="0.2">
      <c r="A1195" s="120"/>
      <c r="B1195" s="50">
        <f>HEX2DEC("19")</f>
        <v>25</v>
      </c>
      <c r="C1195" s="51" t="str">
        <f t="array" ref="C1195">INDEX(Moves!$B$2:'Moves'!$B$177, SUM(HEX2DEC("44"),1), 1)</f>
        <v>Smog</v>
      </c>
      <c r="D1195" s="50">
        <f>HEX2DEC("19")</f>
        <v>25</v>
      </c>
      <c r="E1195" s="51" t="str">
        <f t="array" ref="E1195">INDEX(Moves!$B$2:'Moves'!$B$177, SUM(HEX2DEC("A6"),1), 1)</f>
        <v>SmokeScreen</v>
      </c>
      <c r="F1195" s="21"/>
      <c r="H1195" s="21"/>
      <c r="I1195" s="25"/>
      <c r="J1195" s="30"/>
    </row>
    <row r="1196" spans="1:10" x14ac:dyDescent="0.2">
      <c r="A1196" s="120"/>
      <c r="B1196" s="48">
        <f>HEX2DEC("21")</f>
        <v>33</v>
      </c>
      <c r="C1196" s="23" t="str">
        <f t="array" ref="C1196">INDEX(Moves!$B$2:'Moves'!$B$177, SUM(HEX2DEC("A8"),1), 1)</f>
        <v>Double Team</v>
      </c>
      <c r="D1196" s="48">
        <f>HEX2DEC("21")</f>
        <v>33</v>
      </c>
      <c r="E1196" s="23" t="s">
        <v>247</v>
      </c>
      <c r="F1196" s="21"/>
      <c r="H1196" s="21"/>
      <c r="I1196" s="25"/>
      <c r="J1196" s="30"/>
    </row>
    <row r="1197" spans="1:10" x14ac:dyDescent="0.2">
      <c r="A1197" s="120"/>
      <c r="B1197" s="73">
        <f>HEX2DEC("29")</f>
        <v>41</v>
      </c>
      <c r="C1197" s="76" t="str">
        <f t="array" ref="C1197">INDEX(Moves!$B$2:'Moves'!$B$177, SUM(HEX2DEC("03"),1), 1)</f>
        <v>Flamethrower</v>
      </c>
      <c r="D1197" s="73">
        <f>HEX2DEC("29")</f>
        <v>41</v>
      </c>
      <c r="E1197" s="76" t="str">
        <f t="array" ref="E1197">INDEX(Moves!$B$2:'Moves'!$B$177, SUM(HEX2DEC("03"),1), 1)</f>
        <v>Flamethrower</v>
      </c>
      <c r="F1197" s="21"/>
      <c r="H1197" s="21"/>
      <c r="I1197" s="25"/>
      <c r="J1197" s="30"/>
    </row>
    <row r="1198" spans="1:10" x14ac:dyDescent="0.2">
      <c r="A1198" s="120"/>
      <c r="B1198" s="73">
        <f>HEX2DEC("31")</f>
        <v>49</v>
      </c>
      <c r="C1198" s="76" t="str">
        <f t="array" ref="C1198">INDEX(Moves!$B$2:'Moves'!$B$177, SUM(HEX2DEC("77"),1), 1)</f>
        <v>Confuse Ray</v>
      </c>
      <c r="D1198" s="73">
        <f>HEX2DEC("31")</f>
        <v>49</v>
      </c>
      <c r="E1198" s="76" t="str">
        <f t="array" ref="E1198">INDEX(Moves!$B$2:'Moves'!$B$177, SUM(HEX2DEC("77"),1), 1)</f>
        <v>Confuse Ray</v>
      </c>
      <c r="F1198" s="21"/>
      <c r="H1198" s="21"/>
      <c r="I1198" s="25"/>
      <c r="J1198" s="30"/>
    </row>
    <row r="1199" spans="1:10" x14ac:dyDescent="0.2">
      <c r="A1199" s="120"/>
      <c r="B1199" s="73">
        <f>HEX2DEC(39)</f>
        <v>57</v>
      </c>
      <c r="C1199" s="76" t="str">
        <f t="array" ref="C1199">INDEX(Moves!$B$2:'Moves'!$B$177, SUM(HEX2DEC("05"),1), 1)</f>
        <v>Fire Blast</v>
      </c>
      <c r="D1199" s="73">
        <f>HEX2DEC(39)</f>
        <v>57</v>
      </c>
      <c r="E1199" s="76" t="str">
        <f t="array" ref="E1199">INDEX(Moves!$B$2:'Moves'!$B$177, SUM(HEX2DEC("05"),1), 1)</f>
        <v>Fire Blast</v>
      </c>
      <c r="F1199" s="21"/>
      <c r="H1199" s="21"/>
      <c r="I1199" s="25"/>
      <c r="J1199" s="30"/>
    </row>
    <row r="1200" spans="1:10" x14ac:dyDescent="0.2">
      <c r="A1200" s="121" t="s">
        <v>248</v>
      </c>
      <c r="B1200" s="61">
        <f>HEX2DEC("00")</f>
        <v>0</v>
      </c>
      <c r="C1200" s="62" t="str">
        <f t="array" ref="C1200">INDEX(Moves!$B$2:'Moves'!$B$177, SUM(HEX2DEC("4F"),1), 1)</f>
        <v>Karate Chop</v>
      </c>
      <c r="D1200" s="61">
        <f>HEX2DEC("01")</f>
        <v>1</v>
      </c>
      <c r="E1200" s="62" t="s">
        <v>192</v>
      </c>
      <c r="F1200" s="41">
        <v>8</v>
      </c>
      <c r="G1200" s="12" t="str">
        <f>VLOOKUP(F1200, TMHM!$B$10:$C1519, 2, FALSE)</f>
        <v>Charm</v>
      </c>
      <c r="H1200" s="13">
        <v>1</v>
      </c>
      <c r="I1200" s="14" t="str">
        <f>VLOOKUP(H1200, TMHM!$B$2:$C$7, 2, FALSE)</f>
        <v>Cut</v>
      </c>
      <c r="J1200" s="30"/>
    </row>
    <row r="1201" spans="1:10" x14ac:dyDescent="0.2">
      <c r="A1201" s="120"/>
      <c r="B1201" s="48">
        <f>HEX2DEC("07")</f>
        <v>7</v>
      </c>
      <c r="C1201" s="23" t="str">
        <f t="array" ref="C1201">INDEX(Moves!$B$2:'Moves'!$B$177, SUM(HEX2DEC("A0"),1), 1)</f>
        <v>Growl</v>
      </c>
      <c r="D1201" s="48">
        <f>HEX2DEC("07")</f>
        <v>7</v>
      </c>
      <c r="E1201" s="23" t="s">
        <v>49</v>
      </c>
      <c r="F1201" s="11">
        <v>9</v>
      </c>
      <c r="G1201" s="20" t="str">
        <f>VLOOKUP(F1201, TMHM!$B$10:$C1519, 2, FALSE)</f>
        <v>Snore</v>
      </c>
      <c r="H1201" s="21"/>
      <c r="I1201" s="25"/>
      <c r="J1201" s="30"/>
    </row>
    <row r="1202" spans="1:10" x14ac:dyDescent="0.2">
      <c r="A1202" s="120"/>
      <c r="B1202" s="48">
        <f>HEX2DEC("0D")</f>
        <v>13</v>
      </c>
      <c r="C1202" s="23" t="str">
        <f t="array" ref="C1202">INDEX(Moves!$B$2:'Moves'!$B$177, SUM(HEX2DEC("9E"),1), 1)</f>
        <v>Supersonic</v>
      </c>
      <c r="D1202" s="48">
        <f>HEX2DEC("0D")</f>
        <v>13</v>
      </c>
      <c r="E1202" s="23" t="s">
        <v>185</v>
      </c>
      <c r="F1202" s="21">
        <v>17</v>
      </c>
      <c r="G1202" s="20" t="str">
        <f>VLOOKUP(F1202, TMHM!$B$10:$C1519, 2, FALSE)</f>
        <v>SmokeScreen</v>
      </c>
      <c r="H1202" s="21"/>
      <c r="I1202" s="25"/>
      <c r="J1202" s="30"/>
    </row>
    <row r="1203" spans="1:10" x14ac:dyDescent="0.2">
      <c r="A1203" s="120"/>
      <c r="B1203" s="48">
        <f>HEX2DEC("13")</f>
        <v>19</v>
      </c>
      <c r="C1203" s="23" t="str">
        <f t="array" ref="C1203">INDEX(Moves!$B$2:'Moves'!$B$177, SUM(HEX2DEC("53"),1), 1)</f>
        <v>Vital Throw</v>
      </c>
      <c r="D1203" s="48">
        <f>HEX2DEC("13")</f>
        <v>19</v>
      </c>
      <c r="E1203" s="23" t="s">
        <v>121</v>
      </c>
      <c r="F1203" s="21">
        <v>31</v>
      </c>
      <c r="G1203" s="20" t="str">
        <f>VLOOKUP(F1203, TMHM!$B$10:$C1519, 2, FALSE)</f>
        <v>Brick Break</v>
      </c>
      <c r="H1203" s="21"/>
      <c r="I1203" s="25"/>
      <c r="J1203" s="30"/>
    </row>
    <row r="1204" spans="1:10" x14ac:dyDescent="0.2">
      <c r="A1204" s="120"/>
      <c r="B1204" s="73">
        <f>HEX2DEC("19")</f>
        <v>25</v>
      </c>
      <c r="C1204" s="76" t="str">
        <f t="array" ref="C1204">INDEX(Moves!$B$2:'Moves'!$B$177, SUM(HEX2DEC("A3"),1), 1)</f>
        <v>Harden</v>
      </c>
      <c r="D1204" s="73">
        <f>HEX2DEC("19")</f>
        <v>25</v>
      </c>
      <c r="E1204" s="76" t="str">
        <f t="array" ref="E1204">INDEX(Moves!$B$2:'Moves'!$B$177, SUM(HEX2DEC("A3"),1), 1)</f>
        <v>Harden</v>
      </c>
      <c r="F1204" s="21">
        <v>35</v>
      </c>
      <c r="G1204" s="20" t="str">
        <f>VLOOKUP(F1204, TMHM!$B$10:$C1519, 2, FALSE)</f>
        <v>Harden</v>
      </c>
      <c r="H1204" s="21"/>
      <c r="I1204" s="25"/>
      <c r="J1204" s="30"/>
    </row>
    <row r="1205" spans="1:10" x14ac:dyDescent="0.2">
      <c r="A1205" s="120"/>
      <c r="B1205" s="73">
        <f>HEX2DEC("1F")</f>
        <v>31</v>
      </c>
      <c r="C1205" s="76" t="str">
        <f t="array" ref="C1205">INDEX(Moves!$B$2:'Moves'!$B$177, SUM(HEX2DEC("9B"),1), 1)</f>
        <v>Guillotine</v>
      </c>
      <c r="D1205" s="73">
        <f>HEX2DEC("1F")</f>
        <v>31</v>
      </c>
      <c r="E1205" s="76" t="str">
        <f t="array" ref="E1205">INDEX(Moves!$B$2:'Moves'!$B$177, SUM(HEX2DEC("9B"),1), 1)</f>
        <v>Guillotine</v>
      </c>
      <c r="F1205" s="21"/>
      <c r="H1205" s="21"/>
      <c r="I1205" s="25"/>
      <c r="J1205" s="30"/>
    </row>
    <row r="1206" spans="1:10" x14ac:dyDescent="0.2">
      <c r="A1206" s="120"/>
      <c r="B1206" s="48">
        <f>HEX2DEC("25")</f>
        <v>37</v>
      </c>
      <c r="C1206" s="23" t="str">
        <f t="array" ref="C1206">INDEX(Moves!$B$2:'Moves'!$B$177, SUM(HEX2DEC("40"),1), 1)</f>
        <v>Megahorn</v>
      </c>
      <c r="D1206" s="48">
        <f>HEX2DEC("25")</f>
        <v>37</v>
      </c>
      <c r="E1206" s="23" t="s">
        <v>130</v>
      </c>
      <c r="F1206" s="21"/>
      <c r="H1206" s="21"/>
      <c r="I1206" s="25"/>
      <c r="J1206" s="30"/>
    </row>
    <row r="1207" spans="1:10" x14ac:dyDescent="0.2">
      <c r="A1207" s="120"/>
      <c r="B1207" s="73">
        <f>HEX2DEC("2B")</f>
        <v>43</v>
      </c>
      <c r="C1207" s="76" t="str">
        <f t="array" ref="C1207">INDEX(Moves!$B$2:'Moves'!$B$177, SUM(HEX2DEC("9F"),1), 1)</f>
        <v>Sword Dance</v>
      </c>
      <c r="D1207" s="73">
        <f>HEX2DEC("2B")</f>
        <v>43</v>
      </c>
      <c r="E1207" s="76" t="str">
        <f t="array" ref="E1207">INDEX(Moves!$B$2:'Moves'!$B$177, SUM(HEX2DEC("9F"),1), 1)</f>
        <v>Sword Dance</v>
      </c>
      <c r="F1207" s="21"/>
      <c r="H1207" s="21"/>
      <c r="I1207" s="25"/>
      <c r="J1207" s="30"/>
    </row>
    <row r="1208" spans="1:10" x14ac:dyDescent="0.2">
      <c r="A1208" s="121" t="s">
        <v>249</v>
      </c>
      <c r="B1208" s="70">
        <f>HEX2DEC("00")</f>
        <v>0</v>
      </c>
      <c r="C1208" s="71" t="str">
        <f t="array" ref="C1208">INDEX(Moves!$B$2:'Moves'!$B$177, SUM(HEX2DEC("89"),1), 1)</f>
        <v>Tackle</v>
      </c>
      <c r="D1208" s="70">
        <f>HEX2DEC("01")</f>
        <v>1</v>
      </c>
      <c r="E1208" s="71" t="str">
        <f t="array" ref="E1208">INDEX(Moves!$B$2:'Moves'!$B$177, SUM(HEX2DEC("89"),1), 1)</f>
        <v>Tackle</v>
      </c>
      <c r="F1208" s="41">
        <v>7</v>
      </c>
      <c r="G1208" s="12" t="str">
        <f>VLOOKUP(F1208, TMHM!$B$10:$C1519, 2, FALSE)</f>
        <v>Secret Power</v>
      </c>
      <c r="H1208" s="13">
        <v>4</v>
      </c>
      <c r="I1208" s="14" t="str">
        <f>VLOOKUP(H1208, TMHM!$B$2:$C$7, 2, FALSE)</f>
        <v>Strength</v>
      </c>
      <c r="J1208" s="30"/>
    </row>
    <row r="1209" spans="1:10" x14ac:dyDescent="0.2">
      <c r="A1209" s="120"/>
      <c r="B1209" s="16">
        <f>HEX2DEC("04")</f>
        <v>4</v>
      </c>
      <c r="C1209" s="17" t="str">
        <f t="array" ref="C1209">INDEX(Moves!$B$2:'Moves'!$B$177, SUM(HEX2DEC("A4"),1), 1)</f>
        <v>Tail Whip</v>
      </c>
      <c r="D1209" s="16">
        <f>HEX2DEC("04")</f>
        <v>4</v>
      </c>
      <c r="E1209" s="17" t="str">
        <f t="array" ref="E1209">INDEX(Moves!$B$2:'Moves'!$B$177, SUM(HEX2DEC("A4"),1), 1)</f>
        <v>Tail Whip</v>
      </c>
      <c r="F1209" s="11">
        <v>8</v>
      </c>
      <c r="G1209" s="20" t="str">
        <f>VLOOKUP(F1209, TMHM!$B$10:$C1519, 2, FALSE)</f>
        <v>Charm</v>
      </c>
      <c r="H1209" s="21"/>
      <c r="I1209" s="25"/>
      <c r="J1209" s="30"/>
    </row>
    <row r="1210" spans="1:10" x14ac:dyDescent="0.2">
      <c r="A1210" s="120"/>
      <c r="B1210" s="48">
        <f>HEX2DEC("08")</f>
        <v>8</v>
      </c>
      <c r="C1210" s="23" t="str">
        <f t="array" ref="C1210">INDEX(Moves!$B$2:'Moves'!$B$177, SUM(HEX2DEC("A3"),1), 1)</f>
        <v>Harden</v>
      </c>
      <c r="D1210" s="48">
        <f>HEX2DEC("08")</f>
        <v>8</v>
      </c>
      <c r="E1210" s="23" t="s">
        <v>26</v>
      </c>
      <c r="F1210" s="11">
        <v>9</v>
      </c>
      <c r="G1210" s="20" t="str">
        <f>VLOOKUP(F1210, TMHM!$B$10:$C1519, 2, FALSE)</f>
        <v>Snore</v>
      </c>
      <c r="H1210" s="21"/>
      <c r="I1210" s="25"/>
      <c r="J1210" s="30"/>
    </row>
    <row r="1211" spans="1:10" x14ac:dyDescent="0.2">
      <c r="A1211" s="120"/>
      <c r="B1211" s="50">
        <f>HEX2DEC("0D")</f>
        <v>13</v>
      </c>
      <c r="C1211" s="51" t="str">
        <f t="array" ref="C1211">INDEX(Moves!$B$2:'Moves'!$B$177, SUM(HEX2DEC("51"),1), 1)</f>
        <v>Double Kick</v>
      </c>
      <c r="D1211" s="50">
        <f>HEX2DEC("0D")</f>
        <v>13</v>
      </c>
      <c r="E1211" s="51" t="str">
        <f t="array" ref="E1211">INDEX(Moves!$B$2:'Moves'!$B$177, SUM(HEX2DEC("91"),1), 1)</f>
        <v>Horn Attack</v>
      </c>
      <c r="F1211" s="21">
        <v>15</v>
      </c>
      <c r="H1211" s="21"/>
      <c r="I1211" s="25"/>
      <c r="J1211" s="30"/>
    </row>
    <row r="1212" spans="1:10" x14ac:dyDescent="0.2">
      <c r="A1212" s="120"/>
      <c r="B1212" s="48">
        <f>HEX2DEC("13")</f>
        <v>19</v>
      </c>
      <c r="C1212" s="23" t="str">
        <f t="array" ref="C1212">INDEX(Moves!$B$2:'Moves'!$B$177, SUM(HEX2DEC("8C"),1), 1)</f>
        <v>Quick Attack</v>
      </c>
      <c r="D1212" s="48">
        <f>HEX2DEC("13")</f>
        <v>19</v>
      </c>
      <c r="E1212" s="23" t="s">
        <v>27</v>
      </c>
      <c r="F1212" s="21">
        <v>18</v>
      </c>
      <c r="H1212" s="21"/>
      <c r="I1212" s="25"/>
      <c r="J1212" s="30"/>
    </row>
    <row r="1213" spans="1:10" x14ac:dyDescent="0.2">
      <c r="A1213" s="120"/>
      <c r="B1213" s="16">
        <f>HEX2DEC("1A")</f>
        <v>26</v>
      </c>
      <c r="C1213" s="17" t="str">
        <f t="array" ref="C1213">INDEX(Moves!$B$2:'Moves'!$B$177, SUM(HEX2DEC("7F"),1), 1)</f>
        <v>Pursuit</v>
      </c>
      <c r="D1213" s="16">
        <f>HEX2DEC("1A")</f>
        <v>26</v>
      </c>
      <c r="E1213" s="17" t="str">
        <f t="array" ref="E1213">INDEX(Moves!$B$2:'Moves'!$B$177, SUM(HEX2DEC("7F"),1), 1)</f>
        <v>Pursuit</v>
      </c>
      <c r="F1213" s="21">
        <v>23</v>
      </c>
      <c r="H1213" s="21"/>
      <c r="I1213" s="25"/>
      <c r="J1213" s="30"/>
    </row>
    <row r="1214" spans="1:10" x14ac:dyDescent="0.2">
      <c r="A1214" s="120"/>
      <c r="B1214" s="50">
        <f>HEX2DEC("22")</f>
        <v>34</v>
      </c>
      <c r="C1214" s="51" t="str">
        <f t="array" ref="C1214">INDEX(Moves!$B$2:'Moves'!$B$177, SUM(HEX2DEC("6D"),1), 1)</f>
        <v>Hypnosis</v>
      </c>
      <c r="D1214" s="50">
        <f>HEX2DEC("22")</f>
        <v>34</v>
      </c>
      <c r="E1214" s="51" t="str">
        <f t="array" ref="E1214">INDEX(Moves!$B$2:'Moves'!$B$177, SUM(HEX2DEC("6E"),1), 1)</f>
        <v>Rest</v>
      </c>
      <c r="F1214" s="21">
        <v>26</v>
      </c>
      <c r="H1214" s="21"/>
      <c r="I1214" s="25"/>
      <c r="J1214" s="30"/>
    </row>
    <row r="1215" spans="1:10" x14ac:dyDescent="0.2">
      <c r="A1215" s="120"/>
      <c r="B1215" s="48">
        <f>HEX2DEC("2B")</f>
        <v>43</v>
      </c>
      <c r="C1215" s="23" t="str">
        <f t="array" ref="C1215">INDEX(Moves!$B$2:'Moves'!$B$177, SUM(HEX2DEC("91"),1), 1)</f>
        <v>Horn Attack</v>
      </c>
      <c r="D1215" s="48">
        <f>HEX2DEC("2B")</f>
        <v>43</v>
      </c>
      <c r="E1215" s="23" t="s">
        <v>82</v>
      </c>
      <c r="F1215" s="21">
        <v>28</v>
      </c>
      <c r="H1215" s="21"/>
      <c r="I1215" s="25"/>
      <c r="J1215" s="30"/>
    </row>
    <row r="1216" spans="1:10" x14ac:dyDescent="0.2">
      <c r="A1216" s="120"/>
      <c r="B1216" s="48">
        <f>HEX2DEC("35")</f>
        <v>53</v>
      </c>
      <c r="C1216" s="23" t="str">
        <f t="array" ref="C1216">INDEX(Moves!$B$2:'Moves'!$B$177, SUM(HEX2DEC("40"),1), 1)</f>
        <v>Megahorn</v>
      </c>
      <c r="D1216" s="48">
        <f>HEX2DEC("35")</f>
        <v>53</v>
      </c>
      <c r="E1216" s="23" t="s">
        <v>124</v>
      </c>
      <c r="F1216" s="21">
        <v>35</v>
      </c>
      <c r="H1216" s="21"/>
      <c r="I1216" s="25"/>
      <c r="J1216" s="30"/>
    </row>
    <row r="1217" spans="1:10" x14ac:dyDescent="0.2">
      <c r="A1217" s="120"/>
      <c r="B1217" s="73"/>
      <c r="C1217" s="74"/>
      <c r="D1217" s="73"/>
      <c r="E1217" s="74"/>
      <c r="F1217" s="21">
        <v>39</v>
      </c>
      <c r="H1217" s="21"/>
      <c r="I1217" s="25"/>
      <c r="J1217" s="30"/>
    </row>
    <row r="1218" spans="1:10" x14ac:dyDescent="0.2">
      <c r="A1218" s="125" t="s">
        <v>250</v>
      </c>
      <c r="B1218" s="70">
        <f>HEX2DEC("00")</f>
        <v>0</v>
      </c>
      <c r="C1218" s="71" t="str">
        <f t="array" ref="C1218">INDEX(Moves!$B$2:'Moves'!$B$177, SUM(HEX2DEC("87"),1), 1)</f>
        <v>Splash</v>
      </c>
      <c r="D1218" s="70">
        <f>HEX2DEC("00")</f>
        <v>0</v>
      </c>
      <c r="E1218" s="71" t="str">
        <f t="array" ref="E1218">INDEX(Moves!$B$2:'Moves'!$B$177, SUM(HEX2DEC("87"),1), 1)</f>
        <v>Splash</v>
      </c>
      <c r="F1218" s="41">
        <v>5</v>
      </c>
      <c r="G1218" s="12" t="str">
        <f>VLOOKUP(F1218, TMHM!$B$10:$C1519, 2, FALSE)</f>
        <v>Roar</v>
      </c>
      <c r="H1218" s="13">
        <v>5</v>
      </c>
      <c r="I1218" s="14" t="str">
        <f>VLOOKUP(H1218, TMHM!$B$2:$C$7, 2, FALSE)</f>
        <v>Flash</v>
      </c>
      <c r="J1218" s="30"/>
    </row>
    <row r="1219" spans="1:10" x14ac:dyDescent="0.2">
      <c r="A1219" s="126"/>
      <c r="B1219" s="16">
        <f>HEX2DEC("0F")</f>
        <v>15</v>
      </c>
      <c r="C1219" s="17" t="str">
        <f t="array" ref="C1219">INDEX(Moves!$B$2:'Moves'!$B$177, SUM(HEX2DEC("89"),1), 1)</f>
        <v>Tackle</v>
      </c>
      <c r="D1219" s="16">
        <f>HEX2DEC("0F")</f>
        <v>15</v>
      </c>
      <c r="E1219" s="17" t="str">
        <f t="array" ref="E1219">INDEX(Moves!$B$2:'Moves'!$B$177, SUM(HEX2DEC("89"),1), 1)</f>
        <v>Tackle</v>
      </c>
      <c r="F1219" s="21"/>
      <c r="H1219" s="21"/>
      <c r="I1219" s="25"/>
      <c r="J1219" s="30"/>
    </row>
    <row r="1220" spans="1:10" x14ac:dyDescent="0.2">
      <c r="A1220" s="126"/>
      <c r="B1220" s="34"/>
      <c r="C1220" s="35"/>
      <c r="D1220" s="34">
        <f>HEX2DEC("1E")</f>
        <v>30</v>
      </c>
      <c r="E1220" s="35" t="s">
        <v>231</v>
      </c>
      <c r="F1220" s="21"/>
      <c r="H1220" s="21"/>
      <c r="I1220" s="25"/>
      <c r="J1220" s="30"/>
    </row>
    <row r="1221" spans="1:10" x14ac:dyDescent="0.2">
      <c r="A1221" s="121" t="s">
        <v>251</v>
      </c>
      <c r="B1221" s="61">
        <f>HEX2DEC("00")</f>
        <v>0</v>
      </c>
      <c r="C1221" s="62" t="str">
        <f t="array" ref="C1221">INDEX(Moves!$B$2:'Moves'!$B$177, SUM(HEX2DEC("7C"),1), 1)</f>
        <v>Outrage</v>
      </c>
      <c r="D1221" s="61">
        <f>HEX2DEC("00")</f>
        <v>0</v>
      </c>
      <c r="E1221" s="62" t="s">
        <v>82</v>
      </c>
      <c r="F1221" s="41">
        <v>2</v>
      </c>
      <c r="G1221" s="12" t="str">
        <f>VLOOKUP(F1221, TMHM!$B$10:$C1519, 2, FALSE)</f>
        <v>Dragon Claw</v>
      </c>
      <c r="H1221" s="13">
        <v>3</v>
      </c>
      <c r="I1221" s="14" t="str">
        <f>VLOOKUP(H1221, TMHM!$B$2:$C$7, 2, FALSE)</f>
        <v>Surf</v>
      </c>
      <c r="J1221" s="30" t="s">
        <v>252</v>
      </c>
    </row>
    <row r="1222" spans="1:10" x14ac:dyDescent="0.2">
      <c r="A1222" s="120"/>
      <c r="B1222" s="50">
        <f>HEX2DEC("14")</f>
        <v>20</v>
      </c>
      <c r="C1222" s="51" t="str">
        <f t="array" ref="C1222">INDEX(Moves!$B$2:'Moves'!$B$177, SUM(HEX2DEC("81"),1), 1)</f>
        <v>Crunch</v>
      </c>
      <c r="D1222" s="50">
        <f>HEX2DEC("14")</f>
        <v>20</v>
      </c>
      <c r="E1222" s="51" t="str">
        <f t="array" ref="E1222">INDEX(Moves!$B$2:'Moves'!$B$177, SUM(HEX2DEC("80"),1), 1)</f>
        <v>Bite</v>
      </c>
      <c r="F1222" s="11">
        <v>3</v>
      </c>
      <c r="G1222" s="20" t="str">
        <f>VLOOKUP(F1222, TMHM!$B$10:$C1519, 2, FALSE)</f>
        <v>Water Pulse</v>
      </c>
      <c r="H1222" s="21">
        <v>4</v>
      </c>
      <c r="I1222" s="20" t="str">
        <f>VLOOKUP(H1222, TMHM!$B$2:$C$7, 2, FALSE)</f>
        <v>Strength</v>
      </c>
      <c r="J1222" s="30"/>
    </row>
    <row r="1223" spans="1:10" x14ac:dyDescent="0.2">
      <c r="A1223" s="120"/>
      <c r="B1223" s="16">
        <f>HEX2DEC("19")</f>
        <v>25</v>
      </c>
      <c r="C1223" s="17" t="str">
        <f t="array" ref="C1223">INDEX(Moves!$B$2:'Moves'!$B$177, SUM(HEX2DEC("79"),1), 1)</f>
        <v>Dragon Rage</v>
      </c>
      <c r="D1223" s="16">
        <f>HEX2DEC("19")</f>
        <v>25</v>
      </c>
      <c r="E1223" s="17" t="str">
        <f t="array" ref="E1223">INDEX(Moves!$B$2:'Moves'!$B$177, SUM(HEX2DEC("79"),1), 1)</f>
        <v>Dragon Rage</v>
      </c>
      <c r="F1223" s="21">
        <v>7</v>
      </c>
      <c r="G1223" s="20" t="str">
        <f>VLOOKUP(F1223, TMHM!$B$10:$C1519, 2, FALSE)</f>
        <v>Secret Power</v>
      </c>
      <c r="H1223" s="21">
        <v>5</v>
      </c>
      <c r="I1223" s="20" t="str">
        <f>VLOOKUP(H1223, TMHM!$B$2:$C$7, 2, FALSE)</f>
        <v>Flash</v>
      </c>
      <c r="J1223" s="30"/>
    </row>
    <row r="1224" spans="1:10" x14ac:dyDescent="0.2">
      <c r="A1224" s="120"/>
      <c r="B1224" s="48">
        <f>HEX2DEC("1E")</f>
        <v>30</v>
      </c>
      <c r="C1224" s="23" t="str">
        <f t="array" ref="C1224">INDEX(Moves!$B$2:'Moves'!$B$177, SUM(HEX2DEC("0A"),1), 1)</f>
        <v>Water Pulse</v>
      </c>
      <c r="D1224" s="48">
        <f>HEX2DEC("1E")</f>
        <v>30</v>
      </c>
      <c r="E1224" s="23" t="s">
        <v>59</v>
      </c>
      <c r="F1224" s="21">
        <v>10</v>
      </c>
      <c r="G1224" s="20" t="str">
        <f>VLOOKUP(F1224, TMHM!$B$10:$C1519, 2, FALSE)</f>
        <v>Bite</v>
      </c>
      <c r="H1224" s="21"/>
      <c r="I1224" s="25"/>
      <c r="J1224" s="30"/>
    </row>
    <row r="1225" spans="1:10" x14ac:dyDescent="0.2">
      <c r="A1225" s="120"/>
      <c r="B1225" s="16">
        <f>HEX2DEC("23")</f>
        <v>35</v>
      </c>
      <c r="C1225" s="17" t="str">
        <f t="array" ref="C1225">INDEX(Moves!$B$2:'Moves'!$B$177, SUM(HEX2DEC("78"),1), 1)</f>
        <v>Twister</v>
      </c>
      <c r="D1225" s="16">
        <f>HEX2DEC("23")</f>
        <v>35</v>
      </c>
      <c r="E1225" s="17" t="str">
        <f t="array" ref="E1225">INDEX(Moves!$B$2:'Moves'!$B$177, SUM(HEX2DEC("78"),1), 1)</f>
        <v>Twister</v>
      </c>
      <c r="F1225" s="21">
        <v>11</v>
      </c>
      <c r="G1225" s="20" t="str">
        <f>VLOOKUP(F1225, TMHM!$B$10:$C1519, 2, FALSE)</f>
        <v>Bubblebeam</v>
      </c>
      <c r="H1225" s="21"/>
      <c r="I1225" s="25"/>
      <c r="J1225" s="30"/>
    </row>
    <row r="1226" spans="1:10" x14ac:dyDescent="0.2">
      <c r="A1226" s="120"/>
      <c r="B1226" s="16">
        <f>HEX2DEC("28")</f>
        <v>40</v>
      </c>
      <c r="C1226" s="17" t="str">
        <f t="array" ref="C1226">INDEX(Moves!$B$2:'Moves'!$B$177, SUM(HEX2DEC("0F"),1), 1)</f>
        <v>Hydro Pump</v>
      </c>
      <c r="D1226" s="16">
        <f>HEX2DEC("28")</f>
        <v>40</v>
      </c>
      <c r="E1226" s="17" t="str">
        <f t="array" ref="E1226">INDEX(Moves!$B$2:'Moves'!$B$177, SUM(HEX2DEC("0F"),1), 1)</f>
        <v>Hydro Pump</v>
      </c>
      <c r="F1226" s="21">
        <v>15</v>
      </c>
      <c r="G1226" s="20" t="str">
        <f>VLOOKUP(F1226, TMHM!$B$10:$C1519, 2, FALSE)</f>
        <v>Hyper Beam</v>
      </c>
      <c r="H1226" s="21"/>
      <c r="I1226" s="25"/>
      <c r="J1226" s="30"/>
    </row>
    <row r="1227" spans="1:10" x14ac:dyDescent="0.2">
      <c r="A1227" s="120"/>
      <c r="B1227" s="48">
        <f>HEX2DEC("2D")</f>
        <v>45</v>
      </c>
      <c r="C1227" s="23" t="str">
        <f t="array" ref="C1227">INDEX(Moves!$B$2:'Moves'!$B$177, SUM(HEX2DEC("7D"),1), 1)</f>
        <v>Dragon Dance</v>
      </c>
      <c r="D1227" s="48">
        <f>HEX2DEC("2D")</f>
        <v>45</v>
      </c>
      <c r="E1227" s="23" t="s">
        <v>36</v>
      </c>
      <c r="F1227" s="21">
        <v>24</v>
      </c>
      <c r="G1227" s="20" t="str">
        <f>VLOOKUP(F1227, TMHM!$B$10:$C1519, 2, FALSE)</f>
        <v>Thunderbolt</v>
      </c>
      <c r="H1227" s="21"/>
      <c r="I1227" s="25"/>
      <c r="J1227" s="30"/>
    </row>
    <row r="1228" spans="1:10" x14ac:dyDescent="0.2">
      <c r="A1228" s="120"/>
      <c r="B1228" s="16">
        <f>HEX2DEC("32")</f>
        <v>50</v>
      </c>
      <c r="C1228" s="17" t="str">
        <f t="array" ref="C1228">INDEX(Moves!$B$2:'Moves'!$B$177, SUM(HEX2DEC("97"),1), 1)</f>
        <v>Hyper Beam</v>
      </c>
      <c r="D1228" s="16">
        <f>HEX2DEC("32")</f>
        <v>50</v>
      </c>
      <c r="E1228" s="17" t="str">
        <f t="array" ref="E1228">INDEX(Moves!$B$2:'Moves'!$B$177, SUM(HEX2DEC("97"),1), 1)</f>
        <v>Hyper Beam</v>
      </c>
      <c r="F1228" s="21">
        <v>25</v>
      </c>
      <c r="G1228" s="20" t="str">
        <f>VLOOKUP(F1228, TMHM!$B$10:$C1519, 2, FALSE)</f>
        <v>Thunder</v>
      </c>
      <c r="H1228" s="21"/>
      <c r="I1228" s="25"/>
      <c r="J1228" s="30"/>
    </row>
    <row r="1229" spans="1:10" x14ac:dyDescent="0.2">
      <c r="A1229" s="120"/>
      <c r="B1229" s="73"/>
      <c r="C1229" s="74"/>
      <c r="D1229" s="73"/>
      <c r="E1229" s="74"/>
      <c r="F1229" s="21">
        <v>26</v>
      </c>
      <c r="G1229" s="20" t="str">
        <f>VLOOKUP(F1229, TMHM!$B$10:$C1519, 2, FALSE)</f>
        <v>Earthquake</v>
      </c>
      <c r="H1229" s="21"/>
      <c r="I1229" s="25"/>
      <c r="J1229" s="30"/>
    </row>
    <row r="1230" spans="1:10" x14ac:dyDescent="0.2">
      <c r="A1230" s="120"/>
      <c r="B1230" s="73"/>
      <c r="C1230" s="74"/>
      <c r="D1230" s="73"/>
      <c r="E1230" s="74"/>
      <c r="F1230" s="21">
        <v>32</v>
      </c>
      <c r="G1230" s="20" t="str">
        <f>VLOOKUP(F1230, TMHM!$B$10:$C1519, 2, FALSE)</f>
        <v>Double Team</v>
      </c>
      <c r="H1230" s="21"/>
      <c r="I1230" s="25"/>
      <c r="J1230" s="30"/>
    </row>
    <row r="1231" spans="1:10" x14ac:dyDescent="0.2">
      <c r="A1231" s="120"/>
      <c r="B1231" s="73"/>
      <c r="C1231" s="74"/>
      <c r="D1231" s="73"/>
      <c r="E1231" s="74"/>
      <c r="F1231" s="21">
        <v>34</v>
      </c>
      <c r="G1231" s="20" t="str">
        <f>VLOOKUP(F1231, TMHM!$B$10:$C1519, 2, FALSE)</f>
        <v>Shock Wave</v>
      </c>
      <c r="H1231" s="21"/>
      <c r="I1231" s="25"/>
      <c r="J1231" s="30"/>
    </row>
    <row r="1232" spans="1:10" x14ac:dyDescent="0.2">
      <c r="A1232" s="121" t="s">
        <v>253</v>
      </c>
      <c r="B1232" s="70">
        <f>HEX2DEC("00")</f>
        <v>0</v>
      </c>
      <c r="C1232" s="71" t="str">
        <f t="array" ref="C1232">INDEX(Moves!$B$2:'Moves'!$B$177, SUM(HEX2DEC("09"),1), 1)</f>
        <v>Water Gun</v>
      </c>
      <c r="D1232" s="82">
        <f t="shared" ref="D1232:D1234" si="96">HEX2DEC("01")</f>
        <v>1</v>
      </c>
      <c r="E1232" s="71" t="str">
        <f t="array" ref="E1232">INDEX(Moves!$B$2:'Moves'!$B$177, SUM(HEX2DEC("09"),1), 1)</f>
        <v>Water Gun</v>
      </c>
      <c r="F1232" s="41">
        <v>2</v>
      </c>
      <c r="G1232" s="12" t="str">
        <f>VLOOKUP(F1232, TMHM!$B$10:$C1519, 2, FALSE)</f>
        <v>Dragon Claw</v>
      </c>
      <c r="H1232" s="13">
        <v>3</v>
      </c>
      <c r="I1232" s="14" t="str">
        <f>VLOOKUP(H1232, TMHM!$B$2:$C$7, 2, FALSE)</f>
        <v>Surf</v>
      </c>
      <c r="J1232" s="30"/>
    </row>
    <row r="1233" spans="1:10" x14ac:dyDescent="0.2">
      <c r="A1233" s="120"/>
      <c r="B1233" s="43">
        <f>HEX2DEC("02")</f>
        <v>2</v>
      </c>
      <c r="C1233" s="17" t="str">
        <f t="array" ref="C1233">INDEX(Moves!$B$2:'Moves'!$B$177, SUM(HEX2DEC("A0"),1), 1)</f>
        <v>Growl</v>
      </c>
      <c r="D1233" s="43">
        <f t="shared" si="96"/>
        <v>1</v>
      </c>
      <c r="E1233" s="17" t="str">
        <f t="array" ref="E1233">INDEX(Moves!$B$2:'Moves'!$B$177, SUM(HEX2DEC("A0"),1), 1)</f>
        <v>Growl</v>
      </c>
      <c r="F1233" s="11">
        <v>3</v>
      </c>
      <c r="G1233" s="20" t="str">
        <f>VLOOKUP(F1233, TMHM!$B$10:$C1519, 2, FALSE)</f>
        <v>Water Pulse</v>
      </c>
      <c r="H1233" s="21">
        <v>4</v>
      </c>
      <c r="I1233" s="20" t="str">
        <f>VLOOKUP(H1233, TMHM!$B$2:$C$7, 2, FALSE)</f>
        <v>Strength</v>
      </c>
      <c r="J1233" s="30"/>
    </row>
    <row r="1234" spans="1:10" x14ac:dyDescent="0.2">
      <c r="A1234" s="120"/>
      <c r="B1234" s="43">
        <f>HEX2DEC("03")</f>
        <v>3</v>
      </c>
      <c r="C1234" s="17" t="str">
        <f t="array" ref="C1234">INDEX(Moves!$B$2:'Moves'!$B$177, SUM(HEX2DEC("9C"),1), 1)</f>
        <v>Sing</v>
      </c>
      <c r="D1234" s="43">
        <f t="shared" si="96"/>
        <v>1</v>
      </c>
      <c r="E1234" s="17" t="str">
        <f t="array" ref="E1234">INDEX(Moves!$B$2:'Moves'!$B$177, SUM(HEX2DEC("9C"),1), 1)</f>
        <v>Sing</v>
      </c>
      <c r="F1234" s="21">
        <v>7</v>
      </c>
      <c r="G1234" s="20" t="str">
        <f>VLOOKUP(F1234, TMHM!$B$10:$C1519, 2, FALSE)</f>
        <v>Secret Power</v>
      </c>
      <c r="H1234" s="21"/>
      <c r="J1234" s="30"/>
    </row>
    <row r="1235" spans="1:10" x14ac:dyDescent="0.2">
      <c r="A1235" s="120"/>
      <c r="B1235" s="48">
        <f>HEX2DEC("08")</f>
        <v>8</v>
      </c>
      <c r="C1235" s="23" t="str">
        <f t="array" ref="C1235">INDEX(Moves!$B$2:'Moves'!$B$177, SUM(HEX2DEC("2A"),1), 1)</f>
        <v>Icy Wind</v>
      </c>
      <c r="D1235" s="48">
        <f>HEX2DEC("08")</f>
        <v>8</v>
      </c>
      <c r="E1235" s="23" t="s">
        <v>254</v>
      </c>
      <c r="F1235" s="21">
        <v>10</v>
      </c>
      <c r="G1235" s="20" t="str">
        <f>VLOOKUP(F1235, TMHM!$B$10:$C1519, 2, FALSE)</f>
        <v>Bite</v>
      </c>
      <c r="H1235" s="21"/>
      <c r="I1235" s="25"/>
      <c r="J1235" s="30"/>
    </row>
    <row r="1236" spans="1:10" x14ac:dyDescent="0.2">
      <c r="A1236" s="120"/>
      <c r="B1236" s="48">
        <f>HEX2DEC("0F")</f>
        <v>15</v>
      </c>
      <c r="C1236" s="23" t="str">
        <f t="array" ref="C1236">INDEX(Moves!$B$2:'Moves'!$B$177, SUM(HEX2DEC("A6"),1), 1)</f>
        <v>SmokeScreen</v>
      </c>
      <c r="D1236" s="48">
        <f>HEX2DEC("0F")</f>
        <v>15</v>
      </c>
      <c r="E1236" s="23" t="s">
        <v>77</v>
      </c>
      <c r="F1236" s="21">
        <v>11</v>
      </c>
      <c r="G1236" s="20" t="str">
        <f>VLOOKUP(F1236, TMHM!$B$10:$C1519, 2, FALSE)</f>
        <v>Bubblebeam</v>
      </c>
      <c r="H1236" s="21"/>
      <c r="I1236" s="25"/>
      <c r="J1236" s="30"/>
    </row>
    <row r="1237" spans="1:10" x14ac:dyDescent="0.2">
      <c r="A1237" s="120"/>
      <c r="B1237" s="16">
        <f>HEX2DEC("16")</f>
        <v>22</v>
      </c>
      <c r="C1237" s="17" t="str">
        <f t="array" ref="C1237">INDEX(Moves!$B$2:'Moves'!$B$177, SUM(HEX2DEC("77"),1), 1)</f>
        <v>Confuse Ray</v>
      </c>
      <c r="D1237" s="16">
        <f>HEX2DEC("16")</f>
        <v>22</v>
      </c>
      <c r="E1237" s="17" t="str">
        <f t="array" ref="E1237">INDEX(Moves!$B$2:'Moves'!$B$177, SUM(HEX2DEC("77"),1), 1)</f>
        <v>Confuse Ray</v>
      </c>
      <c r="F1237" s="21">
        <v>13</v>
      </c>
      <c r="G1237" s="20" t="str">
        <f>VLOOKUP(F1237, TMHM!$B$10:$C1519, 2, FALSE)</f>
        <v>Ice Beam</v>
      </c>
      <c r="H1237" s="21"/>
      <c r="I1237" s="25"/>
      <c r="J1237" s="30"/>
    </row>
    <row r="1238" spans="1:10" x14ac:dyDescent="0.2">
      <c r="A1238" s="120"/>
      <c r="B1238" s="48">
        <f>HEX2DEC("1D")</f>
        <v>29</v>
      </c>
      <c r="C1238" s="23" t="str">
        <f t="array" ref="C1238">INDEX(Moves!$B$2:'Moves'!$B$177, SUM(HEX2DEC("AC"),1), 1)</f>
        <v>Whirlwind</v>
      </c>
      <c r="D1238" s="48">
        <f>HEX2DEC("1D")</f>
        <v>29</v>
      </c>
      <c r="E1238" s="23" t="s">
        <v>244</v>
      </c>
      <c r="F1238" s="21">
        <v>14</v>
      </c>
      <c r="G1238" s="20" t="str">
        <f>VLOOKUP(F1238, TMHM!$B$10:$C1519, 2, FALSE)</f>
        <v>Blizzard</v>
      </c>
      <c r="H1238" s="21"/>
      <c r="I1238" s="25"/>
      <c r="J1238" s="30"/>
    </row>
    <row r="1239" spans="1:10" x14ac:dyDescent="0.2">
      <c r="A1239" s="120"/>
      <c r="B1239" s="16">
        <f>HEX2DEC("24")</f>
        <v>36</v>
      </c>
      <c r="C1239" s="17" t="str">
        <f t="array" ref="C1239">INDEX(Moves!$B$2:'Moves'!$B$177, SUM(HEX2DEC("2D"),1), 1)</f>
        <v>Ice Beam</v>
      </c>
      <c r="D1239" s="16">
        <f>HEX2DEC("24")</f>
        <v>36</v>
      </c>
      <c r="E1239" s="17" t="str">
        <f t="array" ref="E1239">INDEX(Moves!$B$2:'Moves'!$B$177, SUM(HEX2DEC("2D"),1), 1)</f>
        <v>Ice Beam</v>
      </c>
      <c r="F1239" s="21">
        <v>15</v>
      </c>
      <c r="G1239" s="20" t="str">
        <f>VLOOKUP(F1239, TMHM!$B$10:$C1519, 2, FALSE)</f>
        <v>Hyper Beam</v>
      </c>
      <c r="H1239" s="21"/>
      <c r="I1239" s="25"/>
      <c r="J1239" s="30"/>
    </row>
    <row r="1240" spans="1:10" x14ac:dyDescent="0.2">
      <c r="A1240" s="120"/>
      <c r="B1240" s="48">
        <f>HEX2DEC("2B")</f>
        <v>43</v>
      </c>
      <c r="C1240" s="23" t="str">
        <f t="array" ref="C1240">INDEX(Moves!$B$2:'Moves'!$B$177, SUM(HEX2DEC("7D"),1), 1)</f>
        <v>Dragon Dance</v>
      </c>
      <c r="D1240" s="48">
        <f>HEX2DEC("2B")</f>
        <v>43</v>
      </c>
      <c r="E1240" s="23" t="s">
        <v>36</v>
      </c>
      <c r="F1240" s="21">
        <v>26</v>
      </c>
      <c r="G1240" s="20" t="str">
        <f>VLOOKUP(F1240, TMHM!$B$10:$C1519, 2, FALSE)</f>
        <v>Earthquake</v>
      </c>
      <c r="H1240" s="21"/>
      <c r="I1240" s="25"/>
      <c r="J1240" s="30"/>
    </row>
    <row r="1241" spans="1:10" x14ac:dyDescent="0.2">
      <c r="A1241" s="120"/>
      <c r="B1241" s="48">
        <f>HEX2DEC("32")</f>
        <v>50</v>
      </c>
      <c r="C1241" s="23" t="str">
        <f t="array" ref="C1241">INDEX(Moves!$B$2:'Moves'!$B$177, SUM(HEX2DEC("93"),1), 1)</f>
        <v>Secret Power</v>
      </c>
      <c r="D1241" s="48">
        <f>HEX2DEC("32")</f>
        <v>50</v>
      </c>
      <c r="E1241" s="23" t="s">
        <v>44</v>
      </c>
      <c r="F1241" s="21">
        <v>32</v>
      </c>
      <c r="G1241" s="20" t="str">
        <f>VLOOKUP(F1241, TMHM!$B$10:$C1519, 2, FALSE)</f>
        <v>Double Team</v>
      </c>
      <c r="H1241" s="21"/>
      <c r="I1241" s="25"/>
      <c r="J1241" s="30"/>
    </row>
    <row r="1242" spans="1:10" x14ac:dyDescent="0.2">
      <c r="A1242" s="120"/>
      <c r="B1242" s="16">
        <f>HEX2DEC("39")</f>
        <v>57</v>
      </c>
      <c r="C1242" s="17" t="str">
        <f t="array" ref="C1242">INDEX(Moves!$B$2:'Moves'!$B$177, SUM(HEX2DEC("0F"),1), 1)</f>
        <v>Hydro Pump</v>
      </c>
      <c r="D1242" s="16">
        <f>HEX2DEC("39")</f>
        <v>57</v>
      </c>
      <c r="E1242" s="17" t="str">
        <f t="array" ref="E1242">INDEX(Moves!$B$2:'Moves'!$B$177, SUM(HEX2DEC("0F"),1), 1)</f>
        <v>Hydro Pump</v>
      </c>
      <c r="F1242" s="21"/>
      <c r="H1242" s="21"/>
      <c r="I1242" s="25"/>
      <c r="J1242" s="30"/>
    </row>
    <row r="1243" spans="1:10" x14ac:dyDescent="0.2">
      <c r="A1243" s="125" t="s">
        <v>255</v>
      </c>
      <c r="B1243" s="70">
        <f t="shared" ref="B1243:B1244" si="97">HEX2DEC("00")</f>
        <v>0</v>
      </c>
      <c r="C1243" s="71" t="str">
        <f t="array" ref="C1243">INDEX(Moves!$B$2:'Moves'!$B$177, SUM(HEX2DEC("AD"),1), 1)</f>
        <v>Transform</v>
      </c>
      <c r="D1243" s="70">
        <f t="shared" ref="D1243:D1245" si="98">HEX2DEC("01")</f>
        <v>1</v>
      </c>
      <c r="E1243" s="71" t="str">
        <f t="array" ref="E1243">INDEX(Moves!$B$2:'Moves'!$B$177, SUM(HEX2DEC("AD"),1), 1)</f>
        <v>Transform</v>
      </c>
      <c r="F1243" s="41">
        <v>9</v>
      </c>
      <c r="G1243" s="12" t="str">
        <f>VLOOKUP(F1243, TMHM!$B$10:$C1519, 2, FALSE)</f>
        <v>Snore</v>
      </c>
      <c r="H1243" s="13">
        <v>5</v>
      </c>
      <c r="I1243" s="14" t="str">
        <f>VLOOKUP(H1243, TMHM!$B$2:$C$7, 2, FALSE)</f>
        <v>Flash</v>
      </c>
      <c r="J1243" s="30"/>
    </row>
    <row r="1244" spans="1:10" x14ac:dyDescent="0.2">
      <c r="A1244" s="121" t="s">
        <v>256</v>
      </c>
      <c r="B1244" s="70">
        <f t="shared" si="97"/>
        <v>0</v>
      </c>
      <c r="C1244" s="71" t="str">
        <f t="array" ref="C1244">INDEX(Moves!$B$2:'Moves'!$B$177, SUM(HEX2DEC("89"),1), 1)</f>
        <v>Tackle</v>
      </c>
      <c r="D1244" s="70">
        <f t="shared" si="98"/>
        <v>1</v>
      </c>
      <c r="E1244" s="71" t="str">
        <f t="array" ref="E1244">INDEX(Moves!$B$2:'Moves'!$B$177, SUM(HEX2DEC("89"),1), 1)</f>
        <v>Tackle</v>
      </c>
      <c r="F1244" s="41">
        <v>1</v>
      </c>
      <c r="G1244" s="12" t="str">
        <f>VLOOKUP(F1244, TMHM!$B$10:$C1519, 2, FALSE)</f>
        <v>Focus Punch</v>
      </c>
      <c r="H1244" s="13">
        <v>5</v>
      </c>
      <c r="I1244" s="14" t="str">
        <f>VLOOKUP(H1244, TMHM!$B$2:$C$7, 2, FALSE)</f>
        <v>Flash</v>
      </c>
      <c r="J1244" s="30"/>
    </row>
    <row r="1245" spans="1:10" x14ac:dyDescent="0.2">
      <c r="A1245" s="120"/>
      <c r="B1245" s="43">
        <f>HEX2DEC("02")</f>
        <v>2</v>
      </c>
      <c r="C1245" s="17" t="str">
        <f t="array" ref="C1245">INDEX(Moves!$B$2:'Moves'!$B$177, SUM(HEX2DEC("A4"),1), 1)</f>
        <v>Tail Whip</v>
      </c>
      <c r="D1245" s="43">
        <f t="shared" si="98"/>
        <v>1</v>
      </c>
      <c r="E1245" s="17" t="str">
        <f t="array" ref="E1245">INDEX(Moves!$B$2:'Moves'!$B$177, SUM(HEX2DEC("A4"),1), 1)</f>
        <v>Tail Whip</v>
      </c>
      <c r="F1245" s="11">
        <v>5</v>
      </c>
      <c r="G1245" s="20" t="str">
        <f>VLOOKUP(F1245, TMHM!$B$10:$C1519, 2, FALSE)</f>
        <v>Roar</v>
      </c>
      <c r="H1245" s="21"/>
      <c r="I1245" s="25"/>
      <c r="J1245" s="30"/>
    </row>
    <row r="1246" spans="1:10" x14ac:dyDescent="0.2">
      <c r="A1246" s="120"/>
      <c r="B1246" s="16">
        <f>HEX2DEC("08")</f>
        <v>8</v>
      </c>
      <c r="C1246" s="17" t="str">
        <f t="array" ref="C1246">INDEX(Moves!$B$2:'Moves'!$B$177, SUM(HEX2DEC("37"),1), 1)</f>
        <v>Sand Attack</v>
      </c>
      <c r="D1246" s="16">
        <f>HEX2DEC("08")</f>
        <v>8</v>
      </c>
      <c r="E1246" s="17" t="str">
        <f t="array" ref="E1246">INDEX(Moves!$B$2:'Moves'!$B$177, SUM(HEX2DEC("37"),1), 1)</f>
        <v>Sand Attack</v>
      </c>
      <c r="F1246" s="21">
        <v>7</v>
      </c>
      <c r="G1246" s="20" t="str">
        <f>VLOOKUP(F1246, TMHM!$B$10:$C1519, 2, FALSE)</f>
        <v>Secret Power</v>
      </c>
      <c r="H1246" s="21"/>
      <c r="I1246" s="25"/>
      <c r="J1246" s="30"/>
    </row>
    <row r="1247" spans="1:10" x14ac:dyDescent="0.2">
      <c r="A1247" s="120"/>
      <c r="B1247" s="16">
        <f>HEX2DEC("10")</f>
        <v>16</v>
      </c>
      <c r="C1247" s="17" t="str">
        <f t="array" ref="C1247">INDEX(Moves!$B$2:'Moves'!$B$177, SUM(HEX2DEC("A0"),1), 1)</f>
        <v>Growl</v>
      </c>
      <c r="D1247" s="16">
        <f>HEX2DEC("10")</f>
        <v>16</v>
      </c>
      <c r="E1247" s="17" t="str">
        <f t="array" ref="E1247">INDEX(Moves!$B$2:'Moves'!$B$177, SUM(HEX2DEC("A0"),1), 1)</f>
        <v>Growl</v>
      </c>
      <c r="F1247" s="21">
        <v>8</v>
      </c>
      <c r="G1247" s="20" t="str">
        <f>VLOOKUP(F1247, TMHM!$B$10:$C1519, 2, FALSE)</f>
        <v>Charm</v>
      </c>
      <c r="H1247" s="21"/>
      <c r="I1247" s="25"/>
      <c r="J1247" s="30"/>
    </row>
    <row r="1248" spans="1:10" x14ac:dyDescent="0.2">
      <c r="A1248" s="120"/>
      <c r="B1248" s="16">
        <f>HEX2DEC("17")</f>
        <v>23</v>
      </c>
      <c r="C1248" s="17" t="str">
        <f t="array" ref="C1248">INDEX(Moves!$B$2:'Moves'!$B$177, SUM(HEX2DEC("8C"),1), 1)</f>
        <v>Quick Attack</v>
      </c>
      <c r="D1248" s="16">
        <f>HEX2DEC("17")</f>
        <v>23</v>
      </c>
      <c r="E1248" s="17" t="str">
        <f t="array" ref="E1248">INDEX(Moves!$B$2:'Moves'!$B$177, SUM(HEX2DEC("8C"),1), 1)</f>
        <v>Quick Attack</v>
      </c>
      <c r="F1248" s="21">
        <v>9</v>
      </c>
      <c r="G1248" s="20" t="str">
        <f>VLOOKUP(F1248, TMHM!$B$10:$C1519, 2, FALSE)</f>
        <v>Snore</v>
      </c>
      <c r="H1248" s="21"/>
      <c r="I1248" s="25"/>
      <c r="J1248" s="30"/>
    </row>
    <row r="1249" spans="1:10" x14ac:dyDescent="0.2">
      <c r="A1249" s="120"/>
      <c r="B1249" s="16">
        <f>HEX2DEC("1E")</f>
        <v>30</v>
      </c>
      <c r="C1249" s="17" t="str">
        <f t="array" ref="C1249">INDEX(Moves!$B$2:'Moves'!$B$177, SUM(HEX2DEC("80"),1), 1)</f>
        <v>Bite</v>
      </c>
      <c r="D1249" s="16">
        <f>HEX2DEC("1E")</f>
        <v>30</v>
      </c>
      <c r="E1249" s="17" t="str">
        <f t="array" ref="E1249">INDEX(Moves!$B$2:'Moves'!$B$177, SUM(HEX2DEC("80"),1), 1)</f>
        <v>Bite</v>
      </c>
      <c r="F1249" s="21">
        <v>10</v>
      </c>
      <c r="G1249" s="20" t="str">
        <f>VLOOKUP(F1249, TMHM!$B$10:$C1519, 2, FALSE)</f>
        <v>Bite</v>
      </c>
      <c r="H1249" s="21"/>
      <c r="I1249" s="25"/>
      <c r="J1249" s="30"/>
    </row>
    <row r="1250" spans="1:10" x14ac:dyDescent="0.2">
      <c r="A1250" s="120"/>
      <c r="B1250" s="48">
        <f>HEX2DEC("24")</f>
        <v>36</v>
      </c>
      <c r="C1250" s="23" t="str">
        <f t="array" ref="C1250">INDEX(Moves!$B$2:'Moves'!$B$177, SUM(HEX2DEC("9F"),1), 1)</f>
        <v>Sword Dance</v>
      </c>
      <c r="D1250" s="48">
        <f>HEX2DEC("24")</f>
        <v>36</v>
      </c>
      <c r="E1250" s="23" t="s">
        <v>49</v>
      </c>
      <c r="F1250" s="21">
        <v>15</v>
      </c>
      <c r="G1250" s="20" t="str">
        <f>VLOOKUP(F1250, TMHM!$B$10:$C1519, 2, FALSE)</f>
        <v>Hyper Beam</v>
      </c>
      <c r="H1250" s="21"/>
      <c r="I1250" s="25"/>
      <c r="J1250" s="30"/>
    </row>
    <row r="1251" spans="1:10" x14ac:dyDescent="0.2">
      <c r="A1251" s="120"/>
      <c r="B1251" s="48">
        <f>HEX2DEC("2A")</f>
        <v>42</v>
      </c>
      <c r="C1251" s="23" t="str">
        <f t="array" ref="C1251">INDEX(Moves!$B$2:'Moves'!$B$177, SUM(HEX2DEC("96"),1), 1)</f>
        <v>Double-Edge</v>
      </c>
      <c r="D1251" s="48">
        <f>HEX2DEC("2A")</f>
        <v>42</v>
      </c>
      <c r="E1251" s="23" t="s">
        <v>124</v>
      </c>
      <c r="F1251" s="21">
        <v>17</v>
      </c>
      <c r="G1251" s="20" t="str">
        <f>VLOOKUP(F1251, TMHM!$B$10:$C1519, 2, FALSE)</f>
        <v>SmokeScreen</v>
      </c>
      <c r="H1251" s="21"/>
      <c r="I1251" s="25"/>
      <c r="J1251" s="30"/>
    </row>
    <row r="1252" spans="1:10" x14ac:dyDescent="0.2">
      <c r="A1252" s="121" t="s">
        <v>257</v>
      </c>
      <c r="B1252" s="70">
        <f>HEX2DEC("00")</f>
        <v>0</v>
      </c>
      <c r="C1252" s="71" t="str">
        <f t="array" ref="C1252">INDEX(Moves!$B$2:'Moves'!$B$177, SUM(HEX2DEC("89"),1), 1)</f>
        <v>Tackle</v>
      </c>
      <c r="D1252" s="70">
        <f t="shared" ref="D1252:D1253" si="99">HEX2DEC("01")</f>
        <v>1</v>
      </c>
      <c r="E1252" s="71" t="str">
        <f t="array" ref="E1252">INDEX(Moves!$B$2:'Moves'!$B$177, SUM(HEX2DEC("89"),1), 1)</f>
        <v>Tackle</v>
      </c>
      <c r="F1252" s="41">
        <v>3</v>
      </c>
      <c r="G1252" s="12" t="str">
        <f>VLOOKUP(F1252, TMHM!$B$10:$C1519, 2, FALSE)</f>
        <v>Water Pulse</v>
      </c>
      <c r="H1252" s="13">
        <v>3</v>
      </c>
      <c r="I1252" s="14" t="str">
        <f>VLOOKUP(H1252, TMHM!$B$2:$C$7, 2, FALSE)</f>
        <v>Surf</v>
      </c>
      <c r="J1252" s="30"/>
    </row>
    <row r="1253" spans="1:10" x14ac:dyDescent="0.2">
      <c r="A1253" s="120"/>
      <c r="B1253" s="43">
        <f>HEX2DEC("02")</f>
        <v>2</v>
      </c>
      <c r="C1253" s="17" t="str">
        <f t="array" ref="C1253">INDEX(Moves!$B$2:'Moves'!$B$177, SUM(HEX2DEC("A4"),1), 1)</f>
        <v>Tail Whip</v>
      </c>
      <c r="D1253" s="43">
        <f t="shared" si="99"/>
        <v>1</v>
      </c>
      <c r="E1253" s="17" t="str">
        <f t="array" ref="E1253">INDEX(Moves!$B$2:'Moves'!$B$177, SUM(HEX2DEC("A4"),1), 1)</f>
        <v>Tail Whip</v>
      </c>
      <c r="F1253" s="11">
        <v>6</v>
      </c>
      <c r="G1253" s="20" t="str">
        <f>VLOOKUP(F1253, TMHM!$B$10:$C1519, 2, FALSE)</f>
        <v>Toxic</v>
      </c>
      <c r="H1253" s="21"/>
      <c r="I1253" s="25"/>
      <c r="J1253" s="30"/>
    </row>
    <row r="1254" spans="1:10" x14ac:dyDescent="0.2">
      <c r="A1254" s="120"/>
      <c r="B1254" s="16">
        <f>HEX2DEC("08")</f>
        <v>8</v>
      </c>
      <c r="C1254" s="17" t="str">
        <f t="array" ref="C1254">INDEX(Moves!$B$2:'Moves'!$B$177, SUM(HEX2DEC("37"),1), 1)</f>
        <v>Sand Attack</v>
      </c>
      <c r="D1254" s="16">
        <f>HEX2DEC("08")</f>
        <v>8</v>
      </c>
      <c r="E1254" s="17" t="str">
        <f t="array" ref="E1254">INDEX(Moves!$B$2:'Moves'!$B$177, SUM(HEX2DEC("37"),1), 1)</f>
        <v>Sand Attack</v>
      </c>
      <c r="F1254" s="21">
        <v>8</v>
      </c>
      <c r="G1254" s="20" t="str">
        <f>VLOOKUP(F1254, TMHM!$B$10:$C1519, 2, FALSE)</f>
        <v>Charm</v>
      </c>
      <c r="H1254" s="21"/>
      <c r="I1254" s="25"/>
      <c r="J1254" s="30"/>
    </row>
    <row r="1255" spans="1:10" x14ac:dyDescent="0.2">
      <c r="A1255" s="120"/>
      <c r="B1255" s="16">
        <f>HEX2DEC("10")</f>
        <v>16</v>
      </c>
      <c r="C1255" s="17" t="str">
        <f t="array" ref="C1255">INDEX(Moves!$B$2:'Moves'!$B$177, SUM(HEX2DEC("09"),1), 1)</f>
        <v>Water Gun</v>
      </c>
      <c r="D1255" s="16">
        <f>HEX2DEC("10")</f>
        <v>16</v>
      </c>
      <c r="E1255" s="17" t="str">
        <f t="array" ref="E1255">INDEX(Moves!$B$2:'Moves'!$B$177, SUM(HEX2DEC("09"),1), 1)</f>
        <v>Water Gun</v>
      </c>
      <c r="F1255" s="21">
        <v>11</v>
      </c>
      <c r="G1255" s="20" t="str">
        <f>VLOOKUP(F1255, TMHM!$B$10:$C1519, 2, FALSE)</f>
        <v>Bubblebeam</v>
      </c>
      <c r="H1255" s="21"/>
      <c r="I1255" s="25"/>
      <c r="J1255" s="30"/>
    </row>
    <row r="1256" spans="1:10" x14ac:dyDescent="0.2">
      <c r="A1256" s="120"/>
      <c r="B1256" s="16">
        <f>HEX2DEC("17")</f>
        <v>23</v>
      </c>
      <c r="C1256" s="17" t="str">
        <f t="array" ref="C1256">INDEX(Moves!$B$2:'Moves'!$B$177, SUM(HEX2DEC("8C"),1), 1)</f>
        <v>Quick Attack</v>
      </c>
      <c r="D1256" s="16">
        <f>HEX2DEC("17")</f>
        <v>23</v>
      </c>
      <c r="E1256" s="17" t="str">
        <f t="array" ref="E1256">INDEX(Moves!$B$2:'Moves'!$B$177, SUM(HEX2DEC("8C"),1), 1)</f>
        <v>Quick Attack</v>
      </c>
      <c r="F1256" s="21">
        <v>13</v>
      </c>
      <c r="G1256" s="20" t="str">
        <f>VLOOKUP(F1256, TMHM!$B$10:$C1519, 2, FALSE)</f>
        <v>Ice Beam</v>
      </c>
      <c r="H1256" s="21"/>
      <c r="I1256" s="25"/>
      <c r="J1256" s="30"/>
    </row>
    <row r="1257" spans="1:10" x14ac:dyDescent="0.2">
      <c r="A1257" s="120"/>
      <c r="B1257" s="16">
        <f>HEX2DEC("1E")</f>
        <v>30</v>
      </c>
      <c r="C1257" s="17" t="str">
        <f t="array" ref="C1257">INDEX(Moves!$B$2:'Moves'!$B$177, SUM(HEX2DEC("80"),1), 1)</f>
        <v>Bite</v>
      </c>
      <c r="D1257" s="16">
        <f>HEX2DEC("1E")</f>
        <v>30</v>
      </c>
      <c r="E1257" s="17" t="str">
        <f t="array" ref="E1257">INDEX(Moves!$B$2:'Moves'!$B$177, SUM(HEX2DEC("80"),1), 1)</f>
        <v>Bite</v>
      </c>
      <c r="F1257" s="21">
        <v>14</v>
      </c>
      <c r="G1257" s="20" t="str">
        <f>VLOOKUP(F1257, TMHM!$B$10:$C1519, 2, FALSE)</f>
        <v>Blizzard</v>
      </c>
      <c r="H1257" s="21"/>
      <c r="I1257" s="25"/>
      <c r="J1257" s="30"/>
    </row>
    <row r="1258" spans="1:10" x14ac:dyDescent="0.2">
      <c r="A1258" s="120"/>
      <c r="B1258" s="73">
        <f>HEX2DEC("24")</f>
        <v>36</v>
      </c>
      <c r="C1258" s="76" t="str">
        <f t="array" ref="C1258">INDEX(Moves!$B$2:'Moves'!$B$177, SUM(HEX2DEC("2B"),1), 1)</f>
        <v>Aurora Beam</v>
      </c>
      <c r="D1258" s="73">
        <f>HEX2DEC("24")</f>
        <v>36</v>
      </c>
      <c r="E1258" s="76" t="str">
        <f t="array" ref="E1258">INDEX(Moves!$B$2:'Moves'!$B$177, SUM(HEX2DEC("2B"),1), 1)</f>
        <v>Aurora Beam</v>
      </c>
      <c r="F1258" s="21">
        <v>21</v>
      </c>
      <c r="G1258" s="20" t="str">
        <f>VLOOKUP(F1258, TMHM!$B$10:$C1519, 2, FALSE)</f>
        <v>Recover</v>
      </c>
      <c r="H1258" s="21"/>
      <c r="I1258" s="25"/>
      <c r="J1258" s="30"/>
    </row>
    <row r="1259" spans="1:10" x14ac:dyDescent="0.2">
      <c r="A1259" s="120"/>
      <c r="B1259" s="48">
        <f>HEX2DEC("2A")</f>
        <v>42</v>
      </c>
      <c r="C1259" s="23" t="str">
        <f t="array" ref="C1259">INDEX(Moves!$B$2:'Moves'!$B$177, SUM(HEX2DEC("A6"),1), 1)</f>
        <v>SmokeScreen</v>
      </c>
      <c r="D1259" s="48">
        <f>HEX2DEC("2A")</f>
        <v>42</v>
      </c>
      <c r="E1259" s="23" t="s">
        <v>64</v>
      </c>
      <c r="F1259" s="21">
        <v>32</v>
      </c>
      <c r="G1259" s="20" t="str">
        <f>VLOOKUP(F1259, TMHM!$B$10:$C1519, 2, FALSE)</f>
        <v>Double Team</v>
      </c>
      <c r="H1259" s="21"/>
      <c r="I1259" s="25"/>
      <c r="J1259" s="30"/>
    </row>
    <row r="1260" spans="1:10" x14ac:dyDescent="0.2">
      <c r="A1260" s="120"/>
      <c r="B1260" s="48">
        <f>HEX2DEC("2F")</f>
        <v>47</v>
      </c>
      <c r="C1260" s="23" t="str">
        <f t="array" ref="C1260">INDEX(Moves!$B$2:'Moves'!$B$177, SUM(HEX2DEC("71"),1), 1)</f>
        <v>Agility</v>
      </c>
      <c r="D1260" s="48">
        <f>HEX2DEC("2F")</f>
        <v>47</v>
      </c>
      <c r="E1260" s="23" t="s">
        <v>172</v>
      </c>
      <c r="F1260" s="21"/>
      <c r="H1260" s="21"/>
      <c r="I1260" s="25"/>
      <c r="J1260" s="30"/>
    </row>
    <row r="1261" spans="1:10" x14ac:dyDescent="0.2">
      <c r="A1261" s="120"/>
      <c r="B1261" s="16">
        <f>HEX2DEC("34")</f>
        <v>52</v>
      </c>
      <c r="C1261" s="17" t="str">
        <f t="array" ref="C1261">INDEX(Moves!$B$2:'Moves'!$B$177, SUM(HEX2DEC("0F"),1), 1)</f>
        <v>Hydro Pump</v>
      </c>
      <c r="D1261" s="16">
        <f>HEX2DEC("34")</f>
        <v>52</v>
      </c>
      <c r="E1261" s="17" t="str">
        <f t="array" ref="E1261">INDEX(Moves!$B$2:'Moves'!$B$177, SUM(HEX2DEC("0F"),1), 1)</f>
        <v>Hydro Pump</v>
      </c>
      <c r="F1261" s="21"/>
      <c r="H1261" s="21"/>
      <c r="I1261" s="25"/>
      <c r="J1261" s="30"/>
    </row>
    <row r="1262" spans="1:10" x14ac:dyDescent="0.2">
      <c r="A1262" s="121" t="s">
        <v>258</v>
      </c>
      <c r="B1262" s="70">
        <f>HEX2DEC("00")</f>
        <v>0</v>
      </c>
      <c r="C1262" s="71" t="str">
        <f t="array" ref="C1262">INDEX(Moves!$B$2:'Moves'!$B$177, SUM(HEX2DEC("89"),1), 1)</f>
        <v>Tackle</v>
      </c>
      <c r="D1262" s="70">
        <f t="shared" ref="D1262:D1263" si="100">HEX2DEC("01")</f>
        <v>1</v>
      </c>
      <c r="E1262" s="71" t="str">
        <f t="array" ref="E1262">INDEX(Moves!$B$2:'Moves'!$B$177, SUM(HEX2DEC("89"),1), 1)</f>
        <v>Tackle</v>
      </c>
      <c r="F1262" s="41">
        <v>4</v>
      </c>
      <c r="G1262" s="12" t="str">
        <f>VLOOKUP(F1262, TMHM!$B$10:$C1519, 2, FALSE)</f>
        <v>Calm Mind</v>
      </c>
      <c r="H1262" s="13">
        <v>5</v>
      </c>
      <c r="I1262" s="14" t="str">
        <f>VLOOKUP(H1262, TMHM!$B$2:$C$7, 2, FALSE)</f>
        <v>Flash</v>
      </c>
      <c r="J1262" s="30"/>
    </row>
    <row r="1263" spans="1:10" x14ac:dyDescent="0.2">
      <c r="A1263" s="120"/>
      <c r="B1263" s="43">
        <f>HEX2DEC("02")</f>
        <v>2</v>
      </c>
      <c r="C1263" s="17" t="str">
        <f t="array" ref="C1263">INDEX(Moves!$B$2:'Moves'!$B$177, SUM(HEX2DEC("A4"),1), 1)</f>
        <v>Tail Whip</v>
      </c>
      <c r="D1263" s="43">
        <f t="shared" si="100"/>
        <v>1</v>
      </c>
      <c r="E1263" s="17" t="str">
        <f t="array" ref="E1263">INDEX(Moves!$B$2:'Moves'!$B$177, SUM(HEX2DEC("A4"),1), 1)</f>
        <v>Tail Whip</v>
      </c>
      <c r="F1263" s="11">
        <v>5</v>
      </c>
      <c r="G1263" s="20" t="str">
        <f>VLOOKUP(F1263, TMHM!$B$10:$C1519, 2, FALSE)</f>
        <v>Roar</v>
      </c>
      <c r="H1263" s="21"/>
      <c r="I1263" s="25"/>
      <c r="J1263" s="30"/>
    </row>
    <row r="1264" spans="1:10" x14ac:dyDescent="0.2">
      <c r="A1264" s="120"/>
      <c r="B1264" s="16">
        <f>HEX2DEC("08")</f>
        <v>8</v>
      </c>
      <c r="C1264" s="17" t="str">
        <f t="array" ref="C1264">INDEX(Moves!$B$2:'Moves'!$B$177, SUM(HEX2DEC("37"),1), 1)</f>
        <v>Sand Attack</v>
      </c>
      <c r="D1264" s="16">
        <f>HEX2DEC("08")</f>
        <v>8</v>
      </c>
      <c r="E1264" s="17" t="str">
        <f t="array" ref="E1264">INDEX(Moves!$B$2:'Moves'!$B$177, SUM(HEX2DEC("37"),1), 1)</f>
        <v>Sand Attack</v>
      </c>
      <c r="F1264" s="21">
        <v>8</v>
      </c>
      <c r="G1264" s="20" t="str">
        <f>VLOOKUP(F1264, TMHM!$B$10:$C1519, 2, FALSE)</f>
        <v>Charm</v>
      </c>
      <c r="H1264" s="21"/>
      <c r="I1264" s="25"/>
      <c r="J1264" s="30"/>
    </row>
    <row r="1265" spans="1:10" x14ac:dyDescent="0.2">
      <c r="A1265" s="120"/>
      <c r="B1265" s="16">
        <f>HEX2DEC("10")</f>
        <v>16</v>
      </c>
      <c r="C1265" s="17" t="str">
        <f t="array" ref="C1265">INDEX(Moves!$B$2:'Moves'!$B$177, SUM(HEX2DEC("13"),1), 1)</f>
        <v>Thundershock</v>
      </c>
      <c r="D1265" s="16">
        <f>HEX2DEC("10")</f>
        <v>16</v>
      </c>
      <c r="E1265" s="17" t="str">
        <f t="array" ref="E1265">INDEX(Moves!$B$2:'Moves'!$B$177, SUM(HEX2DEC("13"),1), 1)</f>
        <v>Thundershock</v>
      </c>
      <c r="F1265" s="21">
        <v>24</v>
      </c>
      <c r="G1265" s="20" t="str">
        <f>VLOOKUP(F1265, TMHM!$B$10:$C1519, 2, FALSE)</f>
        <v>Thunderbolt</v>
      </c>
      <c r="H1265" s="21"/>
      <c r="I1265" s="25"/>
      <c r="J1265" s="30"/>
    </row>
    <row r="1266" spans="1:10" x14ac:dyDescent="0.2">
      <c r="A1266" s="120"/>
      <c r="B1266" s="16">
        <f>HEX2DEC("17")</f>
        <v>23</v>
      </c>
      <c r="C1266" s="17" t="str">
        <f t="array" ref="C1266">INDEX(Moves!$B$2:'Moves'!$B$177, SUM(HEX2DEC("8C"),1), 1)</f>
        <v>Quick Attack</v>
      </c>
      <c r="D1266" s="16">
        <f>HEX2DEC("17")</f>
        <v>23</v>
      </c>
      <c r="E1266" s="17" t="str">
        <f t="array" ref="E1266">INDEX(Moves!$B$2:'Moves'!$B$177, SUM(HEX2DEC("8C"),1), 1)</f>
        <v>Quick Attack</v>
      </c>
      <c r="F1266" s="21">
        <v>25</v>
      </c>
      <c r="G1266" s="20" t="str">
        <f>VLOOKUP(F1266, TMHM!$B$10:$C1519, 2, FALSE)</f>
        <v>Thunder</v>
      </c>
      <c r="H1266" s="21"/>
      <c r="I1266" s="25"/>
      <c r="J1266" s="30"/>
    </row>
    <row r="1267" spans="1:10" x14ac:dyDescent="0.2">
      <c r="A1267" s="120"/>
      <c r="B1267" s="16">
        <f>HEX2DEC("1E")</f>
        <v>30</v>
      </c>
      <c r="C1267" s="17" t="str">
        <f t="array" ref="C1267">INDEX(Moves!$B$2:'Moves'!$B$177, SUM(HEX2DEC("51"),1), 1)</f>
        <v>Double Kick</v>
      </c>
      <c r="D1267" s="16">
        <f>HEX2DEC("1E")</f>
        <v>30</v>
      </c>
      <c r="E1267" s="17" t="str">
        <f t="array" ref="E1267">INDEX(Moves!$B$2:'Moves'!$B$177, SUM(HEX2DEC("51"),1), 1)</f>
        <v>Double Kick</v>
      </c>
      <c r="F1267" s="21">
        <v>32</v>
      </c>
      <c r="G1267" s="20" t="str">
        <f>VLOOKUP(F1267, TMHM!$B$10:$C1519, 2, FALSE)</f>
        <v>Double Team</v>
      </c>
      <c r="H1267" s="21"/>
      <c r="I1267" s="25"/>
      <c r="J1267" s="30"/>
    </row>
    <row r="1268" spans="1:10" x14ac:dyDescent="0.2">
      <c r="A1268" s="120"/>
      <c r="B1268" s="48">
        <f>HEX2DEC("24")</f>
        <v>36</v>
      </c>
      <c r="C1268" s="23" t="str">
        <f t="array" ref="C1268">INDEX(Moves!$B$2:'Moves'!$B$177, SUM(HEX2DEC("90"),1), 1)</f>
        <v>Swift</v>
      </c>
      <c r="D1268" s="48">
        <f>HEX2DEC("24")</f>
        <v>36</v>
      </c>
      <c r="E1268" s="23" t="s">
        <v>50</v>
      </c>
      <c r="F1268" s="21">
        <v>34</v>
      </c>
      <c r="G1268" s="20" t="str">
        <f>VLOOKUP(F1268, TMHM!$B$10:$C1519, 2, FALSE)</f>
        <v>Shock Wave</v>
      </c>
      <c r="H1268" s="21"/>
      <c r="I1268" s="25"/>
      <c r="J1268" s="30"/>
    </row>
    <row r="1269" spans="1:10" x14ac:dyDescent="0.2">
      <c r="A1269" s="120"/>
      <c r="B1269" s="50">
        <f>HEX2DEC("2A")</f>
        <v>42</v>
      </c>
      <c r="C1269" s="51" t="str">
        <f t="array" ref="C1269">INDEX(Moves!$B$2:'Moves'!$B$177, SUM(HEX2DEC("18"),1), 1)</f>
        <v>Zap Cannon</v>
      </c>
      <c r="D1269" s="50">
        <f>HEX2DEC("2A")</f>
        <v>42</v>
      </c>
      <c r="E1269" s="51" t="str">
        <f t="array" ref="E1269">INDEX(Moves!$B$2:'Moves'!$B$177, SUM(HEX2DEC("1B"),1), 1)</f>
        <v>Thunder Wave</v>
      </c>
      <c r="F1269" s="21"/>
      <c r="H1269" s="21"/>
      <c r="I1269" s="25"/>
      <c r="J1269" s="30"/>
    </row>
    <row r="1270" spans="1:10" x14ac:dyDescent="0.2">
      <c r="A1270" s="120"/>
      <c r="B1270" s="73">
        <f>HEX2DEC("2F")</f>
        <v>47</v>
      </c>
      <c r="C1270" s="76" t="str">
        <f t="array" ref="C1270">INDEX(Moves!$B$2:'Moves'!$B$177, SUM(HEX2DEC("71"),1), 1)</f>
        <v>Agility</v>
      </c>
      <c r="D1270" s="73">
        <f>HEX2DEC("2F")</f>
        <v>47</v>
      </c>
      <c r="E1270" s="76" t="str">
        <f t="array" ref="E1270">INDEX(Moves!$B$2:'Moves'!$B$177, SUM(HEX2DEC("71"),1), 1)</f>
        <v>Agility</v>
      </c>
      <c r="F1270" s="21"/>
      <c r="H1270" s="21"/>
      <c r="I1270" s="25"/>
      <c r="J1270" s="30"/>
    </row>
    <row r="1271" spans="1:10" x14ac:dyDescent="0.2">
      <c r="A1271" s="120"/>
      <c r="B1271" s="16">
        <f>HEX2DEC("34")</f>
        <v>52</v>
      </c>
      <c r="C1271" s="17" t="str">
        <f t="array" ref="C1271">INDEX(Moves!$B$2:'Moves'!$B$177, SUM(HEX2DEC("1A"),1), 1)</f>
        <v>Thunder</v>
      </c>
      <c r="D1271" s="16">
        <f>HEX2DEC("34")</f>
        <v>52</v>
      </c>
      <c r="E1271" s="17" t="str">
        <f t="array" ref="E1271">INDEX(Moves!$B$2:'Moves'!$B$177, SUM(HEX2DEC("1A"),1), 1)</f>
        <v>Thunder</v>
      </c>
      <c r="F1271" s="21"/>
      <c r="H1271" s="21"/>
      <c r="I1271" s="25"/>
      <c r="J1271" s="30"/>
    </row>
    <row r="1272" spans="1:10" x14ac:dyDescent="0.2">
      <c r="A1272" s="121" t="s">
        <v>259</v>
      </c>
      <c r="B1272" s="70">
        <f>HEX2DEC("00")</f>
        <v>0</v>
      </c>
      <c r="C1272" s="71" t="str">
        <f t="array" ref="C1272">INDEX(Moves!$B$2:'Moves'!$B$177, SUM(HEX2DEC("89"),1), 1)</f>
        <v>Tackle</v>
      </c>
      <c r="D1272" s="70">
        <f t="shared" ref="D1272:D1273" si="101">HEX2DEC("01")</f>
        <v>1</v>
      </c>
      <c r="E1272" s="71" t="str">
        <f t="array" ref="E1272">INDEX(Moves!$B$2:'Moves'!$B$177, SUM(HEX2DEC("89"),1), 1)</f>
        <v>Tackle</v>
      </c>
      <c r="F1272" s="41">
        <v>1</v>
      </c>
      <c r="G1272" s="12" t="str">
        <f>VLOOKUP(F1272, TMHM!$B$10:$C1519, 2, FALSE)</f>
        <v>Focus Punch</v>
      </c>
      <c r="H1272" s="13">
        <v>1</v>
      </c>
      <c r="I1272" s="14" t="str">
        <f>VLOOKUP(H1272, TMHM!$B$2:$C$7, 2, FALSE)</f>
        <v>Cut</v>
      </c>
      <c r="J1272" s="30"/>
    </row>
    <row r="1273" spans="1:10" x14ac:dyDescent="0.2">
      <c r="A1273" s="120"/>
      <c r="B1273" s="43">
        <f>HEX2DEC("02")</f>
        <v>2</v>
      </c>
      <c r="C1273" s="17" t="str">
        <f t="array" ref="C1273">INDEX(Moves!$B$2:'Moves'!$B$177, SUM(HEX2DEC("A4"),1), 1)</f>
        <v>Tail Whip</v>
      </c>
      <c r="D1273" s="43">
        <f t="shared" si="101"/>
        <v>1</v>
      </c>
      <c r="E1273" s="17" t="str">
        <f t="array" ref="E1273">INDEX(Moves!$B$2:'Moves'!$B$177, SUM(HEX2DEC("A4"),1), 1)</f>
        <v>Tail Whip</v>
      </c>
      <c r="F1273" s="11">
        <v>2</v>
      </c>
      <c r="G1273" s="20" t="str">
        <f>VLOOKUP(F1273, TMHM!$B$10:$C1519, 2, FALSE)</f>
        <v>Dragon Claw</v>
      </c>
      <c r="H1273" s="21">
        <v>5</v>
      </c>
      <c r="I1273" s="20" t="str">
        <f>VLOOKUP(H1273, TMHM!$B$2:$C$7, 2, FALSE)</f>
        <v>Flash</v>
      </c>
      <c r="J1273" s="30"/>
    </row>
    <row r="1274" spans="1:10" x14ac:dyDescent="0.2">
      <c r="A1274" s="120"/>
      <c r="B1274" s="16">
        <f>HEX2DEC("08")</f>
        <v>8</v>
      </c>
      <c r="C1274" s="17" t="str">
        <f t="array" ref="C1274">INDEX(Moves!$B$2:'Moves'!$B$177, SUM(HEX2DEC("37"),1), 1)</f>
        <v>Sand Attack</v>
      </c>
      <c r="D1274" s="16">
        <f>HEX2DEC("08")</f>
        <v>8</v>
      </c>
      <c r="E1274" s="17" t="str">
        <f t="array" ref="E1274">INDEX(Moves!$B$2:'Moves'!$B$177, SUM(HEX2DEC("37"),1), 1)</f>
        <v>Sand Attack</v>
      </c>
      <c r="F1274" s="21">
        <v>5</v>
      </c>
      <c r="G1274" s="20" t="str">
        <f>VLOOKUP(F1274, TMHM!$B$10:$C1519, 2, FALSE)</f>
        <v>Roar</v>
      </c>
      <c r="H1274" s="21"/>
      <c r="I1274" s="25"/>
      <c r="J1274" s="30"/>
    </row>
    <row r="1275" spans="1:10" x14ac:dyDescent="0.2">
      <c r="A1275" s="120"/>
      <c r="B1275" s="16">
        <f>HEX2DEC("10")</f>
        <v>16</v>
      </c>
      <c r="C1275" s="17" t="str">
        <f t="array" ref="C1275">INDEX(Moves!$B$2:'Moves'!$B$177, SUM(HEX2DEC("00"),1), 1)</f>
        <v>Ember</v>
      </c>
      <c r="D1275" s="16">
        <f>HEX2DEC("10")</f>
        <v>16</v>
      </c>
      <c r="E1275" s="17" t="str">
        <f t="array" ref="E1275">INDEX(Moves!$B$2:'Moves'!$B$177, SUM(HEX2DEC("00"),1), 1)</f>
        <v>Ember</v>
      </c>
      <c r="F1275" s="21">
        <v>21</v>
      </c>
      <c r="G1275" s="20" t="str">
        <f>VLOOKUP(F1275, TMHM!$B$10:$C1519, 2, FALSE)</f>
        <v>Recover</v>
      </c>
      <c r="H1275" s="21"/>
      <c r="I1275" s="25"/>
      <c r="J1275" s="30"/>
    </row>
    <row r="1276" spans="1:10" x14ac:dyDescent="0.2">
      <c r="A1276" s="120"/>
      <c r="B1276" s="16">
        <f>HEX2DEC("17")</f>
        <v>23</v>
      </c>
      <c r="C1276" s="17" t="str">
        <f t="array" ref="C1276">INDEX(Moves!$B$2:'Moves'!$B$177, SUM(HEX2DEC("8C"),1), 1)</f>
        <v>Quick Attack</v>
      </c>
      <c r="D1276" s="16">
        <f>HEX2DEC("17")</f>
        <v>23</v>
      </c>
      <c r="E1276" s="17" t="str">
        <f t="array" ref="E1276">INDEX(Moves!$B$2:'Moves'!$B$177, SUM(HEX2DEC("8C"),1), 1)</f>
        <v>Quick Attack</v>
      </c>
      <c r="F1276" s="21">
        <v>27</v>
      </c>
      <c r="G1276" s="20" t="str">
        <f>VLOOKUP(F1276, TMHM!$B$10:$C1519, 2, FALSE)</f>
        <v>Fire Punch</v>
      </c>
      <c r="H1276" s="21"/>
      <c r="I1276" s="25"/>
      <c r="J1276" s="30"/>
    </row>
    <row r="1277" spans="1:10" x14ac:dyDescent="0.2">
      <c r="A1277" s="120"/>
      <c r="B1277" s="16">
        <f>HEX2DEC("1E")</f>
        <v>30</v>
      </c>
      <c r="C1277" s="17" t="str">
        <f t="array" ref="C1277">INDEX(Moves!$B$2:'Moves'!$B$177, SUM(HEX2DEC("80"),1), 1)</f>
        <v>Bite</v>
      </c>
      <c r="D1277" s="16">
        <f>HEX2DEC("1E")</f>
        <v>30</v>
      </c>
      <c r="E1277" s="17" t="str">
        <f t="array" ref="E1277">INDEX(Moves!$B$2:'Moves'!$B$177, SUM(HEX2DEC("80"),1), 1)</f>
        <v>Bite</v>
      </c>
      <c r="F1277" s="21">
        <v>38</v>
      </c>
      <c r="G1277" s="20" t="str">
        <f>VLOOKUP(F1277, TMHM!$B$10:$C1519, 2, FALSE)</f>
        <v>Fire Blast</v>
      </c>
      <c r="H1277" s="21"/>
      <c r="I1277" s="25"/>
      <c r="J1277" s="30"/>
    </row>
    <row r="1278" spans="1:10" x14ac:dyDescent="0.2">
      <c r="A1278" s="120"/>
      <c r="B1278" s="48">
        <f>HEX2DEC("24")</f>
        <v>36</v>
      </c>
      <c r="C1278" s="23" t="str">
        <f t="array" ref="C1278">INDEX(Moves!$B$2:'Moves'!$B$177, SUM(HEX2DEC("01"),1), 1)</f>
        <v>Flame Wheel</v>
      </c>
      <c r="D1278" s="48">
        <f>HEX2DEC("24")</f>
        <v>36</v>
      </c>
      <c r="E1278" s="23" t="s">
        <v>30</v>
      </c>
      <c r="F1278" s="21"/>
      <c r="H1278" s="21"/>
      <c r="I1278" s="25"/>
      <c r="J1278" s="30"/>
    </row>
    <row r="1279" spans="1:10" x14ac:dyDescent="0.2">
      <c r="A1279" s="120"/>
      <c r="B1279" s="50">
        <f>HEX2DEC("2A")</f>
        <v>42</v>
      </c>
      <c r="C1279" s="51" t="str">
        <f t="array" ref="C1279">INDEX(Moves!$B$2:'Moves'!$B$177, SUM(HEX2DEC("90"),1), 1)</f>
        <v>Swift</v>
      </c>
      <c r="D1279" s="50">
        <f>HEX2DEC("2A")</f>
        <v>42</v>
      </c>
      <c r="E1279" s="51" t="str">
        <f t="array" ref="E1279">INDEX(Moves!$B$2:'Moves'!$B$177, SUM(HEX2DEC("44"),1), 1)</f>
        <v>Smog</v>
      </c>
      <c r="F1279" s="21"/>
      <c r="H1279" s="21"/>
      <c r="I1279" s="25"/>
      <c r="J1279" s="30"/>
    </row>
    <row r="1280" spans="1:10" x14ac:dyDescent="0.2">
      <c r="A1280" s="120"/>
      <c r="B1280" s="48">
        <f>HEX2DEC("2F")</f>
        <v>47</v>
      </c>
      <c r="C1280" s="23" t="str">
        <f t="array" ref="C1280">INDEX(Moves!$B$2:'Moves'!$B$177, SUM(HEX2DEC("71"),1), 1)</f>
        <v>Agility</v>
      </c>
      <c r="D1280" s="48">
        <f>HEX2DEC("2F")</f>
        <v>47</v>
      </c>
      <c r="E1280" s="23" t="s">
        <v>59</v>
      </c>
      <c r="F1280" s="21"/>
      <c r="H1280" s="21"/>
      <c r="I1280" s="25"/>
      <c r="J1280" s="30"/>
    </row>
    <row r="1281" spans="1:10" x14ac:dyDescent="0.2">
      <c r="A1281" s="120"/>
      <c r="B1281" s="16">
        <f>HEX2DEC("34")</f>
        <v>52</v>
      </c>
      <c r="C1281" s="17" t="str">
        <f t="array" ref="C1281">INDEX(Moves!$B$2:'Moves'!$B$177, SUM(HEX2DEC("03"),1), 1)</f>
        <v>Flamethrower</v>
      </c>
      <c r="D1281" s="16">
        <f>HEX2DEC("34")</f>
        <v>52</v>
      </c>
      <c r="E1281" s="17" t="str">
        <f t="array" ref="E1281">INDEX(Moves!$B$2:'Moves'!$B$177, SUM(HEX2DEC("03"),1), 1)</f>
        <v>Flamethrower</v>
      </c>
      <c r="F1281" s="21"/>
      <c r="H1281" s="21"/>
      <c r="I1281" s="25"/>
      <c r="J1281" s="30"/>
    </row>
    <row r="1282" spans="1:10" x14ac:dyDescent="0.2">
      <c r="A1282" s="121" t="s">
        <v>260</v>
      </c>
      <c r="B1282" s="70">
        <f>HEX2DEC("00")</f>
        <v>0</v>
      </c>
      <c r="C1282" s="62" t="str">
        <f t="array" ref="C1282">INDEX(Moves!$B$2:'Moves'!$B$177, SUM(HEX2DEC("88"),1), 1)</f>
        <v>SonicBoom</v>
      </c>
      <c r="D1282" s="70">
        <f t="shared" ref="D1282:D1284" si="102">HEX2DEC("01")</f>
        <v>1</v>
      </c>
      <c r="E1282" s="62" t="s">
        <v>261</v>
      </c>
      <c r="F1282" s="41">
        <v>4</v>
      </c>
      <c r="G1282" s="12" t="str">
        <f>VLOOKUP(F1282, TMHM!$B$10:$C1519, 2, FALSE)</f>
        <v>Calm Mind</v>
      </c>
      <c r="H1282" s="13">
        <v>5</v>
      </c>
      <c r="I1282" s="14" t="str">
        <f>VLOOKUP(H1282, TMHM!$B$2:$C$7, 2, FALSE)</f>
        <v>Flash</v>
      </c>
      <c r="J1282" s="30"/>
    </row>
    <row r="1283" spans="1:10" x14ac:dyDescent="0.2">
      <c r="A1283" s="120"/>
      <c r="B1283" s="43">
        <f>HEX2DEC("02")</f>
        <v>2</v>
      </c>
      <c r="C1283" s="17" t="str">
        <f t="array" ref="C1283">INDEX(Moves!$B$2:'Moves'!$B$177, SUM(HEX2DEC("89"),1), 1)</f>
        <v>Tackle</v>
      </c>
      <c r="D1283" s="43">
        <f t="shared" si="102"/>
        <v>1</v>
      </c>
      <c r="E1283" s="17" t="str">
        <f t="array" ref="E1283">INDEX(Moves!$B$2:'Moves'!$B$177, SUM(HEX2DEC("89"),1), 1)</f>
        <v>Tackle</v>
      </c>
      <c r="F1283" s="21">
        <v>16</v>
      </c>
      <c r="G1283" s="20" t="str">
        <f>VLOOKUP(F1283, TMHM!$B$10:$C1519, 2, FALSE)</f>
        <v>Rest</v>
      </c>
      <c r="H1283" s="21"/>
      <c r="I1283" s="25"/>
      <c r="J1283" s="30"/>
    </row>
    <row r="1284" spans="1:10" x14ac:dyDescent="0.2">
      <c r="A1284" s="120"/>
      <c r="B1284" s="43">
        <f>HEX2DEC("04")</f>
        <v>4</v>
      </c>
      <c r="C1284" s="23" t="str">
        <f t="array" ref="C1284">INDEX(Moves!$B$2:'Moves'!$B$177, SUM(HEX2DEC("AE"),1), 1)</f>
        <v>Curse</v>
      </c>
      <c r="D1284" s="43">
        <f t="shared" si="102"/>
        <v>1</v>
      </c>
      <c r="E1284" s="23" t="s">
        <v>262</v>
      </c>
      <c r="F1284" s="21">
        <v>29</v>
      </c>
      <c r="G1284" s="20" t="str">
        <f>VLOOKUP(F1284, TMHM!$B$10:$C1519, 2, FALSE)</f>
        <v>Psychic</v>
      </c>
      <c r="H1284" s="21"/>
      <c r="I1284" s="25"/>
      <c r="J1284" s="30"/>
    </row>
    <row r="1285" spans="1:10" x14ac:dyDescent="0.2">
      <c r="A1285" s="120"/>
      <c r="B1285" s="43">
        <f>HEX2DEC("06")</f>
        <v>6</v>
      </c>
      <c r="C1285" s="17" t="str">
        <f t="array" ref="C1285">INDEX(Moves!$B$2:'Moves'!$B$177, SUM(HEX2DEC("71"),1), 1)</f>
        <v>Agility</v>
      </c>
      <c r="D1285" s="43">
        <f>HEX2DEC("09")</f>
        <v>9</v>
      </c>
      <c r="E1285" s="17" t="str">
        <f t="array" ref="E1285">INDEX(Moves!$B$2:'Moves'!$B$177, SUM(HEX2DEC("71"),1), 1)</f>
        <v>Agility</v>
      </c>
      <c r="F1285" s="21">
        <v>40</v>
      </c>
      <c r="G1285" s="20" t="str">
        <f>VLOOKUP(F1285, TMHM!$B$10:$C1519, 2, FALSE)</f>
        <v>Psychic</v>
      </c>
      <c r="H1285" s="21"/>
      <c r="I1285" s="25"/>
      <c r="J1285" s="30"/>
    </row>
    <row r="1286" spans="1:10" x14ac:dyDescent="0.2">
      <c r="A1286" s="120"/>
      <c r="B1286" s="50">
        <f>HEX2DEC("0C")</f>
        <v>12</v>
      </c>
      <c r="C1286" s="51" t="str">
        <f t="array" ref="C1286">INDEX(Moves!$B$2:'Moves'!$B$177, SUM(HEX2DEC("6A"),1), 1)</f>
        <v>Psychic</v>
      </c>
      <c r="D1286" s="50">
        <f>HEX2DEC("0C")</f>
        <v>12</v>
      </c>
      <c r="E1286" s="51" t="str">
        <f t="array" ref="E1286">INDEX(Moves!$B$2:'Moves'!$B$177, SUM(HEX2DEC("66"),1), 1)</f>
        <v>Psybeam</v>
      </c>
      <c r="F1286" s="21"/>
      <c r="H1286" s="21"/>
      <c r="I1286" s="25"/>
      <c r="J1286" s="30"/>
    </row>
    <row r="1287" spans="1:10" x14ac:dyDescent="0.2">
      <c r="A1287" s="120"/>
      <c r="B1287" s="16">
        <f>HEX2DEC("14")</f>
        <v>20</v>
      </c>
      <c r="C1287" s="17" t="str">
        <f t="array" ref="C1287">INDEX(Moves!$B$2:'Moves'!$B$177, SUM(HEX2DEC("A9"),1), 1)</f>
        <v>Recover</v>
      </c>
      <c r="D1287" s="16">
        <f>HEX2DEC("14")</f>
        <v>20</v>
      </c>
      <c r="E1287" s="17" t="str">
        <f t="array" ref="E1287">INDEX(Moves!$B$2:'Moves'!$B$177, SUM(HEX2DEC("A9"),1), 1)</f>
        <v>Recover</v>
      </c>
      <c r="F1287" s="21"/>
      <c r="H1287" s="21"/>
      <c r="I1287" s="25"/>
      <c r="J1287" s="30"/>
    </row>
    <row r="1288" spans="1:10" x14ac:dyDescent="0.2">
      <c r="A1288" s="120"/>
      <c r="B1288" s="48">
        <f>HEX2DEC("18")</f>
        <v>24</v>
      </c>
      <c r="C1288" s="23" t="str">
        <f t="array" ref="C1288">INDEX(Moves!$B$2:'Moves'!$B$177, SUM(HEX2DEC("AA"),1), 1)</f>
        <v>Encore</v>
      </c>
      <c r="D1288" s="48">
        <f>HEX2DEC("18")</f>
        <v>24</v>
      </c>
      <c r="E1288" s="23" t="s">
        <v>263</v>
      </c>
      <c r="F1288" s="21"/>
      <c r="H1288" s="21"/>
      <c r="I1288" s="25"/>
      <c r="J1288" s="30"/>
    </row>
    <row r="1289" spans="1:10" x14ac:dyDescent="0.2">
      <c r="A1289" s="120"/>
      <c r="B1289" s="48">
        <f>HEX2DEC("20")</f>
        <v>32</v>
      </c>
      <c r="C1289" s="23" t="str">
        <f t="array" ref="C1289">INDEX(Moves!$B$2:'Moves'!$B$177, SUM(HEX2DEC("41"),1), 1)</f>
        <v>Tail Glow</v>
      </c>
      <c r="D1289" s="48">
        <f>HEX2DEC("20")</f>
        <v>32</v>
      </c>
      <c r="E1289" s="23" t="s">
        <v>163</v>
      </c>
      <c r="F1289" s="21"/>
      <c r="H1289" s="21"/>
      <c r="I1289" s="25"/>
      <c r="J1289" s="30"/>
    </row>
    <row r="1290" spans="1:10" x14ac:dyDescent="0.2">
      <c r="A1290" s="120"/>
      <c r="B1290" s="16">
        <f>HEX2DEC("24")</f>
        <v>36</v>
      </c>
      <c r="C1290" s="17" t="str">
        <f t="array" ref="C1290">INDEX(Moves!$B$2:'Moves'!$B$177, SUM(HEX2DEC("95"),1), 1)</f>
        <v>Tri Attack</v>
      </c>
      <c r="D1290" s="16">
        <f>HEX2DEC("24")</f>
        <v>36</v>
      </c>
      <c r="E1290" s="17" t="str">
        <f t="array" ref="E1290">INDEX(Moves!$B$2:'Moves'!$B$177, SUM(HEX2DEC("95"),1), 1)</f>
        <v>Tri Attack</v>
      </c>
      <c r="F1290" s="21"/>
      <c r="H1290" s="21"/>
      <c r="I1290" s="25"/>
      <c r="J1290" s="30"/>
    </row>
    <row r="1291" spans="1:10" x14ac:dyDescent="0.2">
      <c r="A1291" s="120"/>
      <c r="B1291" s="50">
        <f>HEX2DEC("2C")</f>
        <v>44</v>
      </c>
      <c r="C1291" s="51" t="str">
        <f t="array" ref="C1291">INDEX(Moves!$B$2:'Moves'!$B$177, SUM(HEX2DEC("1B"),1), 1)</f>
        <v>Thunder Wave</v>
      </c>
      <c r="D1291" s="50">
        <f>HEX2DEC("2C")</f>
        <v>44</v>
      </c>
      <c r="E1291" s="51" t="str">
        <f t="array" ref="E1291">INDEX(Moves!$B$2:'Moves'!$B$177, SUM(HEX2DEC("18"),1), 1)</f>
        <v>Zap Cannon</v>
      </c>
      <c r="F1291" s="21"/>
      <c r="H1291" s="21"/>
      <c r="I1291" s="25"/>
      <c r="J1291" s="30"/>
    </row>
    <row r="1292" spans="1:10" x14ac:dyDescent="0.2">
      <c r="A1292" s="121" t="s">
        <v>264</v>
      </c>
      <c r="B1292" s="70">
        <f>HEX2DEC("00")</f>
        <v>0</v>
      </c>
      <c r="C1292" s="71" t="str">
        <f t="array" ref="C1292">INDEX(Moves!$B$2:'Moves'!$B$177, SUM(HEX2DEC("11"),1), 1)</f>
        <v>Clamp</v>
      </c>
      <c r="D1292" s="70">
        <f t="shared" ref="D1292:D1293" si="103">HEX2DEC("01")</f>
        <v>1</v>
      </c>
      <c r="E1292" s="71" t="str">
        <f t="array" ref="E1292">INDEX(Moves!$B$2:'Moves'!$B$177, SUM(HEX2DEC("89"),1), 1)</f>
        <v>Tackle</v>
      </c>
      <c r="F1292" s="41">
        <v>3</v>
      </c>
      <c r="G1292" s="12" t="str">
        <f>VLOOKUP(F1292, TMHM!$B$10:$C1519, 2, FALSE)</f>
        <v>Water Pulse</v>
      </c>
      <c r="H1292" s="13">
        <v>3</v>
      </c>
      <c r="I1292" s="14" t="str">
        <f>VLOOKUP(H1292, TMHM!$B$2:$C$7, 2, FALSE)</f>
        <v>Surf</v>
      </c>
      <c r="J1292" s="30"/>
    </row>
    <row r="1293" spans="1:10" x14ac:dyDescent="0.2">
      <c r="A1293" s="120"/>
      <c r="B1293" s="43">
        <f>HEX2DEC("02")</f>
        <v>2</v>
      </c>
      <c r="C1293" s="17" t="str">
        <f t="array" ref="C1293">INDEX(Moves!$B$2:'Moves'!$B$177, SUM(HEX2DEC("12"),1), 1)</f>
        <v>Withdraw</v>
      </c>
      <c r="D1293" s="43">
        <f t="shared" si="103"/>
        <v>1</v>
      </c>
      <c r="E1293" s="17" t="str">
        <f t="array" ref="E1293">INDEX(Moves!$B$2:'Moves'!$B$177, SUM(HEX2DEC("12"),1), 1)</f>
        <v>Withdraw</v>
      </c>
      <c r="F1293" s="21">
        <v>4</v>
      </c>
      <c r="G1293" s="20" t="str">
        <f>VLOOKUP(F1293, TMHM!$B$10:$C1519, 2, FALSE)</f>
        <v>Calm Mind</v>
      </c>
      <c r="H1293" s="21">
        <v>4</v>
      </c>
      <c r="I1293" s="20" t="str">
        <f>VLOOKUP(H1293, TMHM!$B$2:$C$7, 2, FALSE)</f>
        <v>Strength</v>
      </c>
      <c r="J1293" s="30"/>
    </row>
    <row r="1294" spans="1:10" x14ac:dyDescent="0.2">
      <c r="A1294" s="120"/>
      <c r="B1294" s="16">
        <f>HEX2DEC("0D")</f>
        <v>13</v>
      </c>
      <c r="C1294" s="17" t="str">
        <f t="array" ref="C1294">INDEX(Moves!$B$2:'Moves'!$B$177, SUM(HEX2DEC("80"),1), 1)</f>
        <v>Bite</v>
      </c>
      <c r="D1294" s="16">
        <f>HEX2DEC("0D")</f>
        <v>13</v>
      </c>
      <c r="E1294" s="17" t="str">
        <f t="array" ref="E1294">INDEX(Moves!$B$2:'Moves'!$B$177, SUM(HEX2DEC("80"),1), 1)</f>
        <v>Bite</v>
      </c>
      <c r="F1294" s="21">
        <v>11</v>
      </c>
      <c r="G1294" s="20" t="str">
        <f>VLOOKUP(F1294, TMHM!$B$10:$C1519, 2, FALSE)</f>
        <v>Bubblebeam</v>
      </c>
      <c r="H1294" s="21"/>
      <c r="J1294" s="30"/>
    </row>
    <row r="1295" spans="1:10" x14ac:dyDescent="0.2">
      <c r="A1295" s="120"/>
      <c r="B1295" s="16">
        <f>HEX2DEC("13")</f>
        <v>19</v>
      </c>
      <c r="C1295" s="17" t="str">
        <f t="array" ref="C1295">INDEX(Moves!$B$2:'Moves'!$B$177, SUM(HEX2DEC("09"),1), 1)</f>
        <v>Water Gun</v>
      </c>
      <c r="D1295" s="16">
        <f>HEX2DEC("13")</f>
        <v>19</v>
      </c>
      <c r="E1295" s="17" t="str">
        <f t="array" ref="E1295">INDEX(Moves!$B$2:'Moves'!$B$177, SUM(HEX2DEC("09"),1), 1)</f>
        <v>Water Gun</v>
      </c>
      <c r="F1295" s="21">
        <v>13</v>
      </c>
      <c r="G1295" s="20" t="str">
        <f>VLOOKUP(F1295, TMHM!$B$10:$C1519, 2, FALSE)</f>
        <v>Ice Beam</v>
      </c>
      <c r="H1295" s="21"/>
      <c r="I1295" s="25"/>
      <c r="J1295" s="30"/>
    </row>
    <row r="1296" spans="1:10" x14ac:dyDescent="0.2">
      <c r="A1296" s="120"/>
      <c r="B1296" s="48">
        <f>HEX2DEC("1F")</f>
        <v>31</v>
      </c>
      <c r="C1296" s="23" t="str">
        <f t="array" ref="C1296">INDEX(Moves!$B$2:'Moves'!$B$177, SUM(HEX2DEC("A8"),1), 1)</f>
        <v>Double Team</v>
      </c>
      <c r="D1296" s="48">
        <f>HEX2DEC("1F")</f>
        <v>31</v>
      </c>
      <c r="E1296" s="23" t="s">
        <v>59</v>
      </c>
      <c r="F1296" s="21">
        <v>14</v>
      </c>
      <c r="G1296" s="20" t="str">
        <f>VLOOKUP(F1296, TMHM!$B$10:$C1519, 2, FALSE)</f>
        <v>Blizzard</v>
      </c>
      <c r="H1296" s="21"/>
      <c r="I1296" s="25"/>
      <c r="J1296" s="30"/>
    </row>
    <row r="1297" spans="1:10" x14ac:dyDescent="0.2">
      <c r="A1297" s="120"/>
      <c r="B1297" s="48">
        <f>HEX2DEC("25")</f>
        <v>37</v>
      </c>
      <c r="C1297" s="23" t="str">
        <f t="array" ref="C1297">INDEX(Moves!$B$2:'Moves'!$B$177, SUM(HEX2DEC("A3"),1), 1)</f>
        <v>Harden</v>
      </c>
      <c r="D1297" s="48">
        <f>HEX2DEC("25")</f>
        <v>37</v>
      </c>
      <c r="E1297" s="23" t="s">
        <v>35</v>
      </c>
      <c r="F1297" s="21">
        <v>18</v>
      </c>
      <c r="G1297" s="20" t="str">
        <f>VLOOKUP(F1297, TMHM!$B$10:$C1519, 2, FALSE)</f>
        <v>AncientPower</v>
      </c>
      <c r="H1297" s="21"/>
      <c r="I1297" s="25"/>
      <c r="J1297" s="30"/>
    </row>
    <row r="1298" spans="1:10" x14ac:dyDescent="0.2">
      <c r="A1298" s="120"/>
      <c r="B1298" s="50">
        <f>HEX2DEC("31")</f>
        <v>49</v>
      </c>
      <c r="C1298" s="51" t="str">
        <f t="array" ref="C1298">INDEX(Moves!$B$2:'Moves'!$B$177, SUM(HEX2DEC("3B"),1), 1)</f>
        <v>Rock Slide</v>
      </c>
      <c r="D1298" s="50">
        <f>HEX2DEC("31")</f>
        <v>49</v>
      </c>
      <c r="E1298" s="51" t="str">
        <f t="array" ref="E1298">INDEX(Moves!$B$2:'Moves'!$B$177, SUM(HEX2DEC("3A"),1), 1)</f>
        <v>AncientPower</v>
      </c>
      <c r="F1298" s="21">
        <v>39</v>
      </c>
      <c r="G1298" s="20" t="str">
        <f>VLOOKUP(F1298, TMHM!$B$10:$C1519, 2, FALSE)</f>
        <v>Rock Tomb</v>
      </c>
      <c r="H1298" s="21"/>
      <c r="I1298" s="25"/>
      <c r="J1298" s="30"/>
    </row>
    <row r="1299" spans="1:10" x14ac:dyDescent="0.2">
      <c r="A1299" s="120"/>
      <c r="B1299" s="16">
        <f>HEX2DEC("37")</f>
        <v>55</v>
      </c>
      <c r="C1299" s="17" t="str">
        <f t="array" ref="C1299">INDEX(Moves!$B$2:'Moves'!$B$177, SUM(HEX2DEC("0F"),1), 1)</f>
        <v>Hydro Pump</v>
      </c>
      <c r="D1299" s="16">
        <f>HEX2DEC("37")</f>
        <v>55</v>
      </c>
      <c r="E1299" s="17" t="str">
        <f t="array" ref="E1299">INDEX(Moves!$B$2:'Moves'!$B$177, SUM(HEX2DEC("0F"),1), 1)</f>
        <v>Hydro Pump</v>
      </c>
      <c r="F1299" s="21"/>
      <c r="H1299" s="21"/>
      <c r="I1299" s="25"/>
      <c r="J1299" s="30"/>
    </row>
    <row r="1300" spans="1:10" x14ac:dyDescent="0.2">
      <c r="A1300" s="121" t="s">
        <v>265</v>
      </c>
      <c r="B1300" s="70">
        <f>HEX2DEC("00")</f>
        <v>0</v>
      </c>
      <c r="C1300" s="71" t="str">
        <f t="array" ref="C1300">INDEX(Moves!$B$2:'Moves'!$B$177, SUM(HEX2DEC("11"),1), 1)</f>
        <v>Clamp</v>
      </c>
      <c r="D1300" s="70">
        <f t="shared" ref="D1300:D1301" si="104">HEX2DEC("01")</f>
        <v>1</v>
      </c>
      <c r="E1300" s="71" t="str">
        <f t="array" ref="E1300">INDEX(Moves!$B$2:'Moves'!$B$177, SUM(HEX2DEC("89"),1), 1)</f>
        <v>Tackle</v>
      </c>
      <c r="F1300" s="41">
        <v>3</v>
      </c>
      <c r="G1300" s="12" t="str">
        <f>VLOOKUP(F1300, TMHM!$B$10:$C1519, 2, FALSE)</f>
        <v>Water Pulse</v>
      </c>
      <c r="H1300" s="13">
        <v>3</v>
      </c>
      <c r="I1300" s="14" t="str">
        <f>VLOOKUP(H1300, TMHM!$B$2:$C$7, 2, FALSE)</f>
        <v>Surf</v>
      </c>
      <c r="J1300" s="30"/>
    </row>
    <row r="1301" spans="1:10" x14ac:dyDescent="0.2">
      <c r="A1301" s="120"/>
      <c r="B1301" s="43">
        <f>HEX2DEC("02")</f>
        <v>2</v>
      </c>
      <c r="C1301" s="17" t="str">
        <f t="array" ref="C1301">INDEX(Moves!$B$2:'Moves'!$B$177, SUM(HEX2DEC("12"),1), 1)</f>
        <v>Withdraw</v>
      </c>
      <c r="D1301" s="43">
        <f t="shared" si="104"/>
        <v>1</v>
      </c>
      <c r="E1301" s="17" t="str">
        <f t="array" ref="E1301">INDEX(Moves!$B$2:'Moves'!$B$177, SUM(HEX2DEC("12"),1), 1)</f>
        <v>Withdraw</v>
      </c>
      <c r="F1301" s="21">
        <v>4</v>
      </c>
      <c r="G1301" s="20" t="str">
        <f>VLOOKUP(F1301, TMHM!$B$10:$C1519, 2, FALSE)</f>
        <v>Calm Mind</v>
      </c>
      <c r="H1301" s="21">
        <v>4</v>
      </c>
      <c r="I1301" s="20" t="str">
        <f>VLOOKUP(H1301, TMHM!$B$2:$C$7, 2, FALSE)</f>
        <v>Strength</v>
      </c>
      <c r="J1301" s="30"/>
    </row>
    <row r="1302" spans="1:10" x14ac:dyDescent="0.2">
      <c r="A1302" s="120"/>
      <c r="B1302" s="34"/>
      <c r="C1302" s="35"/>
      <c r="D1302" s="34">
        <f>HEX2DEC("1")</f>
        <v>1</v>
      </c>
      <c r="E1302" s="35" t="str">
        <f t="array" ref="E1302">INDEX(Moves!$B$2:'Moves'!$B$177, SUM(HEX2DEC("80"),1), 1)</f>
        <v>Bite</v>
      </c>
      <c r="F1302" s="21">
        <v>11</v>
      </c>
      <c r="G1302" s="20" t="str">
        <f>VLOOKUP(F1302, TMHM!$B$10:$C1519, 2, FALSE)</f>
        <v>Bubblebeam</v>
      </c>
      <c r="H1302" s="21"/>
      <c r="J1302" s="30"/>
    </row>
    <row r="1303" spans="1:10" x14ac:dyDescent="0.2">
      <c r="A1303" s="120"/>
      <c r="B1303" s="16">
        <f>HEX2DEC("0D")</f>
        <v>13</v>
      </c>
      <c r="C1303" s="17" t="str">
        <f t="array" ref="C1303">INDEX(Moves!$B$2:'Moves'!$B$177, SUM(HEX2DEC("80"),1), 1)</f>
        <v>Bite</v>
      </c>
      <c r="D1303" s="16">
        <f>HEX2DEC("0D")</f>
        <v>13</v>
      </c>
      <c r="E1303" s="17" t="str">
        <f t="array" ref="E1303">INDEX(Moves!$B$2:'Moves'!$B$177, SUM(HEX2DEC("80"),1), 1)</f>
        <v>Bite</v>
      </c>
      <c r="F1303" s="21">
        <v>13</v>
      </c>
      <c r="G1303" s="20" t="str">
        <f>VLOOKUP(F1303, TMHM!$B$10:$C1519, 2, FALSE)</f>
        <v>Ice Beam</v>
      </c>
      <c r="H1303" s="21"/>
      <c r="I1303" s="25"/>
      <c r="J1303" s="30"/>
    </row>
    <row r="1304" spans="1:10" x14ac:dyDescent="0.2">
      <c r="A1304" s="120"/>
      <c r="B1304" s="16">
        <f>HEX2DEC("13")</f>
        <v>19</v>
      </c>
      <c r="C1304" s="17" t="str">
        <f t="array" ref="C1304">INDEX(Moves!$B$2:'Moves'!$B$177, SUM(HEX2DEC("09"),1), 1)</f>
        <v>Water Gun</v>
      </c>
      <c r="D1304" s="16">
        <f>HEX2DEC("13")</f>
        <v>19</v>
      </c>
      <c r="E1304" s="17" t="str">
        <f t="array" ref="E1304">INDEX(Moves!$B$2:'Moves'!$B$177, SUM(HEX2DEC("09"),1), 1)</f>
        <v>Water Gun</v>
      </c>
      <c r="F1304" s="21">
        <v>14</v>
      </c>
      <c r="G1304" s="20" t="str">
        <f>VLOOKUP(F1304, TMHM!$B$10:$C1519, 2, FALSE)</f>
        <v>Blizzard</v>
      </c>
      <c r="H1304" s="21"/>
      <c r="I1304" s="25"/>
      <c r="J1304" s="30"/>
    </row>
    <row r="1305" spans="1:10" x14ac:dyDescent="0.2">
      <c r="A1305" s="120"/>
      <c r="B1305" s="48">
        <f>HEX2DEC("1F")</f>
        <v>31</v>
      </c>
      <c r="C1305" s="23" t="str">
        <f t="array" ref="C1305">INDEX(Moves!$B$2:'Moves'!$B$177, SUM(HEX2DEC("A8"),1), 1)</f>
        <v>Double Team</v>
      </c>
      <c r="D1305" s="48">
        <f>HEX2DEC("1F")</f>
        <v>31</v>
      </c>
      <c r="E1305" s="23" t="s">
        <v>59</v>
      </c>
      <c r="F1305" s="21">
        <v>18</v>
      </c>
      <c r="G1305" s="20" t="str">
        <f>VLOOKUP(F1305, TMHM!$B$10:$C1519, 2, FALSE)</f>
        <v>AncientPower</v>
      </c>
      <c r="H1305" s="21"/>
      <c r="I1305" s="25"/>
      <c r="J1305" s="30"/>
    </row>
    <row r="1306" spans="1:10" x14ac:dyDescent="0.2">
      <c r="A1306" s="120"/>
      <c r="B1306" s="48">
        <f>HEX2DEC("25")</f>
        <v>37</v>
      </c>
      <c r="C1306" s="23" t="str">
        <f t="array" ref="C1306">INDEX(Moves!$B$2:'Moves'!$B$177, SUM(HEX2DEC("A3"),1), 1)</f>
        <v>Harden</v>
      </c>
      <c r="D1306" s="48">
        <f>HEX2DEC("25")</f>
        <v>37</v>
      </c>
      <c r="E1306" s="23" t="s">
        <v>35</v>
      </c>
      <c r="F1306" s="21">
        <v>39</v>
      </c>
      <c r="G1306" s="20" t="str">
        <f>VLOOKUP(F1306, TMHM!$B$10:$C1519, 2, FALSE)</f>
        <v>Rock Tomb</v>
      </c>
      <c r="H1306" s="21"/>
      <c r="I1306" s="25"/>
      <c r="J1306" s="30"/>
    </row>
    <row r="1307" spans="1:10" x14ac:dyDescent="0.2">
      <c r="A1307" s="120"/>
      <c r="B1307" s="48">
        <f>HEX2DEC("28")</f>
        <v>40</v>
      </c>
      <c r="C1307" s="23" t="str">
        <f t="array" ref="C1307">INDEX(Moves!$B$2:'Moves'!$B$177, SUM(HEX2DEC("0D"),1), 1)</f>
        <v>Crabhammer</v>
      </c>
      <c r="D1307" s="48">
        <f>HEX2DEC("28")</f>
        <v>40</v>
      </c>
      <c r="E1307" s="23" t="s">
        <v>176</v>
      </c>
      <c r="F1307" s="21"/>
      <c r="H1307" s="21"/>
      <c r="I1307" s="25"/>
      <c r="J1307" s="30"/>
    </row>
    <row r="1308" spans="1:10" x14ac:dyDescent="0.2">
      <c r="A1308" s="120"/>
      <c r="B1308" s="50">
        <f>HEX2DEC("36")</f>
        <v>54</v>
      </c>
      <c r="C1308" s="51" t="str">
        <f t="array" ref="C1308">INDEX(Moves!$B$2:'Moves'!$B$177, SUM(HEX2DEC("3B"),1), 1)</f>
        <v>Rock Slide</v>
      </c>
      <c r="D1308" s="50">
        <f>HEX2DEC("36")</f>
        <v>54</v>
      </c>
      <c r="E1308" s="51" t="str">
        <f t="array" ref="E1308">INDEX(Moves!$B$2:'Moves'!$B$177, SUM(HEX2DEC("3A"),1), 1)</f>
        <v>AncientPower</v>
      </c>
      <c r="F1308" s="21"/>
      <c r="H1308" s="21"/>
      <c r="I1308" s="25"/>
      <c r="J1308" s="30"/>
    </row>
    <row r="1309" spans="1:10" x14ac:dyDescent="0.2">
      <c r="A1309" s="120"/>
      <c r="B1309" s="16">
        <f>HEX2DEC("41")</f>
        <v>65</v>
      </c>
      <c r="C1309" s="17" t="str">
        <f t="array" ref="C1309">INDEX(Moves!$B$2:'Moves'!$B$177, SUM(HEX2DEC("0F"),1), 1)</f>
        <v>Hydro Pump</v>
      </c>
      <c r="D1309" s="16">
        <f>HEX2DEC("41")</f>
        <v>65</v>
      </c>
      <c r="E1309" s="17" t="str">
        <f t="array" ref="E1309">INDEX(Moves!$B$2:'Moves'!$B$177, SUM(HEX2DEC("0F"),1), 1)</f>
        <v>Hydro Pump</v>
      </c>
      <c r="F1309" s="21"/>
      <c r="H1309" s="21"/>
      <c r="I1309" s="25"/>
      <c r="J1309" s="30"/>
    </row>
    <row r="1310" spans="1:10" x14ac:dyDescent="0.2">
      <c r="A1310" s="121" t="s">
        <v>266</v>
      </c>
      <c r="B1310" s="64">
        <f>HEX2DEC("00")</f>
        <v>0</v>
      </c>
      <c r="C1310" s="65" t="str">
        <f t="array" ref="C1310">INDEX(Moves!$B$2:'Moves'!$B$177, SUM(HEX2DEC("A5"),1), 1)</f>
        <v>Tickle</v>
      </c>
      <c r="D1310" s="64">
        <f>HEX2DEC("00")</f>
        <v>0</v>
      </c>
      <c r="E1310" s="65" t="str">
        <f t="array" ref="E1310">INDEX(Moves!$B$2:'Moves'!$B$177, SUM(HEX2DEC("8B"),1), 1)</f>
        <v>Scratch</v>
      </c>
      <c r="F1310" s="41">
        <v>1</v>
      </c>
      <c r="G1310" s="12" t="str">
        <f>VLOOKUP(F1310, TMHM!$B$10:$C1519, 2, FALSE)</f>
        <v>Focus Punch</v>
      </c>
      <c r="H1310" s="13">
        <v>1</v>
      </c>
      <c r="I1310" s="14" t="str">
        <f>VLOOKUP(H1310, TMHM!$B$2:$C$7, 2, FALSE)</f>
        <v>Cut</v>
      </c>
      <c r="J1310" s="30"/>
    </row>
    <row r="1311" spans="1:10" x14ac:dyDescent="0.2">
      <c r="A1311" s="120"/>
      <c r="B1311" s="43">
        <f>HEX2DEC("02")</f>
        <v>2</v>
      </c>
      <c r="C1311" s="17" t="str">
        <f t="array" ref="C1311">INDEX(Moves!$B$2:'Moves'!$B$177, SUM(HEX2DEC("A3"),1), 1)</f>
        <v>Harden</v>
      </c>
      <c r="D1311" s="43">
        <f>HEX2DEC("01")</f>
        <v>1</v>
      </c>
      <c r="E1311" s="17" t="str">
        <f t="array" ref="E1311">INDEX(Moves!$B$2:'Moves'!$B$177, SUM(HEX2DEC("A3"),1), 1)</f>
        <v>Harden</v>
      </c>
      <c r="F1311" s="21">
        <v>5</v>
      </c>
      <c r="G1311" s="20" t="str">
        <f>VLOOKUP(F1311, TMHM!$B$10:$C1519, 2, FALSE)</f>
        <v>Roar</v>
      </c>
      <c r="H1311" s="21"/>
      <c r="J1311" s="30"/>
    </row>
    <row r="1312" spans="1:10" x14ac:dyDescent="0.2">
      <c r="A1312" s="120"/>
      <c r="B1312" s="16">
        <f>HEX2DEC("0A")</f>
        <v>10</v>
      </c>
      <c r="C1312" s="17" t="str">
        <f t="array" ref="C1312">INDEX(Moves!$B$2:'Moves'!$B$177, SUM(HEX2DEC("1C"),1), 1)</f>
        <v>Absorb</v>
      </c>
      <c r="D1312" s="16">
        <f>HEX2DEC("0A")</f>
        <v>10</v>
      </c>
      <c r="E1312" s="17" t="str">
        <f t="array" ref="E1312">INDEX(Moves!$B$2:'Moves'!$B$177, SUM(HEX2DEC("1C"),1), 1)</f>
        <v>Absorb</v>
      </c>
      <c r="F1312" s="21">
        <v>7</v>
      </c>
      <c r="G1312" s="20" t="str">
        <f>VLOOKUP(F1312, TMHM!$B$10:$C1519, 2, FALSE)</f>
        <v>Secret Power</v>
      </c>
      <c r="H1312" s="21"/>
      <c r="I1312" s="25"/>
      <c r="J1312" s="30"/>
    </row>
    <row r="1313" spans="1:10" x14ac:dyDescent="0.2">
      <c r="A1313" s="120"/>
      <c r="B1313" s="48">
        <f>HEX2DEC("13")</f>
        <v>19</v>
      </c>
      <c r="C1313" s="23" t="str">
        <f t="array" ref="C1313">INDEX(Moves!$B$2:'Moves'!$B$177, SUM(HEX2DEC("A2"),1), 1)</f>
        <v>Defense Curl</v>
      </c>
      <c r="D1313" s="48">
        <f>HEX2DEC("13")</f>
        <v>19</v>
      </c>
      <c r="E1313" s="23" t="s">
        <v>59</v>
      </c>
      <c r="F1313" s="21">
        <v>8</v>
      </c>
      <c r="G1313" s="20" t="str">
        <f>VLOOKUP(F1313, TMHM!$B$10:$C1519, 2, FALSE)</f>
        <v>Charm</v>
      </c>
      <c r="H1313" s="21"/>
      <c r="I1313" s="25"/>
      <c r="J1313" s="30"/>
    </row>
    <row r="1314" spans="1:10" x14ac:dyDescent="0.2">
      <c r="A1314" s="120"/>
      <c r="B1314" s="16">
        <f>HEX2DEC("1C")</f>
        <v>28</v>
      </c>
      <c r="C1314" s="17" t="str">
        <f t="array" ref="C1314">INDEX(Moves!$B$2:'Moves'!$B$177, SUM(HEX2DEC("37"),1), 1)</f>
        <v>Sand Attack</v>
      </c>
      <c r="D1314" s="16">
        <f>HEX2DEC("1C")</f>
        <v>28</v>
      </c>
      <c r="E1314" s="17" t="str">
        <f t="array" ref="E1314">INDEX(Moves!$B$2:'Moves'!$B$177, SUM(HEX2DEC("37"),1), 1)</f>
        <v>Sand Attack</v>
      </c>
      <c r="F1314" s="21">
        <v>9</v>
      </c>
      <c r="G1314" s="20" t="str">
        <f>VLOOKUP(F1314, TMHM!$B$10:$C1519, 2, FALSE)</f>
        <v>Snore</v>
      </c>
      <c r="H1314" s="21"/>
      <c r="I1314" s="25"/>
      <c r="J1314" s="30"/>
    </row>
    <row r="1315" spans="1:10" x14ac:dyDescent="0.2">
      <c r="A1315" s="120"/>
      <c r="B1315" s="48">
        <f>HEX2DEC("25")</f>
        <v>37</v>
      </c>
      <c r="C1315" s="23" t="str">
        <f t="array" ref="C1315">INDEX(Moves!$B$2:'Moves'!$B$177, SUM(HEX2DEC("8A"),1), 1)</f>
        <v>False Swipe</v>
      </c>
      <c r="D1315" s="48">
        <f>HEX2DEC("25")</f>
        <v>37</v>
      </c>
      <c r="E1315" s="23" t="s">
        <v>206</v>
      </c>
      <c r="F1315" s="21">
        <v>10</v>
      </c>
      <c r="G1315" s="20" t="str">
        <f>VLOOKUP(F1315, TMHM!$B$10:$C1519, 2, FALSE)</f>
        <v>Bite</v>
      </c>
      <c r="H1315" s="21"/>
      <c r="I1315" s="25"/>
      <c r="J1315" s="30"/>
    </row>
    <row r="1316" spans="1:10" x14ac:dyDescent="0.2">
      <c r="A1316" s="120"/>
      <c r="B1316" s="16">
        <f>HEX2DEC("2E")</f>
        <v>46</v>
      </c>
      <c r="C1316" s="17" t="str">
        <f t="array" ref="C1316">INDEX(Moves!$B$2:'Moves'!$B$177, SUM(HEX2DEC("1D"),1), 1)</f>
        <v>Mega Drain</v>
      </c>
      <c r="D1316" s="16">
        <f>HEX2DEC("2E")</f>
        <v>46</v>
      </c>
      <c r="E1316" s="17" t="str">
        <f t="array" ref="E1316">INDEX(Moves!$B$2:'Moves'!$B$177, SUM(HEX2DEC("1D"),1), 1)</f>
        <v>Mega Drain</v>
      </c>
      <c r="F1316" s="21">
        <v>15</v>
      </c>
      <c r="G1316" s="20" t="str">
        <f>VLOOKUP(F1316, TMHM!$B$10:$C1519, 2, FALSE)</f>
        <v>Hyper Beam</v>
      </c>
      <c r="H1316" s="21"/>
      <c r="I1316" s="25"/>
      <c r="J1316" s="30"/>
    </row>
    <row r="1317" spans="1:10" x14ac:dyDescent="0.2">
      <c r="A1317" s="120"/>
      <c r="B1317" s="50">
        <f>HEX2DEC("37")</f>
        <v>55</v>
      </c>
      <c r="C1317" s="51" t="str">
        <f t="array" ref="C1317">INDEX(Moves!$B$2:'Moves'!$B$177, SUM(HEX2DEC("3B"),1), 1)</f>
        <v>Rock Slide</v>
      </c>
      <c r="D1317" s="50">
        <f>HEX2DEC("37")</f>
        <v>55</v>
      </c>
      <c r="E1317" s="51" t="str">
        <f t="array" ref="E1317">INDEX(Moves!$B$2:'Moves'!$B$177, SUM(HEX2DEC("3A"),1), 1)</f>
        <v>AncientPower</v>
      </c>
      <c r="F1317" s="21">
        <v>17</v>
      </c>
      <c r="G1317" s="20" t="str">
        <f>VLOOKUP(F1317, TMHM!$B$10:$C1519, 2, FALSE)</f>
        <v>SmokeScreen</v>
      </c>
      <c r="H1317" s="21"/>
      <c r="I1317" s="25"/>
      <c r="J1317" s="30"/>
    </row>
    <row r="1318" spans="1:10" x14ac:dyDescent="0.2">
      <c r="A1318" s="121" t="s">
        <v>267</v>
      </c>
      <c r="B1318" s="64">
        <f>HEX2DEC("00")</f>
        <v>0</v>
      </c>
      <c r="C1318" s="65" t="str">
        <f t="array" ref="C1318">INDEX(Moves!$B$2:'Moves'!$B$177, SUM(HEX2DEC("A5"),1), 1)</f>
        <v>Tickle</v>
      </c>
      <c r="D1318" s="64">
        <f>HEX2DEC("00")</f>
        <v>0</v>
      </c>
      <c r="E1318" s="65" t="str">
        <f t="array" ref="E1318">INDEX(Moves!$B$2:'Moves'!$B$177, SUM(HEX2DEC("8B"),1), 1)</f>
        <v>Scratch</v>
      </c>
      <c r="F1318" s="41">
        <v>1</v>
      </c>
      <c r="G1318" s="12" t="str">
        <f>VLOOKUP(F1318, TMHM!$B$10:$C1519, 2, FALSE)</f>
        <v>Focus Punch</v>
      </c>
      <c r="H1318" s="13">
        <v>1</v>
      </c>
      <c r="I1318" s="14" t="str">
        <f>VLOOKUP(H1318, TMHM!$B$2:$C$7, 2, FALSE)</f>
        <v>Cut</v>
      </c>
      <c r="J1318" s="30"/>
    </row>
    <row r="1319" spans="1:10" x14ac:dyDescent="0.2">
      <c r="A1319" s="120"/>
      <c r="B1319" s="43">
        <f>HEX2DEC("02")</f>
        <v>2</v>
      </c>
      <c r="C1319" s="17" t="str">
        <f t="array" ref="C1319">INDEX(Moves!$B$2:'Moves'!$B$177, SUM(HEX2DEC("A3"),1), 1)</f>
        <v>Harden</v>
      </c>
      <c r="D1319" s="43">
        <f t="shared" ref="D1319:D1320" si="105">HEX2DEC("01")</f>
        <v>1</v>
      </c>
      <c r="E1319" s="17" t="str">
        <f t="array" ref="E1319">INDEX(Moves!$B$2:'Moves'!$B$177, SUM(HEX2DEC("A3"),1), 1)</f>
        <v>Harden</v>
      </c>
      <c r="F1319" s="21">
        <v>5</v>
      </c>
      <c r="G1319" s="20" t="str">
        <f>VLOOKUP(F1319, TMHM!$B$10:$C1519, 2, FALSE)</f>
        <v>Roar</v>
      </c>
      <c r="H1319" s="21"/>
      <c r="J1319" s="30"/>
    </row>
    <row r="1320" spans="1:10" x14ac:dyDescent="0.2">
      <c r="A1320" s="120"/>
      <c r="B1320" s="34"/>
      <c r="C1320" s="35"/>
      <c r="D1320" s="34">
        <f t="shared" si="105"/>
        <v>1</v>
      </c>
      <c r="E1320" s="35" t="str">
        <f t="array" ref="E1320">INDEX(Moves!$B$2:'Moves'!$B$177, SUM(HEX2DEC("1C"),1), 1)</f>
        <v>Absorb</v>
      </c>
      <c r="F1320" s="21">
        <v>7</v>
      </c>
      <c r="G1320" s="20" t="str">
        <f>VLOOKUP(F1320, TMHM!$B$10:$C1519, 2, FALSE)</f>
        <v>Secret Power</v>
      </c>
      <c r="H1320" s="21"/>
      <c r="I1320" s="25"/>
      <c r="J1320" s="30"/>
    </row>
    <row r="1321" spans="1:10" x14ac:dyDescent="0.2">
      <c r="A1321" s="120"/>
      <c r="B1321" s="16">
        <f>HEX2DEC("0A")</f>
        <v>10</v>
      </c>
      <c r="C1321" s="17" t="str">
        <f t="array" ref="C1321">INDEX(Moves!$B$2:'Moves'!$B$177, SUM(HEX2DEC("1C"),1), 1)</f>
        <v>Absorb</v>
      </c>
      <c r="D1321" s="16">
        <f>HEX2DEC("0A")</f>
        <v>10</v>
      </c>
      <c r="E1321" s="17" t="str">
        <f t="array" ref="E1321">INDEX(Moves!$B$2:'Moves'!$B$177, SUM(HEX2DEC("1C"),1), 1)</f>
        <v>Absorb</v>
      </c>
      <c r="F1321" s="21">
        <v>8</v>
      </c>
      <c r="G1321" s="20" t="str">
        <f>VLOOKUP(F1321, TMHM!$B$10:$C1519, 2, FALSE)</f>
        <v>Charm</v>
      </c>
      <c r="H1321" s="21"/>
      <c r="I1321" s="25"/>
      <c r="J1321" s="30"/>
    </row>
    <row r="1322" spans="1:10" x14ac:dyDescent="0.2">
      <c r="A1322" s="120"/>
      <c r="B1322" s="48">
        <f>HEX2DEC("13")</f>
        <v>19</v>
      </c>
      <c r="C1322" s="23" t="str">
        <f t="array" ref="C1322">INDEX(Moves!$B$2:'Moves'!$B$177, SUM(HEX2DEC("A2"),1), 1)</f>
        <v>Defense Curl</v>
      </c>
      <c r="D1322" s="48">
        <f>HEX2DEC("13")</f>
        <v>19</v>
      </c>
      <c r="E1322" s="23" t="s">
        <v>59</v>
      </c>
      <c r="F1322" s="21">
        <v>9</v>
      </c>
      <c r="G1322" s="20" t="str">
        <f>VLOOKUP(F1322, TMHM!$B$10:$C1519, 2, FALSE)</f>
        <v>Snore</v>
      </c>
      <c r="H1322" s="21"/>
      <c r="I1322" s="25"/>
      <c r="J1322" s="30"/>
    </row>
    <row r="1323" spans="1:10" x14ac:dyDescent="0.2">
      <c r="A1323" s="120"/>
      <c r="B1323" s="16">
        <f>HEX2DEC("1C")</f>
        <v>28</v>
      </c>
      <c r="C1323" s="17" t="str">
        <f t="array" ref="C1323">INDEX(Moves!$B$2:'Moves'!$B$177, SUM(HEX2DEC("37"),1), 1)</f>
        <v>Sand Attack</v>
      </c>
      <c r="D1323" s="16">
        <f>HEX2DEC("1C")</f>
        <v>28</v>
      </c>
      <c r="E1323" s="17" t="str">
        <f t="array" ref="E1323">INDEX(Moves!$B$2:'Moves'!$B$177, SUM(HEX2DEC("37"),1), 1)</f>
        <v>Sand Attack</v>
      </c>
      <c r="F1323" s="21">
        <v>10</v>
      </c>
      <c r="G1323" s="20" t="str">
        <f>VLOOKUP(F1323, TMHM!$B$10:$C1519, 2, FALSE)</f>
        <v>Bite</v>
      </c>
      <c r="H1323" s="21"/>
      <c r="I1323" s="25"/>
      <c r="J1323" s="30"/>
    </row>
    <row r="1324" spans="1:10" x14ac:dyDescent="0.2">
      <c r="A1324" s="120"/>
      <c r="B1324" s="48">
        <f>HEX2DEC("25")</f>
        <v>37</v>
      </c>
      <c r="C1324" s="23" t="str">
        <f t="array" ref="C1324">INDEX(Moves!$B$2:'Moves'!$B$177, SUM(HEX2DEC("8A"),1), 1)</f>
        <v>False Swipe</v>
      </c>
      <c r="D1324" s="48">
        <f>HEX2DEC("25")</f>
        <v>37</v>
      </c>
      <c r="E1324" s="23" t="s">
        <v>206</v>
      </c>
      <c r="F1324" s="21">
        <v>15</v>
      </c>
      <c r="G1324" s="20" t="str">
        <f>VLOOKUP(F1324, TMHM!$B$10:$C1519, 2, FALSE)</f>
        <v>Hyper Beam</v>
      </c>
      <c r="H1324" s="21"/>
      <c r="I1324" s="25"/>
      <c r="J1324" s="30"/>
    </row>
    <row r="1325" spans="1:10" x14ac:dyDescent="0.2">
      <c r="A1325" s="120"/>
      <c r="B1325" s="48">
        <f>HEX2DEC("28")</f>
        <v>40</v>
      </c>
      <c r="C1325" s="23" t="str">
        <f t="array" ref="C1325">INDEX(Moves!$B$2:'Moves'!$B$177, SUM(HEX2DEC("57"),1), 1)</f>
        <v>Cross Chop</v>
      </c>
      <c r="D1325" s="48">
        <f>HEX2DEC("28")</f>
        <v>40</v>
      </c>
      <c r="E1325" s="23" t="s">
        <v>28</v>
      </c>
      <c r="F1325" s="21">
        <v>17</v>
      </c>
      <c r="G1325" s="20" t="str">
        <f>VLOOKUP(F1325, TMHM!$B$10:$C1519, 2, FALSE)</f>
        <v>SmokeScreen</v>
      </c>
      <c r="H1325" s="21"/>
      <c r="I1325" s="25"/>
      <c r="J1325" s="30"/>
    </row>
    <row r="1326" spans="1:10" x14ac:dyDescent="0.2">
      <c r="A1326" s="120"/>
      <c r="B1326" s="16">
        <f>HEX2DEC("33")</f>
        <v>51</v>
      </c>
      <c r="C1326" s="17" t="str">
        <f t="array" ref="C1326">INDEX(Moves!$B$2:'Moves'!$B$177, SUM(HEX2DEC("1D"),1), 1)</f>
        <v>Mega Drain</v>
      </c>
      <c r="D1326" s="16">
        <f>HEX2DEC("33")</f>
        <v>51</v>
      </c>
      <c r="E1326" s="17" t="str">
        <f t="array" ref="E1326">INDEX(Moves!$B$2:'Moves'!$B$177, SUM(HEX2DEC("1D"),1), 1)</f>
        <v>Mega Drain</v>
      </c>
      <c r="F1326" s="21"/>
      <c r="H1326" s="21"/>
      <c r="I1326" s="25"/>
      <c r="J1326" s="30"/>
    </row>
    <row r="1327" spans="1:10" x14ac:dyDescent="0.2">
      <c r="A1327" s="120"/>
      <c r="B1327" s="50">
        <f>HEX2DEC("41")</f>
        <v>65</v>
      </c>
      <c r="C1327" s="51" t="str">
        <f t="array" ref="C1327">INDEX(Moves!$B$2:'Moves'!$B$177, SUM(HEX2DEC("3B"),1), 1)</f>
        <v>Rock Slide</v>
      </c>
      <c r="D1327" s="50">
        <f>HEX2DEC("41")</f>
        <v>65</v>
      </c>
      <c r="E1327" s="51" t="str">
        <f t="array" ref="E1327">INDEX(Moves!$B$2:'Moves'!$B$177, SUM(HEX2DEC("3A"),1), 1)</f>
        <v>AncientPower</v>
      </c>
      <c r="F1327" s="21"/>
      <c r="H1327" s="21"/>
      <c r="I1327" s="25"/>
      <c r="J1327" s="30"/>
    </row>
    <row r="1328" spans="1:10" x14ac:dyDescent="0.2">
      <c r="A1328" s="121" t="s">
        <v>268</v>
      </c>
      <c r="B1328" s="64">
        <f>HEX2DEC("00")</f>
        <v>0</v>
      </c>
      <c r="C1328" s="65" t="str">
        <f t="array" ref="C1328">INDEX(Moves!$B$2:'Moves'!$B$177, SUM(HEX2DEC("82"),1), 1)</f>
        <v>Metal Claw</v>
      </c>
      <c r="D1328" s="64">
        <f>HEX2DEC("01")</f>
        <v>1</v>
      </c>
      <c r="E1328" s="65" t="str">
        <f t="array" ref="E1328">INDEX(Moves!$B$2:'Moves'!$B$177, SUM(HEX2DEC("8B"),1), 1)</f>
        <v>Scratch</v>
      </c>
      <c r="F1328" s="41">
        <v>7</v>
      </c>
      <c r="G1328" s="12" t="str">
        <f>VLOOKUP(F1328, TMHM!$B$10:$C1519, 2, FALSE)</f>
        <v>Secret Power</v>
      </c>
      <c r="H1328" s="13">
        <v>2</v>
      </c>
      <c r="I1328" s="14" t="str">
        <f>VLOOKUP(H1328, TMHM!$B$2:$C$7, 2, FALSE)</f>
        <v>Fly</v>
      </c>
      <c r="J1328" s="30"/>
    </row>
    <row r="1329" spans="1:10" x14ac:dyDescent="0.2">
      <c r="A1329" s="120"/>
      <c r="B1329" s="16">
        <f>HEX2DEC("08")</f>
        <v>8</v>
      </c>
      <c r="C1329" s="17" t="str">
        <f t="array" ref="C1329">INDEX(Moves!$B$2:'Moves'!$B$177, SUM(HEX2DEC("71"),1), 1)</f>
        <v>Agility</v>
      </c>
      <c r="D1329" s="16">
        <f>HEX2DEC("08")</f>
        <v>8</v>
      </c>
      <c r="E1329" s="17" t="str">
        <f t="array" ref="E1329">INDEX(Moves!$B$2:'Moves'!$B$177, SUM(HEX2DEC("71"),1), 1)</f>
        <v>Agility</v>
      </c>
      <c r="F1329" s="21">
        <v>10</v>
      </c>
      <c r="G1329" s="20" t="str">
        <f>VLOOKUP(F1329, TMHM!$B$10:$C1519, 2, FALSE)</f>
        <v>Bite</v>
      </c>
      <c r="H1329" s="21"/>
      <c r="I1329" s="25"/>
      <c r="J1329" s="30"/>
    </row>
    <row r="1330" spans="1:10" x14ac:dyDescent="0.2">
      <c r="A1330" s="120"/>
      <c r="B1330" s="50">
        <f>HEX2DEC("0F")</f>
        <v>15</v>
      </c>
      <c r="C1330" s="51" t="str">
        <f t="array" ref="C1330">INDEX(Moves!$B$2:'Moves'!$B$177, SUM(HEX2DEC("81"),1), 1)</f>
        <v>Crunch</v>
      </c>
      <c r="D1330" s="50">
        <f>HEX2DEC("0F")</f>
        <v>15</v>
      </c>
      <c r="E1330" s="51" t="str">
        <f t="array" ref="E1330">INDEX(Moves!$B$2:'Moves'!$B$177, SUM(HEX2DEC("80"),1), 1)</f>
        <v>Bite</v>
      </c>
      <c r="F1330" s="21">
        <v>12</v>
      </c>
      <c r="G1330" s="20" t="str">
        <f>VLOOKUP(F1330, TMHM!$B$10:$C1519, 2, FALSE)</f>
        <v>Steel Wing</v>
      </c>
      <c r="H1330" s="21"/>
      <c r="I1330" s="25"/>
      <c r="J1330" s="30"/>
    </row>
    <row r="1331" spans="1:10" x14ac:dyDescent="0.2">
      <c r="A1331" s="120"/>
      <c r="B1331" s="50">
        <f>HEX2DEC("16")</f>
        <v>22</v>
      </c>
      <c r="C1331" s="51" t="str">
        <f t="array" ref="C1331">INDEX(Moves!$B$2:'Moves'!$B$177, SUM(HEX2DEC("83"),1), 1)</f>
        <v>Steel Wing</v>
      </c>
      <c r="D1331" s="50">
        <f>HEX2DEC("16")</f>
        <v>22</v>
      </c>
      <c r="E1331" s="51" t="str">
        <f t="array" ref="E1331">INDEX(Moves!$B$2:'Moves'!$B$177, SUM(HEX2DEC("9E"),1), 1)</f>
        <v>Supersonic</v>
      </c>
      <c r="F1331" s="21">
        <v>15</v>
      </c>
      <c r="G1331" s="20" t="str">
        <f>VLOOKUP(F1331, TMHM!$B$10:$C1519, 2, FALSE)</f>
        <v>Hyper Beam</v>
      </c>
      <c r="H1331" s="21"/>
      <c r="I1331" s="25"/>
      <c r="J1331" s="30"/>
    </row>
    <row r="1332" spans="1:10" x14ac:dyDescent="0.2">
      <c r="A1332" s="120"/>
      <c r="B1332" s="50">
        <f>HEX2DEC("1D")</f>
        <v>29</v>
      </c>
      <c r="C1332" s="51" t="str">
        <f t="array" ref="C1332">INDEX(Moves!$B$2:'Moves'!$B$177, SUM(HEX2DEC("3B"),1), 1)</f>
        <v>Rock Slide</v>
      </c>
      <c r="D1332" s="50">
        <f>HEX2DEC("1D")</f>
        <v>29</v>
      </c>
      <c r="E1332" s="51" t="str">
        <f t="array" ref="E1332">INDEX(Moves!$B$2:'Moves'!$B$177, SUM(HEX2DEC("3A"),1), 1)</f>
        <v>AncientPower</v>
      </c>
      <c r="F1332" s="21">
        <v>18</v>
      </c>
      <c r="G1332" s="20" t="str">
        <f>VLOOKUP(F1332, TMHM!$B$10:$C1519, 2, FALSE)</f>
        <v>AncientPower</v>
      </c>
      <c r="H1332" s="21"/>
      <c r="I1332" s="25"/>
      <c r="J1332" s="30"/>
    </row>
    <row r="1333" spans="1:10" x14ac:dyDescent="0.2">
      <c r="A1333" s="120"/>
      <c r="B1333" s="48">
        <f>HEX2DEC("24")</f>
        <v>36</v>
      </c>
      <c r="C1333" s="23" t="str">
        <f t="array" ref="C1333">INDEX(Moves!$B$2:'Moves'!$B$177, SUM(HEX2DEC("63"),1), 1)</f>
        <v>Aeroblast</v>
      </c>
      <c r="D1333" s="48">
        <f>HEX2DEC("24")</f>
        <v>36</v>
      </c>
      <c r="E1333" s="23" t="s">
        <v>27</v>
      </c>
      <c r="F1333" s="21">
        <v>20</v>
      </c>
      <c r="G1333" s="20" t="str">
        <f>VLOOKUP(F1333, TMHM!$B$10:$C1519, 2, FALSE)</f>
        <v>Iron Defense</v>
      </c>
      <c r="H1333" s="21"/>
      <c r="I1333" s="25"/>
      <c r="J1333" s="30"/>
    </row>
    <row r="1334" spans="1:10" x14ac:dyDescent="0.2">
      <c r="A1334" s="120"/>
      <c r="B1334" s="48">
        <f>HEX2DEC("2B")</f>
        <v>43</v>
      </c>
      <c r="C1334" s="23" t="str">
        <f t="array" ref="C1334">INDEX(Moves!$B$2:'Moves'!$B$177, SUM(HEX2DEC("84"),1), 1)</f>
        <v>Iron Tail</v>
      </c>
      <c r="D1334" s="48">
        <f>HEX2DEC("2B")</f>
        <v>43</v>
      </c>
      <c r="E1334" s="23" t="s">
        <v>124</v>
      </c>
      <c r="F1334" s="21">
        <v>32</v>
      </c>
      <c r="G1334" s="20" t="str">
        <f>VLOOKUP(F1334, TMHM!$B$10:$C1519, 2, FALSE)</f>
        <v>Double Team</v>
      </c>
      <c r="H1334" s="21"/>
      <c r="I1334" s="25"/>
      <c r="J1334" s="30"/>
    </row>
    <row r="1335" spans="1:10" x14ac:dyDescent="0.2">
      <c r="A1335" s="120"/>
      <c r="B1335" s="16">
        <f>HEX2DEC("32")</f>
        <v>50</v>
      </c>
      <c r="C1335" s="17" t="str">
        <f t="array" ref="C1335">INDEX(Moves!$B$2:'Moves'!$B$177, SUM(HEX2DEC("97"),1), 1)</f>
        <v>Hyper Beam</v>
      </c>
      <c r="D1335" s="16">
        <f>HEX2DEC("32")</f>
        <v>50</v>
      </c>
      <c r="E1335" s="17" t="str">
        <f t="array" ref="E1335">INDEX(Moves!$B$2:'Moves'!$B$177, SUM(HEX2DEC("97"),1), 1)</f>
        <v>Hyper Beam</v>
      </c>
      <c r="F1335" s="21">
        <v>35</v>
      </c>
      <c r="G1335" s="20" t="str">
        <f>VLOOKUP(F1335, TMHM!$B$10:$C1519, 2, FALSE)</f>
        <v>Harden</v>
      </c>
      <c r="H1335" s="21"/>
      <c r="I1335" s="25"/>
      <c r="J1335" s="30"/>
    </row>
    <row r="1336" spans="1:10" x14ac:dyDescent="0.2">
      <c r="A1336" s="121" t="s">
        <v>269</v>
      </c>
      <c r="B1336" s="70">
        <f>HEX2DEC("00")</f>
        <v>0</v>
      </c>
      <c r="C1336" s="71" t="str">
        <f t="array" ref="C1336">INDEX(Moves!$B$2:'Moves'!$B$177, SUM(HEX2DEC("89"),1), 1)</f>
        <v>Tackle</v>
      </c>
      <c r="D1336" s="70">
        <f>HEX2DEC("01")</f>
        <v>1</v>
      </c>
      <c r="E1336" s="71" t="str">
        <f t="array" ref="E1336">INDEX(Moves!$B$2:'Moves'!$B$177, SUM(HEX2DEC("89"),1), 1)</f>
        <v>Tackle</v>
      </c>
      <c r="F1336" s="41">
        <v>1</v>
      </c>
      <c r="G1336" s="12" t="str">
        <f>VLOOKUP(F1336, TMHM!$B$10:$C1519, 2, FALSE)</f>
        <v>Focus Punch</v>
      </c>
      <c r="H1336" s="13">
        <v>1</v>
      </c>
      <c r="I1336" s="14" t="str">
        <f>VLOOKUP(H1336, TMHM!$B$2:$C$7, 2, FALSE)</f>
        <v>Cut</v>
      </c>
      <c r="J1336" s="30"/>
    </row>
    <row r="1337" spans="1:10" x14ac:dyDescent="0.2">
      <c r="A1337" s="120"/>
      <c r="B1337" s="48">
        <f>HEX2DEC("08")</f>
        <v>8</v>
      </c>
      <c r="C1337" s="23" t="str">
        <f t="array" ref="C1337">INDEX(Moves!$B$2:'Moves'!$B$177, SUM(HEX2DEC("6D"),1), 1)</f>
        <v>Hypnosis</v>
      </c>
      <c r="D1337" s="48">
        <f>HEX2DEC("08")</f>
        <v>8</v>
      </c>
      <c r="E1337" s="23" t="s">
        <v>160</v>
      </c>
      <c r="F1337" s="21">
        <v>5</v>
      </c>
      <c r="G1337" s="20" t="str">
        <f>VLOOKUP(F1337, TMHM!$B$10:$C1519, 2, FALSE)</f>
        <v>Roar</v>
      </c>
      <c r="H1337" s="21">
        <v>4</v>
      </c>
      <c r="I1337" s="20" t="str">
        <f>VLOOKUP(H1337, TMHM!$B$2:$C$7, 2, FALSE)</f>
        <v>Strength</v>
      </c>
      <c r="J1337" s="30"/>
    </row>
    <row r="1338" spans="1:10" x14ac:dyDescent="0.2">
      <c r="A1338" s="120"/>
      <c r="B1338" s="50">
        <f>HEX2DEC("0F")</f>
        <v>15</v>
      </c>
      <c r="C1338" s="51" t="str">
        <f t="array" ref="C1338">INDEX(Moves!$B$2:'Moves'!$B$177, SUM(HEX2DEC("8B"),1), 1)</f>
        <v>Scratch</v>
      </c>
      <c r="D1338" s="50">
        <f>HEX2DEC("0F")</f>
        <v>15</v>
      </c>
      <c r="E1338" s="51" t="str">
        <f t="array" ref="E1338">INDEX(Moves!$B$2:'Moves'!$B$177, SUM(HEX2DEC("A2"),1), 1)</f>
        <v>Defense Curl</v>
      </c>
      <c r="F1338" s="21">
        <v>9</v>
      </c>
      <c r="G1338" s="20" t="str">
        <f>VLOOKUP(F1338, TMHM!$B$10:$C1519, 2, FALSE)</f>
        <v>Snore</v>
      </c>
      <c r="H1338" s="21">
        <v>5</v>
      </c>
      <c r="I1338" s="20" t="str">
        <f>VLOOKUP(H1338, TMHM!$B$2:$C$7, 2, FALSE)</f>
        <v>Flash</v>
      </c>
      <c r="J1338" s="30"/>
    </row>
    <row r="1339" spans="1:10" x14ac:dyDescent="0.2">
      <c r="A1339" s="120"/>
      <c r="B1339" s="48">
        <f>HEX2DEC("16")</f>
        <v>22</v>
      </c>
      <c r="C1339" s="23" t="str">
        <f t="array" ref="C1339">INDEX(Moves!$B$2:'Moves'!$B$177, SUM(HEX2DEC("76"),1), 1)</f>
        <v>Nightmare</v>
      </c>
      <c r="D1339" s="48">
        <f>HEX2DEC("16")</f>
        <v>22</v>
      </c>
      <c r="E1339" s="23" t="s">
        <v>127</v>
      </c>
      <c r="F1339" s="21">
        <v>15</v>
      </c>
      <c r="G1339" s="20" t="str">
        <f>VLOOKUP(F1339, TMHM!$B$10:$C1519, 2, FALSE)</f>
        <v>Hyper Beam</v>
      </c>
      <c r="H1339" s="21"/>
      <c r="I1339" s="25"/>
      <c r="J1339" s="30"/>
    </row>
    <row r="1340" spans="1:10" x14ac:dyDescent="0.2">
      <c r="A1340" s="120"/>
      <c r="B1340" s="48">
        <f>HEX2DEC("1D")</f>
        <v>29</v>
      </c>
      <c r="C1340" s="23" t="str">
        <f t="array" ref="C1340">INDEX(Moves!$B$2:'Moves'!$B$177, SUM(HEX2DEC("93"),1), 1)</f>
        <v>Secret Power</v>
      </c>
      <c r="D1340" s="48">
        <f>HEX2DEC("1D")</f>
        <v>29</v>
      </c>
      <c r="E1340" s="23" t="s">
        <v>159</v>
      </c>
      <c r="F1340" s="21">
        <v>18</v>
      </c>
      <c r="G1340" s="20" t="str">
        <f>VLOOKUP(F1340, TMHM!$B$10:$C1519, 2, FALSE)</f>
        <v>AncientPower</v>
      </c>
      <c r="H1340" s="21"/>
      <c r="I1340" s="25"/>
      <c r="J1340" s="30"/>
    </row>
    <row r="1341" spans="1:10" x14ac:dyDescent="0.2">
      <c r="A1341" s="120"/>
      <c r="B1341" s="73">
        <f t="shared" ref="B1341:B1342" si="106">HEX2DEC("24")</f>
        <v>36</v>
      </c>
      <c r="C1341" s="17" t="str">
        <f t="array" ref="C1341">INDEX(Moves!$B$2:'Moves'!$B$177, SUM(HEX2DEC("8E"),1), 1)</f>
        <v>Snore</v>
      </c>
      <c r="D1341" s="73">
        <f t="shared" ref="D1341:D1342" si="107">HEX2DEC("24")</f>
        <v>36</v>
      </c>
      <c r="E1341" s="17" t="str">
        <f t="array" ref="E1341">INDEX(Moves!$B$2:'Moves'!$B$177, SUM(HEX2DEC("8E"),1), 1)</f>
        <v>Snore</v>
      </c>
      <c r="F1341" s="21">
        <v>20</v>
      </c>
      <c r="G1341" s="20" t="str">
        <f>VLOOKUP(F1341, TMHM!$B$10:$C1519, 2, FALSE)</f>
        <v>Iron Defense</v>
      </c>
      <c r="H1341" s="21"/>
      <c r="I1341" s="25"/>
      <c r="J1341" s="30"/>
    </row>
    <row r="1342" spans="1:10" x14ac:dyDescent="0.2">
      <c r="A1342" s="120"/>
      <c r="B1342" s="73">
        <f t="shared" si="106"/>
        <v>36</v>
      </c>
      <c r="C1342" s="17" t="str">
        <f t="array" ref="C1342">INDEX(Moves!$B$2:'Moves'!$B$177, SUM(HEX2DEC("6E"),1), 1)</f>
        <v>Rest</v>
      </c>
      <c r="D1342" s="73">
        <f t="shared" si="107"/>
        <v>36</v>
      </c>
      <c r="E1342" s="17" t="str">
        <f t="array" ref="E1342">INDEX(Moves!$B$2:'Moves'!$B$177, SUM(HEX2DEC("6E"),1), 1)</f>
        <v>Rest</v>
      </c>
      <c r="F1342" s="21">
        <v>35</v>
      </c>
      <c r="G1342" s="20" t="str">
        <f>VLOOKUP(F1342, TMHM!$B$10:$C1519, 2, FALSE)</f>
        <v>Harden</v>
      </c>
      <c r="H1342" s="21"/>
      <c r="I1342" s="25"/>
      <c r="J1342" s="30"/>
    </row>
    <row r="1343" spans="1:10" x14ac:dyDescent="0.2">
      <c r="A1343" s="120"/>
      <c r="B1343" s="48">
        <f>HEX2DEC("2B")</f>
        <v>43</v>
      </c>
      <c r="C1343" s="23" t="str">
        <f t="array" ref="C1343">INDEX(Moves!$B$2:'Moves'!$B$177, SUM(HEX2DEC("96"),1), 1)</f>
        <v>Double-Edge</v>
      </c>
      <c r="D1343" s="48">
        <f>HEX2DEC("2B")</f>
        <v>43</v>
      </c>
      <c r="E1343" s="23" t="s">
        <v>77</v>
      </c>
      <c r="F1343" s="21"/>
      <c r="H1343" s="21"/>
      <c r="I1343" s="25"/>
      <c r="J1343" s="30"/>
    </row>
    <row r="1344" spans="1:10" x14ac:dyDescent="0.2">
      <c r="A1344" s="120"/>
      <c r="B1344" s="48">
        <f>HEX2DEC("32")</f>
        <v>50</v>
      </c>
      <c r="C1344" s="23" t="str">
        <f t="array" ref="C1344">INDEX(Moves!$B$2:'Moves'!$B$177, SUM(HEX2DEC("6B"),1), 1)</f>
        <v>Dream Eater</v>
      </c>
      <c r="D1344" s="48">
        <f>HEX2DEC("32")</f>
        <v>50</v>
      </c>
      <c r="E1344" s="23" t="s">
        <v>95</v>
      </c>
      <c r="F1344" s="21"/>
      <c r="H1344" s="21"/>
      <c r="I1344" s="25"/>
      <c r="J1344" s="30"/>
    </row>
    <row r="1345" spans="1:10" x14ac:dyDescent="0.2">
      <c r="A1345" s="120"/>
      <c r="B1345" s="73">
        <f>HEX2DEC("39")</f>
        <v>57</v>
      </c>
      <c r="C1345" s="17" t="str">
        <f t="array" ref="C1345">INDEX(Moves!$B$2:'Moves'!$B$177, SUM(HEX2DEC("97"),1), 1)</f>
        <v>Hyper Beam</v>
      </c>
      <c r="D1345" s="73">
        <f>HEX2DEC("39")</f>
        <v>57</v>
      </c>
      <c r="E1345" s="17" t="str">
        <f t="array" ref="E1345">INDEX(Moves!$B$2:'Moves'!$B$177, SUM(HEX2DEC("97"),1), 1)</f>
        <v>Hyper Beam</v>
      </c>
      <c r="F1345" s="21"/>
      <c r="H1345" s="21"/>
      <c r="I1345" s="25"/>
      <c r="J1345" s="30"/>
    </row>
    <row r="1346" spans="1:10" x14ac:dyDescent="0.2">
      <c r="A1346" s="121" t="s">
        <v>270</v>
      </c>
      <c r="B1346" s="64">
        <f>HEX2DEC("00")</f>
        <v>0</v>
      </c>
      <c r="C1346" s="65" t="str">
        <f t="array" ref="C1346">INDEX(Moves!$B$2:'Moves'!$B$177, SUM(HEX2DEC("2A"),1), 1)</f>
        <v>Icy Wind</v>
      </c>
      <c r="D1346" s="64">
        <f t="shared" ref="D1346:D1347" si="108">HEX2DEC("01")</f>
        <v>1</v>
      </c>
      <c r="E1346" s="65" t="str">
        <f t="array" ref="E1346">INDEX(Moves!$B$2:'Moves'!$B$177, SUM(HEX2DEC("5C"),1), 1)</f>
        <v>Gust</v>
      </c>
      <c r="F1346" s="41">
        <v>3</v>
      </c>
      <c r="G1346" s="12" t="str">
        <f>VLOOKUP(F1346, TMHM!$B$10:$C1519, 2, FALSE)</f>
        <v>Water Pulse</v>
      </c>
      <c r="H1346" s="13">
        <v>2</v>
      </c>
      <c r="I1346" s="14" t="str">
        <f>VLOOKUP(H1346, TMHM!$B$2:$C$7, 2, FALSE)</f>
        <v>Fly</v>
      </c>
      <c r="J1346" s="30"/>
    </row>
    <row r="1347" spans="1:10" x14ac:dyDescent="0.2">
      <c r="A1347" s="120"/>
      <c r="B1347" s="43">
        <f>HEX2DEC("04")</f>
        <v>4</v>
      </c>
      <c r="C1347" s="76" t="str">
        <f t="array" ref="C1347">INDEX(Moves!$B$2:'Moves'!$B$177, SUM(HEX2DEC("29"),1), 1)</f>
        <v>Power Snow</v>
      </c>
      <c r="D1347" s="43">
        <f t="shared" si="108"/>
        <v>1</v>
      </c>
      <c r="E1347" s="76" t="str">
        <f t="array" ref="E1347">INDEX(Moves!$B$2:'Moves'!$B$177, SUM(HEX2DEC("29"),1), 1)</f>
        <v>Power Snow</v>
      </c>
      <c r="F1347" s="21">
        <v>5</v>
      </c>
      <c r="G1347" s="20" t="str">
        <f>VLOOKUP(F1347, TMHM!$B$10:$C1519, 2, FALSE)</f>
        <v>Roar</v>
      </c>
      <c r="H1347" s="21"/>
      <c r="I1347" s="25"/>
      <c r="J1347" s="30"/>
    </row>
    <row r="1348" spans="1:10" x14ac:dyDescent="0.2">
      <c r="A1348" s="120"/>
      <c r="B1348" s="48">
        <f>HEX2DEC("0D")</f>
        <v>13</v>
      </c>
      <c r="C1348" s="23" t="str">
        <f t="array" ref="C1348">INDEX(Moves!$B$2:'Moves'!$B$177, SUM(HEX2DEC("5B"),1), 1)</f>
        <v>Peck</v>
      </c>
      <c r="D1348" s="48">
        <f>HEX2DEC("0D")</f>
        <v>13</v>
      </c>
      <c r="E1348" s="23" t="s">
        <v>254</v>
      </c>
      <c r="F1348" s="21">
        <v>11</v>
      </c>
      <c r="G1348" s="20" t="str">
        <f>VLOOKUP(F1348, TMHM!$B$10:$C1519, 2, FALSE)</f>
        <v>Bubblebeam</v>
      </c>
      <c r="H1348" s="21"/>
      <c r="I1348" s="25"/>
      <c r="J1348" s="30"/>
    </row>
    <row r="1349" spans="1:10" x14ac:dyDescent="0.2">
      <c r="A1349" s="120"/>
      <c r="B1349" s="73">
        <f>HEX2DEC("19")</f>
        <v>25</v>
      </c>
      <c r="C1349" s="76" t="str">
        <f t="array" ref="C1349">INDEX(Moves!$B$2:'Moves'!$B$177, SUM(HEX2DEC("71"),1), 1)</f>
        <v>Agility</v>
      </c>
      <c r="D1349" s="73">
        <f>HEX2DEC("19")</f>
        <v>25</v>
      </c>
      <c r="E1349" s="76" t="str">
        <f t="array" ref="E1349">INDEX(Moves!$B$2:'Moves'!$B$177, SUM(HEX2DEC("71"),1), 1)</f>
        <v>Agility</v>
      </c>
      <c r="F1349" s="21">
        <v>13</v>
      </c>
      <c r="G1349" s="20" t="str">
        <f>VLOOKUP(F1349, TMHM!$B$10:$C1519, 2, FALSE)</f>
        <v>Ice Beam</v>
      </c>
      <c r="H1349" s="21"/>
      <c r="I1349" s="25"/>
      <c r="J1349" s="30"/>
    </row>
    <row r="1350" spans="1:10" x14ac:dyDescent="0.2">
      <c r="A1350" s="120"/>
      <c r="B1350" s="48">
        <f>HEX2DEC("25")</f>
        <v>37</v>
      </c>
      <c r="C1350" s="23" t="str">
        <f t="array" ref="C1350">INDEX(Moves!$B$2:'Moves'!$B$177, SUM(HEX2DEC("A0"),1), 1)</f>
        <v>Growl</v>
      </c>
      <c r="D1350" s="48">
        <f>HEX2DEC("25")</f>
        <v>37</v>
      </c>
      <c r="E1350" s="23" t="s">
        <v>131</v>
      </c>
      <c r="F1350" s="21">
        <v>14</v>
      </c>
      <c r="G1350" s="20" t="str">
        <f>VLOOKUP(F1350, TMHM!$B$10:$C1519, 2, FALSE)</f>
        <v>Blizzard</v>
      </c>
      <c r="H1350" s="21"/>
      <c r="I1350" s="25"/>
      <c r="J1350" s="30"/>
    </row>
    <row r="1351" spans="1:10" x14ac:dyDescent="0.2">
      <c r="A1351" s="120"/>
      <c r="B1351" s="73">
        <f>HEX2DEC("31")</f>
        <v>49</v>
      </c>
      <c r="C1351" s="76" t="str">
        <f t="array" ref="C1351">INDEX(Moves!$B$2:'Moves'!$B$177, SUM(HEX2DEC("2D"),1), 1)</f>
        <v>Ice Beam</v>
      </c>
      <c r="D1351" s="73">
        <f>HEX2DEC("31")</f>
        <v>49</v>
      </c>
      <c r="E1351" s="76" t="str">
        <f t="array" ref="E1351">INDEX(Moves!$B$2:'Moves'!$B$177, SUM(HEX2DEC("2D"),1), 1)</f>
        <v>Ice Beam</v>
      </c>
      <c r="F1351" s="21"/>
      <c r="H1351" s="21"/>
      <c r="I1351" s="25"/>
      <c r="J1351" s="30"/>
    </row>
    <row r="1352" spans="1:10" x14ac:dyDescent="0.2">
      <c r="A1352" s="120"/>
      <c r="B1352" s="48">
        <f>HEX2DEC("3D")</f>
        <v>61</v>
      </c>
      <c r="C1352" s="23" t="str">
        <f t="array" ref="C1352">INDEX(Moves!$B$2:'Moves'!$B$177, SUM(HEX2DEC("2F"),1), 1)</f>
        <v>Sheer Cold</v>
      </c>
      <c r="D1352" s="48">
        <f>HEX2DEC("3D")</f>
        <v>61</v>
      </c>
      <c r="E1352" s="23" t="s">
        <v>135</v>
      </c>
      <c r="F1352" s="21"/>
      <c r="H1352" s="21"/>
      <c r="I1352" s="25"/>
      <c r="J1352" s="30"/>
    </row>
    <row r="1353" spans="1:10" x14ac:dyDescent="0.2">
      <c r="A1353" s="120"/>
      <c r="B1353" s="73">
        <f>HEX2DEC("49")</f>
        <v>73</v>
      </c>
      <c r="C1353" s="76" t="str">
        <f t="array" ref="C1353">INDEX(Moves!$B$2:'Moves'!$B$177, SUM(HEX2DEC("2E"),1), 1)</f>
        <v>Blizzard</v>
      </c>
      <c r="D1353" s="73">
        <f>HEX2DEC("49")</f>
        <v>73</v>
      </c>
      <c r="E1353" s="76" t="str">
        <f t="array" ref="E1353">INDEX(Moves!$B$2:'Moves'!$B$177, SUM(HEX2DEC("2E"),1), 1)</f>
        <v>Blizzard</v>
      </c>
      <c r="F1353" s="21"/>
      <c r="H1353" s="21"/>
      <c r="I1353" s="25"/>
      <c r="J1353" s="30"/>
    </row>
    <row r="1354" spans="1:10" x14ac:dyDescent="0.2">
      <c r="A1354" s="124" t="s">
        <v>271</v>
      </c>
      <c r="B1354" s="70">
        <f>HEX2DEC("00")</f>
        <v>0</v>
      </c>
      <c r="C1354" s="71" t="str">
        <f t="array" ref="C1354">INDEX(Moves!$B$2:'Moves'!$B$177, SUM(HEX2DEC("5B"),1), 1)</f>
        <v>Peck</v>
      </c>
      <c r="D1354" s="70">
        <f t="shared" ref="D1354:D1355" si="109">HEX2DEC("01")</f>
        <v>1</v>
      </c>
      <c r="E1354" s="71" t="str">
        <f t="array" ref="E1354">INDEX(Moves!$B$2:'Moves'!$B$177, SUM(HEX2DEC("5B"),1), 1)</f>
        <v>Peck</v>
      </c>
      <c r="F1354" s="41">
        <v>4</v>
      </c>
      <c r="G1354" s="12" t="str">
        <f>VLOOKUP(F1354, TMHM!$B$10:$C1519, 2, FALSE)</f>
        <v>Calm Mind</v>
      </c>
      <c r="H1354" s="13">
        <v>2</v>
      </c>
      <c r="I1354" s="14" t="str">
        <f>VLOOKUP(H1354, TMHM!$B$2:$C$7, 2, FALSE)</f>
        <v>Fly</v>
      </c>
      <c r="J1354" s="30"/>
    </row>
    <row r="1355" spans="1:10" x14ac:dyDescent="0.2">
      <c r="A1355" s="120"/>
      <c r="B1355" s="73">
        <f>HEX2DEC("04")</f>
        <v>4</v>
      </c>
      <c r="C1355" s="76" t="str">
        <f t="array" ref="C1355">INDEX(Moves!$B$2:'Moves'!$B$177, SUM(HEX2DEC("13"),1), 1)</f>
        <v>Thundershock</v>
      </c>
      <c r="D1355" s="43">
        <f t="shared" si="109"/>
        <v>1</v>
      </c>
      <c r="E1355" s="76" t="str">
        <f t="array" ref="E1355">INDEX(Moves!$B$2:'Moves'!$B$177, SUM(HEX2DEC("13"),1), 1)</f>
        <v>Thundershock</v>
      </c>
      <c r="F1355" s="21">
        <v>5</v>
      </c>
      <c r="G1355" s="20" t="str">
        <f>VLOOKUP(F1355, TMHM!$B$10:$C1519, 2, FALSE)</f>
        <v>Roar</v>
      </c>
      <c r="H1355" s="21">
        <v>5</v>
      </c>
      <c r="I1355" s="20" t="str">
        <f>VLOOKUP(H1355, TMHM!$B$2:$C$7, 2, FALSE)</f>
        <v>Flash</v>
      </c>
      <c r="J1355" s="30"/>
    </row>
    <row r="1356" spans="1:10" x14ac:dyDescent="0.2">
      <c r="A1356" s="120"/>
      <c r="B1356" s="73">
        <f>HEX2DEC("0D")</f>
        <v>13</v>
      </c>
      <c r="C1356" s="76" t="str">
        <f t="array" ref="C1356">INDEX(Moves!$B$2:'Moves'!$B$177, SUM(HEX2DEC("1B"),1), 1)</f>
        <v>Thunder Wave</v>
      </c>
      <c r="D1356" s="73">
        <f>HEX2DEC("0D")</f>
        <v>13</v>
      </c>
      <c r="E1356" s="76" t="str">
        <f t="array" ref="E1356">INDEX(Moves!$B$2:'Moves'!$B$177, SUM(HEX2DEC("1B"),1), 1)</f>
        <v>Thunder Wave</v>
      </c>
      <c r="F1356" s="21">
        <v>8</v>
      </c>
      <c r="G1356" s="20" t="str">
        <f>VLOOKUP(F1356, TMHM!$B$10:$C1519, 2, FALSE)</f>
        <v>Charm</v>
      </c>
      <c r="H1356" s="21"/>
      <c r="I1356" s="25"/>
      <c r="J1356" s="30"/>
    </row>
    <row r="1357" spans="1:10" x14ac:dyDescent="0.2">
      <c r="A1357" s="120"/>
      <c r="B1357" s="73">
        <f>HEX2DEC("19")</f>
        <v>25</v>
      </c>
      <c r="C1357" s="76" t="str">
        <f t="array" ref="C1357">INDEX(Moves!$B$2:'Moves'!$B$177, SUM(HEX2DEC("71"),1), 1)</f>
        <v>Agility</v>
      </c>
      <c r="D1357" s="73">
        <f>HEX2DEC("19")</f>
        <v>25</v>
      </c>
      <c r="E1357" s="76" t="str">
        <f t="array" ref="E1357">INDEX(Moves!$B$2:'Moves'!$B$177, SUM(HEX2DEC("71"),1), 1)</f>
        <v>Agility</v>
      </c>
      <c r="F1357" s="21">
        <v>24</v>
      </c>
      <c r="G1357" s="20" t="str">
        <f>VLOOKUP(F1357, TMHM!$B$10:$C1519, 2, FALSE)</f>
        <v>Thunderbolt</v>
      </c>
      <c r="H1357" s="21"/>
      <c r="I1357" s="25"/>
      <c r="J1357" s="30"/>
    </row>
    <row r="1358" spans="1:10" x14ac:dyDescent="0.2">
      <c r="A1358" s="120"/>
      <c r="B1358" s="48">
        <f>HEX2DEC("25")</f>
        <v>37</v>
      </c>
      <c r="C1358" s="23" t="str">
        <f t="array" ref="C1358">INDEX(Moves!$B$2:'Moves'!$B$177, SUM(HEX2DEC("14"),1), 1)</f>
        <v>Shock Wave</v>
      </c>
      <c r="D1358" s="48">
        <f>HEX2DEC("25")</f>
        <v>37</v>
      </c>
      <c r="E1358" s="23" t="s">
        <v>212</v>
      </c>
      <c r="F1358" s="21">
        <v>25</v>
      </c>
      <c r="G1358" s="20" t="str">
        <f>VLOOKUP(F1358, TMHM!$B$10:$C1519, 2, FALSE)</f>
        <v>Thunder</v>
      </c>
      <c r="H1358" s="21"/>
      <c r="I1358" s="25"/>
      <c r="J1358" s="30"/>
    </row>
    <row r="1359" spans="1:10" x14ac:dyDescent="0.2">
      <c r="A1359" s="120"/>
      <c r="B1359" s="73">
        <f>HEX2DEC("31")</f>
        <v>49</v>
      </c>
      <c r="C1359" s="76" t="str">
        <f t="array" ref="C1359">INDEX(Moves!$B$2:'Moves'!$B$177, SUM(HEX2DEC("61"),1), 1)</f>
        <v>Drill Peck</v>
      </c>
      <c r="D1359" s="73">
        <f>HEX2DEC("31")</f>
        <v>49</v>
      </c>
      <c r="E1359" s="76" t="str">
        <f t="array" ref="E1359">INDEX(Moves!$B$2:'Moves'!$B$177, SUM(HEX2DEC("61"),1), 1)</f>
        <v>Drill Peck</v>
      </c>
      <c r="F1359" s="21">
        <v>32</v>
      </c>
      <c r="G1359" s="20" t="str">
        <f>VLOOKUP(F1359, TMHM!$B$10:$C1519, 2, FALSE)</f>
        <v>Double Team</v>
      </c>
      <c r="H1359" s="21"/>
      <c r="I1359" s="25"/>
      <c r="J1359" s="30"/>
    </row>
    <row r="1360" spans="1:10" x14ac:dyDescent="0.2">
      <c r="A1360" s="120"/>
      <c r="B1360" s="48">
        <f>HEX2DEC("3D")</f>
        <v>61</v>
      </c>
      <c r="C1360" s="23" t="str">
        <f t="array" ref="C1360">INDEX(Moves!$B$2:'Moves'!$B$177, SUM(HEX2DEC("64"),1), 1)</f>
        <v>Sky Attack</v>
      </c>
      <c r="D1360" s="48">
        <f>HEX2DEC("3D")</f>
        <v>61</v>
      </c>
      <c r="E1360" s="23" t="s">
        <v>68</v>
      </c>
      <c r="F1360" s="21">
        <v>34</v>
      </c>
      <c r="G1360" s="20" t="str">
        <f>VLOOKUP(F1360, TMHM!$B$10:$C1519, 2, FALSE)</f>
        <v>Shock Wave</v>
      </c>
      <c r="H1360" s="21"/>
      <c r="I1360" s="25"/>
      <c r="J1360" s="30"/>
    </row>
    <row r="1361" spans="1:10" x14ac:dyDescent="0.2">
      <c r="A1361" s="120"/>
      <c r="B1361" s="73">
        <f>HEX2DEC("49")</f>
        <v>73</v>
      </c>
      <c r="C1361" s="76" t="str">
        <f t="array" ref="C1361">INDEX(Moves!$B$2:'Moves'!$B$177, SUM(HEX2DEC("1A"),1), 1)</f>
        <v>Thunder</v>
      </c>
      <c r="D1361" s="73">
        <f>HEX2DEC("49")</f>
        <v>73</v>
      </c>
      <c r="E1361" s="76" t="str">
        <f t="array" ref="E1361">INDEX(Moves!$B$2:'Moves'!$B$177, SUM(HEX2DEC("1A"),1), 1)</f>
        <v>Thunder</v>
      </c>
      <c r="F1361" s="21"/>
      <c r="H1361" s="21"/>
      <c r="I1361" s="25"/>
      <c r="J1361" s="30"/>
    </row>
    <row r="1362" spans="1:10" x14ac:dyDescent="0.2">
      <c r="A1362" s="121" t="s">
        <v>272</v>
      </c>
      <c r="B1362" s="70">
        <f>HEX2DEC("00")</f>
        <v>0</v>
      </c>
      <c r="C1362" s="71" t="str">
        <f t="array" ref="C1362">INDEX(Moves!$B$2:'Moves'!$B$177, SUM(HEX2DEC("5E"),1), 1)</f>
        <v>Wing Attack</v>
      </c>
      <c r="D1362" s="70">
        <f t="shared" ref="D1362:D1363" si="110">HEX2DEC("01")</f>
        <v>1</v>
      </c>
      <c r="E1362" s="71" t="str">
        <f t="array" ref="E1362">INDEX(Moves!$B$2:'Moves'!$B$177, SUM(HEX2DEC("5E"),1), 1)</f>
        <v>Wing Attack</v>
      </c>
      <c r="F1362" s="41">
        <v>1</v>
      </c>
      <c r="G1362" s="12" t="str">
        <f>VLOOKUP(F1362, TMHM!$B$10:$C1519, 2, FALSE)</f>
        <v>Focus Punch</v>
      </c>
      <c r="H1362" s="13">
        <v>2</v>
      </c>
      <c r="I1362" s="14" t="str">
        <f>VLOOKUP(H1362, TMHM!$B$2:$C$7, 2, FALSE)</f>
        <v>Fly</v>
      </c>
      <c r="J1362" s="30"/>
    </row>
    <row r="1363" spans="1:10" x14ac:dyDescent="0.2">
      <c r="A1363" s="120"/>
      <c r="B1363" s="73">
        <f>HEX2DEC("04")</f>
        <v>4</v>
      </c>
      <c r="C1363" s="76" t="str">
        <f t="array" ref="C1363">INDEX(Moves!$B$2:'Moves'!$B$177, SUM(HEX2DEC("00"),1), 1)</f>
        <v>Ember</v>
      </c>
      <c r="D1363" s="43">
        <f t="shared" si="110"/>
        <v>1</v>
      </c>
      <c r="E1363" s="76" t="str">
        <f t="array" ref="E1363">INDEX(Moves!$B$2:'Moves'!$B$177, SUM(HEX2DEC("00"),1), 1)</f>
        <v>Ember</v>
      </c>
      <c r="F1363" s="21">
        <v>2</v>
      </c>
      <c r="G1363" s="20" t="str">
        <f>VLOOKUP(F1363, TMHM!$B$10:$C1519, 2, FALSE)</f>
        <v>Dragon Claw</v>
      </c>
      <c r="H1363" s="21"/>
      <c r="I1363" s="25"/>
      <c r="J1363" s="30"/>
    </row>
    <row r="1364" spans="1:10" x14ac:dyDescent="0.2">
      <c r="A1364" s="120"/>
      <c r="B1364" s="48">
        <f>HEX2DEC("0D")</f>
        <v>13</v>
      </c>
      <c r="C1364" s="23" t="str">
        <f t="array" ref="C1364">INDEX(Moves!$B$2:'Moves'!$B$177, SUM(HEX2DEC("01"),1), 1)</f>
        <v>Flame Wheel</v>
      </c>
      <c r="D1364" s="48">
        <f>HEX2DEC("0D")</f>
        <v>13</v>
      </c>
      <c r="E1364" s="23" t="s">
        <v>30</v>
      </c>
      <c r="F1364" s="21">
        <v>5</v>
      </c>
      <c r="G1364" s="20" t="str">
        <f>VLOOKUP(F1364, TMHM!$B$10:$C1519, 2, FALSE)</f>
        <v>Roar</v>
      </c>
      <c r="H1364" s="21"/>
      <c r="I1364" s="25"/>
      <c r="J1364" s="30"/>
    </row>
    <row r="1365" spans="1:10" x14ac:dyDescent="0.2">
      <c r="A1365" s="120"/>
      <c r="B1365" s="73">
        <f>HEX2DEC("19")</f>
        <v>25</v>
      </c>
      <c r="C1365" s="76" t="str">
        <f t="array" ref="C1365">INDEX(Moves!$B$2:'Moves'!$B$177, SUM(HEX2DEC("71"),1), 1)</f>
        <v>Agility</v>
      </c>
      <c r="D1365" s="73">
        <f>HEX2DEC("19")</f>
        <v>25</v>
      </c>
      <c r="E1365" s="76" t="str">
        <f t="array" ref="E1365">INDEX(Moves!$B$2:'Moves'!$B$177, SUM(HEX2DEC("71"),1), 1)</f>
        <v>Agility</v>
      </c>
      <c r="F1365" s="21">
        <v>21</v>
      </c>
      <c r="G1365" s="20" t="str">
        <f>VLOOKUP(F1365, TMHM!$B$10:$C1519, 2, FALSE)</f>
        <v>Recover</v>
      </c>
      <c r="H1365" s="21"/>
      <c r="I1365" s="25"/>
      <c r="J1365" s="30"/>
    </row>
    <row r="1366" spans="1:10" x14ac:dyDescent="0.2">
      <c r="A1366" s="120"/>
      <c r="B1366" s="48">
        <f>HEX2DEC("25")</f>
        <v>37</v>
      </c>
      <c r="C1366" s="23" t="str">
        <f t="array" ref="C1366">INDEX(Moves!$B$2:'Moves'!$B$177, SUM(HEX2DEC("A0"),1), 1)</f>
        <v>Growl</v>
      </c>
      <c r="D1366" s="48">
        <f>HEX2DEC("25")</f>
        <v>37</v>
      </c>
      <c r="E1366" s="23" t="s">
        <v>206</v>
      </c>
      <c r="F1366" s="21">
        <v>27</v>
      </c>
      <c r="G1366" s="20" t="str">
        <f>VLOOKUP(F1366, TMHM!$B$10:$C1519, 2, FALSE)</f>
        <v>Fire Punch</v>
      </c>
      <c r="H1366" s="21"/>
      <c r="I1366" s="25"/>
      <c r="J1366" s="30"/>
    </row>
    <row r="1367" spans="1:10" x14ac:dyDescent="0.2">
      <c r="A1367" s="120"/>
      <c r="B1367" s="73">
        <f>HEX2DEC("31")</f>
        <v>49</v>
      </c>
      <c r="C1367" s="76" t="str">
        <f t="array" ref="C1367">INDEX(Moves!$B$2:'Moves'!$B$177, SUM(HEX2DEC("03"),1), 1)</f>
        <v>Flamethrower</v>
      </c>
      <c r="D1367" s="73">
        <f>HEX2DEC("31")</f>
        <v>49</v>
      </c>
      <c r="E1367" s="76" t="str">
        <f t="array" ref="E1367">INDEX(Moves!$B$2:'Moves'!$B$177, SUM(HEX2DEC("03"),1), 1)</f>
        <v>Flamethrower</v>
      </c>
      <c r="F1367" s="21">
        <v>37</v>
      </c>
      <c r="G1367" s="20" t="str">
        <f>VLOOKUP(F1367, TMHM!$B$10:$C1519, 2, FALSE)</f>
        <v>Aerial Ace</v>
      </c>
      <c r="H1367" s="21"/>
      <c r="I1367" s="25"/>
      <c r="J1367" s="30"/>
    </row>
    <row r="1368" spans="1:10" x14ac:dyDescent="0.2">
      <c r="A1368" s="120"/>
      <c r="B1368" s="48">
        <f>HEX2DEC("3D")</f>
        <v>61</v>
      </c>
      <c r="C1368" s="23" t="str">
        <f t="array" ref="C1368">INDEX(Moves!$B$2:'Moves'!$B$177, SUM(HEX2DEC("62"),1), 1)</f>
        <v>Bounce</v>
      </c>
      <c r="D1368" s="48">
        <f>HEX2DEC("3D")</f>
        <v>61</v>
      </c>
      <c r="E1368" s="23" t="s">
        <v>44</v>
      </c>
      <c r="F1368" s="21">
        <v>38</v>
      </c>
      <c r="G1368" s="20" t="str">
        <f>VLOOKUP(F1368, TMHM!$B$10:$C1519, 2, FALSE)</f>
        <v>Fire Blast</v>
      </c>
      <c r="H1368" s="21"/>
      <c r="I1368" s="25"/>
      <c r="J1368" s="30"/>
    </row>
    <row r="1369" spans="1:10" x14ac:dyDescent="0.2">
      <c r="A1369" s="120"/>
      <c r="B1369" s="50">
        <f>HEX2DEC("49")</f>
        <v>73</v>
      </c>
      <c r="C1369" s="51" t="str">
        <f t="array" ref="C1369">INDEX(Moves!$B$2:'Moves'!$B$177, SUM(HEX2DEC("63"),1), 1)</f>
        <v>Aeroblast</v>
      </c>
      <c r="D1369" s="50">
        <f>HEX2DEC("49")</f>
        <v>73</v>
      </c>
      <c r="E1369" s="51" t="s">
        <v>273</v>
      </c>
      <c r="F1369" s="21"/>
      <c r="H1369" s="21"/>
      <c r="I1369" s="25"/>
      <c r="J1369" s="30"/>
    </row>
    <row r="1370" spans="1:10" x14ac:dyDescent="0.2">
      <c r="A1370" s="121" t="s">
        <v>274</v>
      </c>
      <c r="B1370" s="61">
        <f>HEX2DEC("00")</f>
        <v>0</v>
      </c>
      <c r="C1370" s="62" t="str">
        <f t="array" ref="C1370">INDEX(Moves!$B$2:'Moves'!$B$177, SUM(HEX2DEC("89"),1), 1)</f>
        <v>Tackle</v>
      </c>
      <c r="D1370" s="61">
        <f t="shared" ref="D1370:D1371" si="111">HEX2DEC("01")</f>
        <v>1</v>
      </c>
      <c r="E1370" s="62" t="s">
        <v>142</v>
      </c>
      <c r="F1370" s="41">
        <v>2</v>
      </c>
      <c r="G1370" s="12" t="str">
        <f>VLOOKUP(F1370, TMHM!$B$10:$C1519, 2, FALSE)</f>
        <v>Dragon Claw</v>
      </c>
      <c r="H1370" s="13">
        <v>3</v>
      </c>
      <c r="I1370" s="14" t="str">
        <f>VLOOKUP(H1370, TMHM!$B$2:$C$7, 2, FALSE)</f>
        <v>Surf</v>
      </c>
      <c r="J1370" s="30"/>
    </row>
    <row r="1371" spans="1:10" x14ac:dyDescent="0.2">
      <c r="A1371" s="120"/>
      <c r="B1371" s="43">
        <f>HEX2DEC("02")</f>
        <v>2</v>
      </c>
      <c r="C1371" s="23" t="str">
        <f t="array" ref="C1371">INDEX(Moves!$B$2:'Moves'!$B$177, SUM(HEX2DEC("A0"),1), 1)</f>
        <v>Growl</v>
      </c>
      <c r="D1371" s="43">
        <f t="shared" si="111"/>
        <v>1</v>
      </c>
      <c r="E1371" s="23" t="s">
        <v>59</v>
      </c>
      <c r="F1371" s="21">
        <v>3</v>
      </c>
      <c r="G1371" s="20" t="str">
        <f>VLOOKUP(F1371, TMHM!$B$10:$C1519, 2, FALSE)</f>
        <v>Water Pulse</v>
      </c>
      <c r="H1371" s="21"/>
      <c r="I1371" s="25"/>
      <c r="J1371" s="30"/>
    </row>
    <row r="1372" spans="1:10" x14ac:dyDescent="0.2">
      <c r="A1372" s="120"/>
      <c r="B1372" s="73">
        <f>HEX2DEC("08")</f>
        <v>8</v>
      </c>
      <c r="C1372" s="76" t="str">
        <f t="array" ref="C1372">INDEX(Moves!$B$2:'Moves'!$B$177, SUM(HEX2DEC("1B"),1), 1)</f>
        <v>Thunder Wave</v>
      </c>
      <c r="D1372" s="73">
        <f>HEX2DEC("08")</f>
        <v>8</v>
      </c>
      <c r="E1372" s="76" t="str">
        <f t="array" ref="E1372">INDEX(Moves!$B$2:'Moves'!$B$177, SUM(HEX2DEC("1B"),1), 1)</f>
        <v>Thunder Wave</v>
      </c>
      <c r="F1372" s="21">
        <v>10</v>
      </c>
      <c r="G1372" s="20" t="str">
        <f>VLOOKUP(F1372, TMHM!$B$10:$C1519, 2, FALSE)</f>
        <v>Bite</v>
      </c>
      <c r="H1372" s="21"/>
      <c r="I1372" s="25"/>
      <c r="J1372" s="30"/>
    </row>
    <row r="1373" spans="1:10" x14ac:dyDescent="0.2">
      <c r="A1373" s="120"/>
      <c r="B1373" s="73">
        <f>HEX2DEC("0F")</f>
        <v>15</v>
      </c>
      <c r="C1373" s="76" t="str">
        <f t="array" ref="C1373">INDEX(Moves!$B$2:'Moves'!$B$177, SUM(HEX2DEC("78"),1), 1)</f>
        <v>Twister</v>
      </c>
      <c r="D1373" s="73">
        <f>HEX2DEC("0F")</f>
        <v>15</v>
      </c>
      <c r="E1373" s="76" t="str">
        <f t="array" ref="E1373">INDEX(Moves!$B$2:'Moves'!$B$177, SUM(HEX2DEC("78"),1), 1)</f>
        <v>Twister</v>
      </c>
      <c r="F1373" s="21">
        <v>11</v>
      </c>
      <c r="G1373" s="20" t="str">
        <f>VLOOKUP(F1373, TMHM!$B$10:$C1519, 2, FALSE)</f>
        <v>Bubblebeam</v>
      </c>
      <c r="H1373" s="21"/>
      <c r="I1373" s="25"/>
      <c r="J1373" s="30"/>
    </row>
    <row r="1374" spans="1:10" x14ac:dyDescent="0.2">
      <c r="A1374" s="120"/>
      <c r="B1374" s="73">
        <f>HEX2DEC("16")</f>
        <v>22</v>
      </c>
      <c r="C1374" s="76" t="str">
        <f t="array" ref="C1374">INDEX(Moves!$B$2:'Moves'!$B$177, SUM(HEX2DEC("79"),1), 1)</f>
        <v>Dragon Rage</v>
      </c>
      <c r="D1374" s="73">
        <f>HEX2DEC("16")</f>
        <v>22</v>
      </c>
      <c r="E1374" s="76" t="str">
        <f t="array" ref="E1374">INDEX(Moves!$B$2:'Moves'!$B$177, SUM(HEX2DEC("79"),1), 1)</f>
        <v>Dragon Rage</v>
      </c>
      <c r="F1374" s="21">
        <v>13</v>
      </c>
      <c r="G1374" s="20" t="str">
        <f>VLOOKUP(F1374, TMHM!$B$10:$C1519, 2, FALSE)</f>
        <v>Ice Beam</v>
      </c>
      <c r="H1374" s="21"/>
      <c r="I1374" s="25"/>
      <c r="J1374" s="30"/>
    </row>
    <row r="1375" spans="1:10" x14ac:dyDescent="0.2">
      <c r="A1375" s="120"/>
      <c r="B1375" s="48">
        <f>HEX2DEC("1D")</f>
        <v>29</v>
      </c>
      <c r="C1375" s="23" t="str">
        <f t="array" ref="C1375">INDEX(Moves!$B$2:'Moves'!$B$177, SUM(HEX2DEC("8B"),1), 1)</f>
        <v>Scratch</v>
      </c>
      <c r="D1375" s="48">
        <f>HEX2DEC("1D")</f>
        <v>29</v>
      </c>
      <c r="E1375" s="23" t="s">
        <v>67</v>
      </c>
      <c r="F1375" s="21">
        <v>14</v>
      </c>
      <c r="G1375" s="20" t="str">
        <f>VLOOKUP(F1375, TMHM!$B$10:$C1519, 2, FALSE)</f>
        <v>Blizzard</v>
      </c>
      <c r="H1375" s="21"/>
      <c r="I1375" s="25"/>
      <c r="J1375" s="30"/>
    </row>
    <row r="1376" spans="1:10" x14ac:dyDescent="0.2">
      <c r="A1376" s="120"/>
      <c r="B1376" s="73">
        <f>HEX2DEC("24")</f>
        <v>36</v>
      </c>
      <c r="C1376" s="76" t="str">
        <f t="array" ref="C1376">INDEX(Moves!$B$2:'Moves'!$B$177, SUM(HEX2DEC("71"),1), 1)</f>
        <v>Agility</v>
      </c>
      <c r="D1376" s="73">
        <f>HEX2DEC("24")</f>
        <v>36</v>
      </c>
      <c r="E1376" s="76" t="str">
        <f t="array" ref="E1376">INDEX(Moves!$B$2:'Moves'!$B$177, SUM(HEX2DEC("71"),1), 1)</f>
        <v>Agility</v>
      </c>
      <c r="F1376" s="21">
        <v>24</v>
      </c>
      <c r="G1376" s="20" t="str">
        <f>VLOOKUP(F1376, TMHM!$B$10:$C1519, 2, FALSE)</f>
        <v>Thunderbolt</v>
      </c>
      <c r="H1376" s="21"/>
      <c r="I1376" s="25"/>
      <c r="J1376" s="30"/>
    </row>
    <row r="1377" spans="1:10" x14ac:dyDescent="0.2">
      <c r="A1377" s="120"/>
      <c r="B1377" s="48">
        <f>HEX2DEC("2B")</f>
        <v>43</v>
      </c>
      <c r="C1377" s="23" t="str">
        <f t="array" ref="C1377">INDEX(Moves!$B$2:'Moves'!$B$177, SUM(HEX2DEC("7B"),1), 1)</f>
        <v>Dragon Claw</v>
      </c>
      <c r="D1377" s="48">
        <f>HEX2DEC("2B")</f>
        <v>43</v>
      </c>
      <c r="E1377" s="23" t="s">
        <v>44</v>
      </c>
      <c r="F1377" s="21">
        <v>25</v>
      </c>
      <c r="G1377" s="20" t="str">
        <f>VLOOKUP(F1377, TMHM!$B$10:$C1519, 2, FALSE)</f>
        <v>Thunder</v>
      </c>
      <c r="H1377" s="21"/>
      <c r="I1377" s="25"/>
      <c r="J1377" s="30"/>
    </row>
    <row r="1378" spans="1:10" x14ac:dyDescent="0.2">
      <c r="A1378" s="120"/>
      <c r="B1378" s="73">
        <f>HEX2DEC("32")</f>
        <v>50</v>
      </c>
      <c r="C1378" s="76" t="str">
        <f t="array" ref="C1378">INDEX(Moves!$B$2:'Moves'!$B$177, SUM(HEX2DEC("7C"),1), 1)</f>
        <v>Outrage</v>
      </c>
      <c r="D1378" s="73">
        <f>HEX2DEC("32")</f>
        <v>50</v>
      </c>
      <c r="E1378" s="76" t="str">
        <f t="array" ref="E1378">INDEX(Moves!$B$2:'Moves'!$B$177, SUM(HEX2DEC("7C"),1), 1)</f>
        <v>Outrage</v>
      </c>
      <c r="F1378" s="21"/>
      <c r="H1378" s="21"/>
      <c r="I1378" s="25"/>
      <c r="J1378" s="30"/>
    </row>
    <row r="1379" spans="1:10" x14ac:dyDescent="0.2">
      <c r="A1379" s="120"/>
      <c r="B1379" s="73">
        <f>HEX2DEC("39")</f>
        <v>57</v>
      </c>
      <c r="C1379" s="76" t="str">
        <f t="array" ref="C1379">INDEX(Moves!$B$2:'Moves'!$B$177, SUM(HEX2DEC("97"),1), 1)</f>
        <v>Hyper Beam</v>
      </c>
      <c r="D1379" s="73">
        <f>HEX2DEC("39")</f>
        <v>57</v>
      </c>
      <c r="E1379" s="76" t="str">
        <f t="array" ref="E1379">INDEX(Moves!$B$2:'Moves'!$B$177, SUM(HEX2DEC("97"),1), 1)</f>
        <v>Hyper Beam</v>
      </c>
      <c r="F1379" s="21"/>
      <c r="H1379" s="21"/>
      <c r="I1379" s="25"/>
      <c r="J1379" s="30"/>
    </row>
    <row r="1380" spans="1:10" x14ac:dyDescent="0.2">
      <c r="A1380" s="121" t="s">
        <v>275</v>
      </c>
      <c r="B1380" s="61">
        <f>HEX2DEC("00")</f>
        <v>0</v>
      </c>
      <c r="C1380" s="62" t="str">
        <f t="array" ref="C1380">INDEX(Moves!$B$2:'Moves'!$B$177, SUM(HEX2DEC("89"),1), 1)</f>
        <v>Tackle</v>
      </c>
      <c r="D1380" s="61">
        <f t="shared" ref="D1380:D1383" si="112">HEX2DEC("01")</f>
        <v>1</v>
      </c>
      <c r="E1380" s="62" t="s">
        <v>142</v>
      </c>
      <c r="F1380" s="41">
        <v>2</v>
      </c>
      <c r="G1380" s="12" t="str">
        <f>VLOOKUP(F1380, TMHM!$B$10:$C1519, 2, FALSE)</f>
        <v>Dragon Claw</v>
      </c>
      <c r="H1380" s="13">
        <v>3</v>
      </c>
      <c r="I1380" s="14" t="str">
        <f>VLOOKUP(H1380, TMHM!$B$2:$C$7, 2, FALSE)</f>
        <v>Surf</v>
      </c>
      <c r="J1380" s="30"/>
    </row>
    <row r="1381" spans="1:10" x14ac:dyDescent="0.2">
      <c r="A1381" s="120"/>
      <c r="B1381" s="43">
        <f>HEX2DEC("02")</f>
        <v>2</v>
      </c>
      <c r="C1381" s="23" t="str">
        <f t="array" ref="C1381">INDEX(Moves!$B$2:'Moves'!$B$177, SUM(HEX2DEC("A0"),1), 1)</f>
        <v>Growl</v>
      </c>
      <c r="D1381" s="43">
        <f t="shared" si="112"/>
        <v>1</v>
      </c>
      <c r="E1381" s="23" t="s">
        <v>59</v>
      </c>
      <c r="F1381" s="21">
        <v>3</v>
      </c>
      <c r="G1381" s="20" t="str">
        <f>VLOOKUP(F1381, TMHM!$B$10:$C1519, 2, FALSE)</f>
        <v>Water Pulse</v>
      </c>
      <c r="H1381" s="21">
        <v>4</v>
      </c>
      <c r="I1381" s="20" t="str">
        <f>VLOOKUP(H1381, TMHM!$B$2:$C$7, 2, FALSE)</f>
        <v>Strength</v>
      </c>
      <c r="J1381" s="30"/>
    </row>
    <row r="1382" spans="1:10" x14ac:dyDescent="0.2">
      <c r="A1382" s="120"/>
      <c r="B1382" s="34"/>
      <c r="C1382" s="35"/>
      <c r="D1382" s="34">
        <f t="shared" si="112"/>
        <v>1</v>
      </c>
      <c r="E1382" s="35" t="str">
        <f t="array" ref="E1382">INDEX(Moves!$B$2:'Moves'!$B$177, SUM(HEX2DEC("1B"),1), 1)</f>
        <v>Thunder Wave</v>
      </c>
      <c r="F1382" s="21">
        <v>10</v>
      </c>
      <c r="G1382" s="20" t="str">
        <f>VLOOKUP(F1382, TMHM!$B$10:$C1519, 2, FALSE)</f>
        <v>Bite</v>
      </c>
      <c r="H1382" s="21"/>
      <c r="I1382" s="25"/>
      <c r="J1382" s="30"/>
    </row>
    <row r="1383" spans="1:10" x14ac:dyDescent="0.2">
      <c r="A1383" s="120"/>
      <c r="B1383" s="34"/>
      <c r="C1383" s="35"/>
      <c r="D1383" s="34">
        <f t="shared" si="112"/>
        <v>1</v>
      </c>
      <c r="E1383" s="35" t="str">
        <f t="array" ref="E1383">INDEX(Moves!$B$2:'Moves'!$B$177, SUM(HEX2DEC("78"),1), 1)</f>
        <v>Twister</v>
      </c>
      <c r="F1383" s="21">
        <v>11</v>
      </c>
      <c r="G1383" s="20" t="str">
        <f>VLOOKUP(F1383, TMHM!$B$10:$C1519, 2, FALSE)</f>
        <v>Bubblebeam</v>
      </c>
      <c r="H1383" s="21"/>
      <c r="I1383" s="25"/>
      <c r="J1383" s="30"/>
    </row>
    <row r="1384" spans="1:10" x14ac:dyDescent="0.2">
      <c r="A1384" s="120"/>
      <c r="B1384" s="73">
        <f>HEX2DEC("08")</f>
        <v>8</v>
      </c>
      <c r="C1384" s="76" t="str">
        <f t="array" ref="C1384">INDEX(Moves!$B$2:'Moves'!$B$177, SUM(HEX2DEC("1B"),1), 1)</f>
        <v>Thunder Wave</v>
      </c>
      <c r="D1384" s="73">
        <f>HEX2DEC("08")</f>
        <v>8</v>
      </c>
      <c r="E1384" s="76" t="str">
        <f t="array" ref="E1384">INDEX(Moves!$B$2:'Moves'!$B$177, SUM(HEX2DEC("1B"),1), 1)</f>
        <v>Thunder Wave</v>
      </c>
      <c r="F1384" s="21">
        <v>13</v>
      </c>
      <c r="G1384" s="20" t="str">
        <f>VLOOKUP(F1384, TMHM!$B$10:$C1519, 2, FALSE)</f>
        <v>Ice Beam</v>
      </c>
      <c r="H1384" s="21"/>
      <c r="I1384" s="25"/>
      <c r="J1384" s="30"/>
    </row>
    <row r="1385" spans="1:10" x14ac:dyDescent="0.2">
      <c r="A1385" s="120"/>
      <c r="B1385" s="73">
        <f>HEX2DEC("0F")</f>
        <v>15</v>
      </c>
      <c r="C1385" s="76" t="str">
        <f t="array" ref="C1385">INDEX(Moves!$B$2:'Moves'!$B$177, SUM(HEX2DEC("78"),1), 1)</f>
        <v>Twister</v>
      </c>
      <c r="D1385" s="73">
        <f>HEX2DEC("0F")</f>
        <v>15</v>
      </c>
      <c r="E1385" s="76" t="str">
        <f t="array" ref="E1385">INDEX(Moves!$B$2:'Moves'!$B$177, SUM(HEX2DEC("78"),1), 1)</f>
        <v>Twister</v>
      </c>
      <c r="F1385" s="21">
        <v>14</v>
      </c>
      <c r="G1385" s="20" t="str">
        <f>VLOOKUP(F1385, TMHM!$B$10:$C1519, 2, FALSE)</f>
        <v>Blizzard</v>
      </c>
      <c r="H1385" s="21"/>
      <c r="I1385" s="25"/>
      <c r="J1385" s="30"/>
    </row>
    <row r="1386" spans="1:10" x14ac:dyDescent="0.2">
      <c r="A1386" s="120"/>
      <c r="B1386" s="73">
        <f>HEX2DEC("16")</f>
        <v>22</v>
      </c>
      <c r="C1386" s="76" t="str">
        <f t="array" ref="C1386">INDEX(Moves!$B$2:'Moves'!$B$177, SUM(HEX2DEC("79"),1), 1)</f>
        <v>Dragon Rage</v>
      </c>
      <c r="D1386" s="73">
        <f>HEX2DEC("16")</f>
        <v>22</v>
      </c>
      <c r="E1386" s="76" t="str">
        <f t="array" ref="E1386">INDEX(Moves!$B$2:'Moves'!$B$177, SUM(HEX2DEC("79"),1), 1)</f>
        <v>Dragon Rage</v>
      </c>
      <c r="F1386" s="21">
        <v>24</v>
      </c>
      <c r="G1386" s="20" t="str">
        <f>VLOOKUP(F1386, TMHM!$B$10:$C1519, 2, FALSE)</f>
        <v>Thunderbolt</v>
      </c>
      <c r="H1386" s="21"/>
      <c r="I1386" s="25"/>
      <c r="J1386" s="30"/>
    </row>
    <row r="1387" spans="1:10" x14ac:dyDescent="0.2">
      <c r="A1387" s="120"/>
      <c r="B1387" s="48">
        <f>HEX2DEC("1D")</f>
        <v>29</v>
      </c>
      <c r="C1387" s="23" t="str">
        <f t="array" ref="C1387">INDEX(Moves!$B$2:'Moves'!$B$177, SUM(HEX2DEC("8B"),1), 1)</f>
        <v>Scratch</v>
      </c>
      <c r="D1387" s="48">
        <f>HEX2DEC("1D")</f>
        <v>29</v>
      </c>
      <c r="E1387" s="23" t="s">
        <v>67</v>
      </c>
      <c r="F1387" s="21">
        <v>25</v>
      </c>
      <c r="G1387" s="20" t="str">
        <f>VLOOKUP(F1387, TMHM!$B$10:$C1519, 2, FALSE)</f>
        <v>Thunder</v>
      </c>
      <c r="H1387" s="21"/>
      <c r="I1387" s="25"/>
      <c r="J1387" s="30"/>
    </row>
    <row r="1388" spans="1:10" x14ac:dyDescent="0.2">
      <c r="A1388" s="120"/>
      <c r="B1388" s="73">
        <f>HEX2DEC("26")</f>
        <v>38</v>
      </c>
      <c r="C1388" s="76" t="str">
        <f t="array" ref="C1388">INDEX(Moves!$B$2:'Moves'!$B$177, SUM(HEX2DEC("71"),1), 1)</f>
        <v>Agility</v>
      </c>
      <c r="D1388" s="73">
        <f>HEX2DEC("24")</f>
        <v>36</v>
      </c>
      <c r="E1388" s="76" t="str">
        <f t="array" ref="E1388">INDEX(Moves!$B$2:'Moves'!$B$177, SUM(HEX2DEC("71"),1), 1)</f>
        <v>Agility</v>
      </c>
      <c r="F1388" s="21"/>
      <c r="H1388" s="21"/>
      <c r="I1388" s="25"/>
      <c r="J1388" s="30"/>
    </row>
    <row r="1389" spans="1:10" x14ac:dyDescent="0.2">
      <c r="A1389" s="120"/>
      <c r="B1389" s="48">
        <f>HEX2DEC("2F")</f>
        <v>47</v>
      </c>
      <c r="C1389" s="23" t="str">
        <f t="array" ref="C1389">INDEX(Moves!$B$2:'Moves'!$B$177, SUM(HEX2DEC("7B"),1), 1)</f>
        <v>Dragon Claw</v>
      </c>
      <c r="D1389" s="48">
        <f>HEX2DEC("2B")</f>
        <v>43</v>
      </c>
      <c r="E1389" s="23" t="s">
        <v>44</v>
      </c>
      <c r="F1389" s="21"/>
      <c r="H1389" s="21"/>
      <c r="I1389" s="25"/>
      <c r="J1389" s="30"/>
    </row>
    <row r="1390" spans="1:10" x14ac:dyDescent="0.2">
      <c r="A1390" s="120"/>
      <c r="B1390" s="73">
        <f>HEX2DEC("38")</f>
        <v>56</v>
      </c>
      <c r="C1390" s="76" t="str">
        <f t="array" ref="C1390">INDEX(Moves!$B$2:'Moves'!$B$177, SUM(HEX2DEC("7C"),1), 1)</f>
        <v>Outrage</v>
      </c>
      <c r="D1390" s="73">
        <f>HEX2DEC("32")</f>
        <v>50</v>
      </c>
      <c r="E1390" s="76" t="str">
        <f t="array" ref="E1390">INDEX(Moves!$B$2:'Moves'!$B$177, SUM(HEX2DEC("7C"),1), 1)</f>
        <v>Outrage</v>
      </c>
      <c r="F1390" s="21"/>
      <c r="H1390" s="21"/>
      <c r="I1390" s="25"/>
      <c r="J1390" s="30"/>
    </row>
    <row r="1391" spans="1:10" x14ac:dyDescent="0.2">
      <c r="A1391" s="120"/>
      <c r="B1391" s="73">
        <f>HEX2DEC("41")</f>
        <v>65</v>
      </c>
      <c r="C1391" s="76" t="str">
        <f t="array" ref="C1391">INDEX(Moves!$B$2:'Moves'!$B$177, SUM(HEX2DEC("97"),1), 1)</f>
        <v>Hyper Beam</v>
      </c>
      <c r="D1391" s="73">
        <f>HEX2DEC("39")</f>
        <v>57</v>
      </c>
      <c r="E1391" s="76" t="str">
        <f t="array" ref="E1391">INDEX(Moves!$B$2:'Moves'!$B$177, SUM(HEX2DEC("97"),1), 1)</f>
        <v>Hyper Beam</v>
      </c>
      <c r="F1391" s="21"/>
      <c r="H1391" s="21"/>
      <c r="I1391" s="25"/>
      <c r="J1391" s="30"/>
    </row>
    <row r="1392" spans="1:10" x14ac:dyDescent="0.2">
      <c r="A1392" s="121" t="s">
        <v>276</v>
      </c>
      <c r="B1392" s="61">
        <f>HEX2DEC("00")</f>
        <v>0</v>
      </c>
      <c r="C1392" s="62" t="str">
        <f t="array" ref="C1392">INDEX(Moves!$B$2:'Moves'!$B$177, SUM(HEX2DEC("89"),1), 1)</f>
        <v>Tackle</v>
      </c>
      <c r="D1392" s="61">
        <f t="shared" ref="D1392:D1395" si="113">HEX2DEC("01")</f>
        <v>1</v>
      </c>
      <c r="E1392" s="62" t="s">
        <v>142</v>
      </c>
      <c r="F1392" s="41">
        <v>2</v>
      </c>
      <c r="G1392" s="12" t="str">
        <f>VLOOKUP(F1392, TMHM!$B$10:$C1519, 2, FALSE)</f>
        <v>Dragon Claw</v>
      </c>
      <c r="H1392" s="13">
        <v>2</v>
      </c>
      <c r="I1392" s="14" t="str">
        <f>VLOOKUP(H1392, TMHM!$B$2:$C$7, 2, FALSE)</f>
        <v>Fly</v>
      </c>
      <c r="J1392" s="30"/>
    </row>
    <row r="1393" spans="1:10" x14ac:dyDescent="0.2">
      <c r="A1393" s="120"/>
      <c r="B1393" s="43">
        <f>HEX2DEC("02")</f>
        <v>2</v>
      </c>
      <c r="C1393" s="23" t="str">
        <f t="array" ref="C1393">INDEX(Moves!$B$2:'Moves'!$B$177, SUM(HEX2DEC("A0"),1), 1)</f>
        <v>Growl</v>
      </c>
      <c r="D1393" s="43">
        <f t="shared" si="113"/>
        <v>1</v>
      </c>
      <c r="E1393" s="23" t="s">
        <v>59</v>
      </c>
      <c r="F1393" s="21">
        <v>3</v>
      </c>
      <c r="G1393" s="20" t="str">
        <f>VLOOKUP(F1393, TMHM!$B$10:$C1519, 2, FALSE)</f>
        <v>Water Pulse</v>
      </c>
      <c r="H1393" s="21">
        <v>3</v>
      </c>
      <c r="I1393" s="20" t="str">
        <f>VLOOKUP(H1393, TMHM!$B$2:$C$7, 2, FALSE)</f>
        <v>Surf</v>
      </c>
      <c r="J1393" s="30"/>
    </row>
    <row r="1394" spans="1:10" x14ac:dyDescent="0.2">
      <c r="A1394" s="120"/>
      <c r="B1394" s="34"/>
      <c r="C1394" s="35"/>
      <c r="D1394" s="34">
        <f t="shared" si="113"/>
        <v>1</v>
      </c>
      <c r="E1394" s="35" t="str">
        <f t="array" ref="E1394">INDEX(Moves!$B$2:'Moves'!$B$177, SUM(HEX2DEC("1B"),1), 1)</f>
        <v>Thunder Wave</v>
      </c>
      <c r="F1394" s="21">
        <v>10</v>
      </c>
      <c r="G1394" s="20" t="str">
        <f>VLOOKUP(F1394, TMHM!$B$10:$C1519, 2, FALSE)</f>
        <v>Bite</v>
      </c>
      <c r="H1394" s="21">
        <v>4</v>
      </c>
      <c r="I1394" s="20" t="str">
        <f>VLOOKUP(H1394, TMHM!$B$2:$C$7, 2, FALSE)</f>
        <v>Strength</v>
      </c>
      <c r="J1394" s="30"/>
    </row>
    <row r="1395" spans="1:10" x14ac:dyDescent="0.2">
      <c r="A1395" s="120"/>
      <c r="B1395" s="34"/>
      <c r="C1395" s="35"/>
      <c r="D1395" s="34">
        <f t="shared" si="113"/>
        <v>1</v>
      </c>
      <c r="E1395" s="35" t="str">
        <f t="array" ref="E1395">INDEX(Moves!$B$2:'Moves'!$B$177, SUM(HEX2DEC("78"),1), 1)</f>
        <v>Twister</v>
      </c>
      <c r="F1395" s="21">
        <v>11</v>
      </c>
      <c r="G1395" s="20" t="str">
        <f>VLOOKUP(F1395, TMHM!$B$10:$C1519, 2, FALSE)</f>
        <v>Bubblebeam</v>
      </c>
      <c r="H1395" s="21"/>
      <c r="I1395" s="25"/>
      <c r="J1395" s="30"/>
    </row>
    <row r="1396" spans="1:10" x14ac:dyDescent="0.2">
      <c r="A1396" s="120"/>
      <c r="B1396" s="73">
        <f>HEX2DEC("08")</f>
        <v>8</v>
      </c>
      <c r="C1396" s="76" t="str">
        <f t="array" ref="C1396">INDEX(Moves!$B$2:'Moves'!$B$177, SUM(HEX2DEC("1B"),1), 1)</f>
        <v>Thunder Wave</v>
      </c>
      <c r="D1396" s="73">
        <f>HEX2DEC("08")</f>
        <v>8</v>
      </c>
      <c r="E1396" s="76" t="str">
        <f t="array" ref="E1396">INDEX(Moves!$B$2:'Moves'!$B$177, SUM(HEX2DEC("1B"),1), 1)</f>
        <v>Thunder Wave</v>
      </c>
      <c r="F1396" s="21">
        <v>13</v>
      </c>
      <c r="G1396" s="20" t="str">
        <f>VLOOKUP(F1396, TMHM!$B$10:$C1519, 2, FALSE)</f>
        <v>Ice Beam</v>
      </c>
      <c r="H1396" s="21"/>
      <c r="I1396" s="25"/>
      <c r="J1396" s="30"/>
    </row>
    <row r="1397" spans="1:10" x14ac:dyDescent="0.2">
      <c r="A1397" s="120"/>
      <c r="B1397" s="73">
        <f>HEX2DEC("0F")</f>
        <v>15</v>
      </c>
      <c r="C1397" s="76" t="str">
        <f t="array" ref="C1397">INDEX(Moves!$B$2:'Moves'!$B$177, SUM(HEX2DEC("78"),1), 1)</f>
        <v>Twister</v>
      </c>
      <c r="D1397" s="73">
        <f>HEX2DEC("0F")</f>
        <v>15</v>
      </c>
      <c r="E1397" s="76" t="str">
        <f t="array" ref="E1397">INDEX(Moves!$B$2:'Moves'!$B$177, SUM(HEX2DEC("78"),1), 1)</f>
        <v>Twister</v>
      </c>
      <c r="F1397" s="21">
        <v>14</v>
      </c>
      <c r="G1397" s="20" t="str">
        <f>VLOOKUP(F1397, TMHM!$B$10:$C1519, 2, FALSE)</f>
        <v>Blizzard</v>
      </c>
      <c r="H1397" s="21"/>
      <c r="I1397" s="25"/>
      <c r="J1397" s="30"/>
    </row>
    <row r="1398" spans="1:10" x14ac:dyDescent="0.2">
      <c r="A1398" s="120"/>
      <c r="B1398" s="73">
        <f>HEX2DEC("16")</f>
        <v>22</v>
      </c>
      <c r="C1398" s="76" t="str">
        <f t="array" ref="C1398">INDEX(Moves!$B$2:'Moves'!$B$177, SUM(HEX2DEC("79"),1), 1)</f>
        <v>Dragon Rage</v>
      </c>
      <c r="D1398" s="73">
        <f>HEX2DEC("16")</f>
        <v>22</v>
      </c>
      <c r="E1398" s="76" t="str">
        <f t="array" ref="E1398">INDEX(Moves!$B$2:'Moves'!$B$177, SUM(HEX2DEC("79"),1), 1)</f>
        <v>Dragon Rage</v>
      </c>
      <c r="F1398" s="21">
        <v>15</v>
      </c>
      <c r="G1398" s="20" t="str">
        <f>VLOOKUP(F1398, TMHM!$B$10:$C1519, 2, FALSE)</f>
        <v>Hyper Beam</v>
      </c>
      <c r="H1398" s="21"/>
      <c r="I1398" s="25"/>
      <c r="J1398" s="30"/>
    </row>
    <row r="1399" spans="1:10" x14ac:dyDescent="0.2">
      <c r="A1399" s="120"/>
      <c r="B1399" s="48">
        <f>HEX2DEC("1D")</f>
        <v>29</v>
      </c>
      <c r="C1399" s="23" t="str">
        <f t="array" ref="C1399">INDEX(Moves!$B$2:'Moves'!$B$177, SUM(HEX2DEC("8B"),1), 1)</f>
        <v>Scratch</v>
      </c>
      <c r="D1399" s="48">
        <f>HEX2DEC("1D")</f>
        <v>29</v>
      </c>
      <c r="E1399" s="23" t="s">
        <v>67</v>
      </c>
      <c r="F1399" s="21">
        <v>24</v>
      </c>
      <c r="G1399" s="20" t="str">
        <f>VLOOKUP(F1399, TMHM!$B$10:$C1519, 2, FALSE)</f>
        <v>Thunderbolt</v>
      </c>
      <c r="H1399" s="21"/>
      <c r="I1399" s="25"/>
      <c r="J1399" s="30"/>
    </row>
    <row r="1400" spans="1:10" x14ac:dyDescent="0.2">
      <c r="A1400" s="120"/>
      <c r="B1400" s="73">
        <f>HEX2DEC("26")</f>
        <v>38</v>
      </c>
      <c r="C1400" s="76" t="str">
        <f t="array" ref="C1400">INDEX(Moves!$B$2:'Moves'!$B$177, SUM(HEX2DEC("71"),1), 1)</f>
        <v>Agility</v>
      </c>
      <c r="D1400" s="73">
        <f>HEX2DEC("24")</f>
        <v>36</v>
      </c>
      <c r="E1400" s="76" t="str">
        <f t="array" ref="E1400">INDEX(Moves!$B$2:'Moves'!$B$177, SUM(HEX2DEC("71"),1), 1)</f>
        <v>Agility</v>
      </c>
      <c r="F1400" s="21">
        <v>25</v>
      </c>
      <c r="G1400" s="20" t="str">
        <f>VLOOKUP(F1400, TMHM!$B$10:$C1519, 2, FALSE)</f>
        <v>Thunder</v>
      </c>
      <c r="H1400" s="21"/>
      <c r="I1400" s="25"/>
      <c r="J1400" s="30"/>
    </row>
    <row r="1401" spans="1:10" x14ac:dyDescent="0.2">
      <c r="A1401" s="120"/>
      <c r="B1401" s="48">
        <f>HEX2DEC("2F")</f>
        <v>47</v>
      </c>
      <c r="C1401" s="23" t="str">
        <f t="array" ref="C1401">INDEX(Moves!$B$2:'Moves'!$B$177, SUM(HEX2DEC("7B"),1), 1)</f>
        <v>Dragon Claw</v>
      </c>
      <c r="D1401" s="48">
        <f>HEX2DEC("2B")</f>
        <v>43</v>
      </c>
      <c r="E1401" s="23" t="s">
        <v>44</v>
      </c>
      <c r="F1401" s="21">
        <v>37</v>
      </c>
      <c r="G1401" s="20" t="str">
        <f>VLOOKUP(F1401, TMHM!$B$10:$C1519, 2, FALSE)</f>
        <v>Aerial Ace</v>
      </c>
      <c r="H1401" s="21"/>
      <c r="I1401" s="25"/>
      <c r="J1401" s="30"/>
    </row>
    <row r="1402" spans="1:10" x14ac:dyDescent="0.2">
      <c r="A1402" s="120"/>
      <c r="B1402" s="73">
        <f>HEX2DEC("37")</f>
        <v>55</v>
      </c>
      <c r="C1402" s="76" t="str">
        <f t="array" ref="C1402">INDEX(Moves!$B$2:'Moves'!$B$177, SUM(HEX2DEC("5E"),1), 1)</f>
        <v>Wing Attack</v>
      </c>
      <c r="D1402" s="73">
        <f>HEX2DEC("37")</f>
        <v>55</v>
      </c>
      <c r="E1402" s="76" t="str">
        <f t="array" ref="E1402">INDEX(Moves!$B$2:'Moves'!$B$177, SUM(HEX2DEC("5E"),1), 1)</f>
        <v>Wing Attack</v>
      </c>
      <c r="F1402" s="21"/>
      <c r="H1402" s="21"/>
      <c r="I1402" s="25"/>
      <c r="J1402" s="30"/>
    </row>
    <row r="1403" spans="1:10" x14ac:dyDescent="0.2">
      <c r="A1403" s="120"/>
      <c r="B1403" s="73">
        <f>HEX2DEC("3D")</f>
        <v>61</v>
      </c>
      <c r="C1403" s="76" t="str">
        <f t="array" ref="C1403">INDEX(Moves!$B$2:'Moves'!$B$177, SUM(HEX2DEC("7C"),1), 1)</f>
        <v>Outrage</v>
      </c>
      <c r="D1403" s="73">
        <f>HEX2DEC("3D")</f>
        <v>61</v>
      </c>
      <c r="E1403" s="76" t="str">
        <f t="array" ref="E1403">INDEX(Moves!$B$2:'Moves'!$B$177, SUM(HEX2DEC("7C"),1), 1)</f>
        <v>Outrage</v>
      </c>
      <c r="F1403" s="21"/>
      <c r="H1403" s="21"/>
      <c r="I1403" s="25"/>
      <c r="J1403" s="30"/>
    </row>
    <row r="1404" spans="1:10" x14ac:dyDescent="0.2">
      <c r="A1404" s="120"/>
      <c r="B1404" s="73">
        <f>HEX2DEC("4B")</f>
        <v>75</v>
      </c>
      <c r="C1404" s="76" t="str">
        <f t="array" ref="C1404">INDEX(Moves!$B$2:'Moves'!$B$177, SUM(HEX2DEC("97"),1), 1)</f>
        <v>Hyper Beam</v>
      </c>
      <c r="D1404" s="73">
        <f>HEX2DEC("4B")</f>
        <v>75</v>
      </c>
      <c r="E1404" s="76" t="str">
        <f t="array" ref="E1404">INDEX(Moves!$B$2:'Moves'!$B$177, SUM(HEX2DEC("97"),1), 1)</f>
        <v>Hyper Beam</v>
      </c>
      <c r="F1404" s="21"/>
      <c r="H1404" s="21"/>
      <c r="I1404" s="25"/>
      <c r="J1404" s="30"/>
    </row>
    <row r="1405" spans="1:10" x14ac:dyDescent="0.2">
      <c r="A1405" s="121" t="s">
        <v>277</v>
      </c>
      <c r="B1405" s="70">
        <f>HEX2DEC("00")</f>
        <v>0</v>
      </c>
      <c r="C1405" s="71" t="str">
        <f t="array" ref="C1405">INDEX(Moves!$B$2:'Moves'!$B$177, SUM(HEX2DEC("65"),1), 1)</f>
        <v>Confusion</v>
      </c>
      <c r="D1405" s="70">
        <f t="shared" ref="D1405:D1406" si="114">HEX2DEC("01")</f>
        <v>1</v>
      </c>
      <c r="E1405" s="71" t="str">
        <f t="array" ref="E1405">INDEX(Moves!$B$2:'Moves'!$B$177, SUM(HEX2DEC("65"),1), 1)</f>
        <v>Confusion</v>
      </c>
      <c r="F1405" s="41">
        <v>2</v>
      </c>
      <c r="G1405" s="12" t="str">
        <f>VLOOKUP(F1405, TMHM!$B$10:$C1519, 2, FALSE)</f>
        <v>Dragon Claw</v>
      </c>
      <c r="H1405" s="13">
        <v>4</v>
      </c>
      <c r="I1405" s="14" t="str">
        <f>VLOOKUP(H1405, TMHM!$B$2:$C$7, 2, FALSE)</f>
        <v>Strength</v>
      </c>
      <c r="J1405" s="30"/>
    </row>
    <row r="1406" spans="1:10" x14ac:dyDescent="0.2">
      <c r="A1406" s="120"/>
      <c r="B1406" s="43">
        <f>HEX2DEC("02")</f>
        <v>2</v>
      </c>
      <c r="C1406" s="76" t="str">
        <f t="array" ref="C1406">INDEX(Moves!$B$2:'Moves'!$B$177, SUM(HEX2DEC("66"),1), 1)</f>
        <v>Psybeam</v>
      </c>
      <c r="D1406" s="43">
        <f t="shared" si="114"/>
        <v>1</v>
      </c>
      <c r="E1406" s="76" t="s">
        <v>94</v>
      </c>
      <c r="F1406" s="21">
        <v>3</v>
      </c>
      <c r="G1406" s="20" t="str">
        <f>VLOOKUP(F1406, TMHM!$B$10:$C1519, 2, FALSE)</f>
        <v>Water Pulse</v>
      </c>
      <c r="H1406" s="21">
        <v>5</v>
      </c>
      <c r="I1406" s="20" t="str">
        <f>VLOOKUP(H1406, TMHM!$B$2:$C$7, 2, FALSE)</f>
        <v>Flash</v>
      </c>
      <c r="J1406" s="30"/>
    </row>
    <row r="1407" spans="1:10" x14ac:dyDescent="0.2">
      <c r="A1407" s="120"/>
      <c r="B1407" s="48">
        <f>HEX2DEC("0B")</f>
        <v>11</v>
      </c>
      <c r="C1407" s="23" t="str">
        <f t="array" ref="C1407">INDEX(Moves!$B$2:'Moves'!$B$177, SUM(HEX2DEC("97"),1), 1)</f>
        <v>Hyper Beam</v>
      </c>
      <c r="D1407" s="48">
        <f>HEX2DEC("0B")</f>
        <v>11</v>
      </c>
      <c r="E1407" s="23" t="s">
        <v>147</v>
      </c>
      <c r="F1407" s="21">
        <v>4</v>
      </c>
      <c r="G1407" s="20" t="str">
        <f>VLOOKUP(F1407, TMHM!$B$10:$C1519, 2, FALSE)</f>
        <v>Calm Mind</v>
      </c>
      <c r="H1407" s="21"/>
      <c r="I1407" s="25"/>
      <c r="J1407" s="30"/>
    </row>
    <row r="1408" spans="1:10" x14ac:dyDescent="0.2">
      <c r="A1408" s="120"/>
      <c r="B1408" s="73">
        <f>HEX2DEC("16")</f>
        <v>22</v>
      </c>
      <c r="C1408" s="76" t="str">
        <f t="array" ref="C1408">INDEX(Moves!$B$2:'Moves'!$B$177, SUM(HEX2DEC("90"),1), 1)</f>
        <v>Swift</v>
      </c>
      <c r="D1408" s="73">
        <f>HEX2DEC("16")</f>
        <v>22</v>
      </c>
      <c r="E1408" s="76" t="str">
        <f t="array" ref="E1408">INDEX(Moves!$B$2:'Moves'!$B$177, SUM(HEX2DEC("90"),1), 1)</f>
        <v>Swift</v>
      </c>
      <c r="F1408" s="21">
        <v>5</v>
      </c>
      <c r="G1408" s="20" t="str">
        <f>VLOOKUP(F1408, TMHM!$B$10:$C1519, 2, FALSE)</f>
        <v>Roar</v>
      </c>
      <c r="H1408" s="21"/>
      <c r="I1408" s="25"/>
      <c r="J1408" s="30"/>
    </row>
    <row r="1409" spans="1:10" x14ac:dyDescent="0.2">
      <c r="A1409" s="120"/>
      <c r="B1409" s="48">
        <f>HEX2DEC("21")</f>
        <v>33</v>
      </c>
      <c r="C1409" s="23" t="str">
        <f t="array" ref="C1409">INDEX(Moves!$B$2:'Moves'!$B$177, SUM(HEX2DEC("85"),1), 1)</f>
        <v>Meteor Mash</v>
      </c>
      <c r="D1409" s="48">
        <f>HEX2DEC("21")</f>
        <v>33</v>
      </c>
      <c r="E1409" s="23" t="s">
        <v>118</v>
      </c>
      <c r="F1409" s="21">
        <v>13</v>
      </c>
      <c r="G1409" s="20" t="str">
        <f>VLOOKUP(F1409, TMHM!$B$10:$C1519, 2, FALSE)</f>
        <v>Ice Beam</v>
      </c>
      <c r="H1409" s="21"/>
      <c r="I1409" s="25"/>
      <c r="J1409" s="30"/>
    </row>
    <row r="1410" spans="1:10" x14ac:dyDescent="0.2">
      <c r="A1410" s="120"/>
      <c r="B1410" s="73">
        <f>HEX2DEC("2C")</f>
        <v>44</v>
      </c>
      <c r="C1410" s="76" t="str">
        <f t="array" ref="C1410">INDEX(Moves!$B$2:'Moves'!$B$177, SUM(HEX2DEC("69"),1), 1)</f>
        <v>Future Sight</v>
      </c>
      <c r="D1410" s="73">
        <f>HEX2DEC("2C")</f>
        <v>44</v>
      </c>
      <c r="E1410" s="76" t="str">
        <f t="array" ref="E1410">INDEX(Moves!$B$2:'Moves'!$B$177, SUM(HEX2DEC("69"),1), 1)</f>
        <v>Future Sight</v>
      </c>
      <c r="F1410" s="21">
        <v>14</v>
      </c>
      <c r="G1410" s="20" t="str">
        <f>VLOOKUP(F1410, TMHM!$B$10:$C1519, 2, FALSE)</f>
        <v>Blizzard</v>
      </c>
      <c r="H1410" s="21"/>
      <c r="I1410" s="25"/>
      <c r="J1410" s="30"/>
    </row>
    <row r="1411" spans="1:10" x14ac:dyDescent="0.2">
      <c r="A1411" s="120"/>
      <c r="B1411" s="48">
        <f>HEX2DEC("37")</f>
        <v>55</v>
      </c>
      <c r="C1411" s="23" t="str">
        <f t="array" ref="C1411">INDEX(Moves!$B$2:'Moves'!$B$177, SUM(HEX2DEC("77"),1), 1)</f>
        <v>Confuse Ray</v>
      </c>
      <c r="D1411" s="48">
        <f>HEX2DEC("37")</f>
        <v>55</v>
      </c>
      <c r="E1411" s="23" t="s">
        <v>254</v>
      </c>
      <c r="F1411" s="21">
        <v>15</v>
      </c>
      <c r="G1411" s="20" t="str">
        <f>VLOOKUP(F1411, TMHM!$B$10:$C1519, 2, FALSE)</f>
        <v>Hyper Beam</v>
      </c>
      <c r="H1411" s="21"/>
      <c r="I1411" s="25"/>
      <c r="J1411" s="30"/>
    </row>
    <row r="1412" spans="1:10" x14ac:dyDescent="0.2">
      <c r="A1412" s="120"/>
      <c r="B1412" s="73">
        <f>HEX2DEC("42")</f>
        <v>66</v>
      </c>
      <c r="C1412" s="76" t="str">
        <f t="array" ref="C1412">INDEX(Moves!$B$2:'Moves'!$B$177, SUM(HEX2DEC("6A"),1), 1)</f>
        <v>Psychic</v>
      </c>
      <c r="D1412" s="73">
        <f>HEX2DEC("42")</f>
        <v>66</v>
      </c>
      <c r="E1412" s="76" t="str">
        <f t="array" ref="E1412">INDEX(Moves!$B$2:'Moves'!$B$177, SUM(HEX2DEC("6A"),1), 1)</f>
        <v>Psychic</v>
      </c>
      <c r="F1412" s="21">
        <v>21</v>
      </c>
      <c r="G1412" s="20" t="str">
        <f>VLOOKUP(F1412, TMHM!$B$10:$C1519, 2, FALSE)</f>
        <v>Recover</v>
      </c>
      <c r="H1412" s="21"/>
      <c r="I1412" s="25"/>
      <c r="J1412" s="30"/>
    </row>
    <row r="1413" spans="1:10" x14ac:dyDescent="0.2">
      <c r="A1413" s="120"/>
      <c r="B1413" s="48">
        <f>HEX2DEC("4D")</f>
        <v>77</v>
      </c>
      <c r="C1413" s="23" t="str">
        <f t="array" ref="C1413">INDEX(Moves!$B$2:'Moves'!$B$177, SUM(HEX2DEC("68"),1), 1)</f>
        <v>Extrasensory</v>
      </c>
      <c r="D1413" s="48">
        <f>HEX2DEC("4D")</f>
        <v>77</v>
      </c>
      <c r="E1413" s="23" t="s">
        <v>160</v>
      </c>
      <c r="F1413" s="21">
        <v>24</v>
      </c>
      <c r="G1413" s="20" t="str">
        <f>VLOOKUP(F1413, TMHM!$B$10:$C1519, 2, FALSE)</f>
        <v>Thunderbolt</v>
      </c>
      <c r="H1413" s="21"/>
      <c r="I1413" s="25"/>
      <c r="J1413" s="30"/>
    </row>
    <row r="1414" spans="1:10" x14ac:dyDescent="0.2">
      <c r="A1414" s="120"/>
      <c r="B1414" s="73">
        <f>HEX2DEC(58)</f>
        <v>88</v>
      </c>
      <c r="C1414" s="76" t="str">
        <f t="array" ref="C1414">INDEX(Moves!$B$2:'Moves'!$B$177, SUM(HEX2DEC("A9"),1), 1)</f>
        <v>Recover</v>
      </c>
      <c r="D1414" s="73">
        <f>HEX2DEC(58)</f>
        <v>88</v>
      </c>
      <c r="E1414" s="76" t="str">
        <f t="array" ref="E1414">INDEX(Moves!$B$2:'Moves'!$B$177, SUM(HEX2DEC("A9"),1), 1)</f>
        <v>Recover</v>
      </c>
      <c r="F1414" s="21">
        <v>25</v>
      </c>
      <c r="G1414" s="20" t="str">
        <f>VLOOKUP(F1414, TMHM!$B$10:$C1519, 2, FALSE)</f>
        <v>Thunder</v>
      </c>
      <c r="H1414" s="21"/>
      <c r="I1414" s="25"/>
      <c r="J1414" s="30"/>
    </row>
    <row r="1415" spans="1:10" x14ac:dyDescent="0.2">
      <c r="A1415" s="120"/>
      <c r="B1415" s="48">
        <f>HEX2DEC("63")</f>
        <v>99</v>
      </c>
      <c r="C1415" s="23" t="str">
        <f t="array" ref="C1415">INDEX(Moves!$B$2:'Moves'!$B$177, SUM(HEX2DEC("6C"),1), 1)</f>
        <v>Psycho Boost</v>
      </c>
      <c r="D1415" s="48">
        <f>HEX2DEC("63")</f>
        <v>99</v>
      </c>
      <c r="E1415" s="23" t="s">
        <v>44</v>
      </c>
      <c r="F1415" s="21">
        <v>40</v>
      </c>
      <c r="G1415" s="20" t="str">
        <f>VLOOKUP(F1415, TMHM!$B$10:$C1519, 2, FALSE)</f>
        <v>Psychic</v>
      </c>
      <c r="H1415" s="21"/>
      <c r="I1415" s="25"/>
      <c r="J1415" s="30"/>
    </row>
    <row r="1416" spans="1:10" x14ac:dyDescent="0.2">
      <c r="A1416" s="121" t="s">
        <v>278</v>
      </c>
      <c r="B1416" s="70">
        <f>HEX2DEC("00")</f>
        <v>0</v>
      </c>
      <c r="C1416" s="71" t="str">
        <f t="array" ref="C1416">INDEX(Moves!$B$2:'Moves'!$B$177, SUM(HEX2DEC("89"),1), 1)</f>
        <v>Tackle</v>
      </c>
      <c r="D1416" s="70">
        <f>HEX2DEC("00")</f>
        <v>0</v>
      </c>
      <c r="E1416" s="71" t="str">
        <f t="array" ref="E1416">INDEX(Moves!$B$2:'Moves'!$B$177, SUM(HEX2DEC("89"),1), 1)</f>
        <v>Tackle</v>
      </c>
      <c r="F1416" s="83">
        <v>2</v>
      </c>
      <c r="G1416" s="84" t="str">
        <f>VLOOKUP(F1416, TMHM!$B$10:$C1519, 2, FALSE)</f>
        <v>Dragon Claw</v>
      </c>
      <c r="H1416" s="85">
        <v>1</v>
      </c>
      <c r="I1416" s="86" t="str">
        <f>VLOOKUP(H1416, TMHM!$B$2:$C$7, 2, FALSE)</f>
        <v>Cut</v>
      </c>
      <c r="J1416" s="30"/>
    </row>
    <row r="1417" spans="1:10" x14ac:dyDescent="0.2">
      <c r="A1417" s="120"/>
      <c r="B1417" s="73">
        <f>HEX2DEC("0A")</f>
        <v>10</v>
      </c>
      <c r="C1417" s="76" t="str">
        <f t="array" ref="C1417">INDEX(Moves!$B$2:'Moves'!$B$177, SUM(HEX2DEC("AD"),1), 1)</f>
        <v>Transform</v>
      </c>
      <c r="D1417" s="73">
        <f>HEX2DEC("0A")</f>
        <v>10</v>
      </c>
      <c r="E1417" s="76" t="str">
        <f t="array" ref="E1417">INDEX(Moves!$B$2:'Moves'!$B$177, SUM(HEX2DEC("AD"),1), 1)</f>
        <v>Transform</v>
      </c>
      <c r="F1417" s="87">
        <v>3</v>
      </c>
      <c r="G1417" s="88" t="str">
        <f>VLOOKUP(F1417, TMHM!$B$10:$C1519, 2, FALSE)</f>
        <v>Water Pulse</v>
      </c>
      <c r="H1417" s="57">
        <v>2</v>
      </c>
      <c r="I1417" s="89" t="str">
        <f>VLOOKUP(H1417, TMHM!$B$2:$C$7, 2, FALSE)</f>
        <v>Fly</v>
      </c>
      <c r="J1417" s="30"/>
    </row>
    <row r="1418" spans="1:10" x14ac:dyDescent="0.2">
      <c r="A1418" s="120"/>
      <c r="B1418" s="48">
        <f>HEX2DEC("14")</f>
        <v>20</v>
      </c>
      <c r="C1418" s="23" t="str">
        <f t="array" ref="C1418">INDEX(Moves!$B$2:'Moves'!$B$177, SUM(HEX2DEC("90"),1), 1)</f>
        <v>Swift</v>
      </c>
      <c r="D1418" s="48">
        <f>HEX2DEC("14")</f>
        <v>20</v>
      </c>
      <c r="E1418" s="23" t="s">
        <v>211</v>
      </c>
      <c r="F1418" s="87">
        <v>4</v>
      </c>
      <c r="G1418" s="88" t="str">
        <f>VLOOKUP(F1418, TMHM!$B$10:$C1519, 2, FALSE)</f>
        <v>Calm Mind</v>
      </c>
      <c r="H1418" s="57">
        <v>3</v>
      </c>
      <c r="I1418" s="89" t="str">
        <f>VLOOKUP(H1418, TMHM!$B$2:$C$7, 2, FALSE)</f>
        <v>Surf</v>
      </c>
      <c r="J1418" s="30"/>
    </row>
    <row r="1419" spans="1:10" x14ac:dyDescent="0.2">
      <c r="A1419" s="120"/>
      <c r="B1419" s="48">
        <f>HEX2DEC("1E")</f>
        <v>30</v>
      </c>
      <c r="C1419" s="23" t="str">
        <f t="array" ref="C1419">INDEX(Moves!$B$2:'Moves'!$B$177, SUM(HEX2DEC("A9"),1), 1)</f>
        <v>Recover</v>
      </c>
      <c r="D1419" s="48">
        <f>HEX2DEC("1E")</f>
        <v>30</v>
      </c>
      <c r="E1419" s="23" t="s">
        <v>87</v>
      </c>
      <c r="F1419" s="87">
        <v>5</v>
      </c>
      <c r="G1419" s="88" t="str">
        <f>VLOOKUP(F1419, TMHM!$B$10:$C1519, 2, FALSE)</f>
        <v>Roar</v>
      </c>
      <c r="H1419" s="57">
        <v>4</v>
      </c>
      <c r="I1419" s="89" t="str">
        <f>VLOOKUP(H1419, TMHM!$B$2:$C$7, 2, FALSE)</f>
        <v>Strength</v>
      </c>
      <c r="J1419" s="30"/>
    </row>
    <row r="1420" spans="1:10" x14ac:dyDescent="0.2">
      <c r="A1420" s="120"/>
      <c r="B1420" s="73">
        <f>HEX2DEC("28")</f>
        <v>40</v>
      </c>
      <c r="C1420" s="76" t="str">
        <f t="array" ref="C1420">INDEX(Moves!$B$2:'Moves'!$B$177, SUM(HEX2DEC("6A"),1), 1)</f>
        <v>Psychic</v>
      </c>
      <c r="D1420" s="73">
        <f>HEX2DEC("28")</f>
        <v>40</v>
      </c>
      <c r="E1420" s="76" t="str">
        <f t="array" ref="E1420">INDEX(Moves!$B$2:'Moves'!$B$177, SUM(HEX2DEC("6A"),1), 1)</f>
        <v>Psychic</v>
      </c>
      <c r="F1420" s="87">
        <v>13</v>
      </c>
      <c r="G1420" s="88" t="str">
        <f>VLOOKUP(F1420, TMHM!$B$10:$C1519, 2, FALSE)</f>
        <v>Ice Beam</v>
      </c>
      <c r="H1420" s="57">
        <v>5</v>
      </c>
      <c r="I1420" s="89" t="str">
        <f>VLOOKUP(H1420, TMHM!$B$2:$C$7, 2, FALSE)</f>
        <v>Flash</v>
      </c>
      <c r="J1420" s="30"/>
    </row>
    <row r="1421" spans="1:10" x14ac:dyDescent="0.2">
      <c r="A1421" s="120"/>
      <c r="B1421" s="50">
        <f>HEX2DEC("32")</f>
        <v>50</v>
      </c>
      <c r="C1421" s="51" t="str">
        <f t="array" ref="C1421">INDEX(Moves!$B$2:'Moves'!$B$177, SUM(HEX2DEC("3B"),1), 1)</f>
        <v>Rock Slide</v>
      </c>
      <c r="D1421" s="50">
        <f>HEX2DEC("32")</f>
        <v>50</v>
      </c>
      <c r="E1421" s="51" t="str">
        <f t="array" ref="E1421">INDEX(Moves!$B$2:'Moves'!$B$177, SUM(HEX2DEC("3A"),1), 1)</f>
        <v>AncientPower</v>
      </c>
      <c r="F1421" s="87">
        <v>14</v>
      </c>
      <c r="G1421" s="88" t="str">
        <f>VLOOKUP(F1421, TMHM!$B$10:$C1519, 2, FALSE)</f>
        <v>Blizzard</v>
      </c>
      <c r="H1421" s="90"/>
      <c r="I1421" s="89"/>
      <c r="J1421" s="30"/>
    </row>
    <row r="1422" spans="1:10" x14ac:dyDescent="0.2">
      <c r="A1422" s="120"/>
      <c r="B1422" s="73"/>
      <c r="C1422" s="74"/>
      <c r="D1422" s="73"/>
      <c r="E1422" s="74"/>
      <c r="F1422" s="87">
        <v>15</v>
      </c>
      <c r="G1422" s="88" t="str">
        <f>VLOOKUP(F1422, TMHM!$B$10:$C1519, 2, FALSE)</f>
        <v>Hyper Beam</v>
      </c>
      <c r="H1422" s="90"/>
      <c r="I1422" s="89"/>
      <c r="J1422" s="30"/>
    </row>
    <row r="1423" spans="1:10" x14ac:dyDescent="0.2">
      <c r="A1423" s="120"/>
      <c r="B1423" s="73"/>
      <c r="C1423" s="74"/>
      <c r="D1423" s="73"/>
      <c r="E1423" s="74"/>
      <c r="F1423" s="87">
        <v>21</v>
      </c>
      <c r="G1423" s="88" t="str">
        <f>VLOOKUP(F1423, TMHM!$B$10:$C1519, 2, FALSE)</f>
        <v>Recover</v>
      </c>
      <c r="H1423" s="90"/>
      <c r="I1423" s="89"/>
      <c r="J1423" s="30"/>
    </row>
    <row r="1424" spans="1:10" x14ac:dyDescent="0.2">
      <c r="A1424" s="120"/>
      <c r="B1424" s="73"/>
      <c r="C1424" s="74"/>
      <c r="D1424" s="73"/>
      <c r="E1424" s="74"/>
      <c r="F1424" s="87">
        <v>24</v>
      </c>
      <c r="G1424" s="88" t="str">
        <f>VLOOKUP(F1424, TMHM!$B$10:$C1519, 2, FALSE)</f>
        <v>Thunderbolt</v>
      </c>
      <c r="H1424" s="90"/>
      <c r="I1424" s="89"/>
      <c r="J1424" s="30"/>
    </row>
    <row r="1425" spans="1:10" x14ac:dyDescent="0.2">
      <c r="A1425" s="120"/>
      <c r="B1425" s="73"/>
      <c r="C1425" s="74"/>
      <c r="D1425" s="73"/>
      <c r="E1425" s="74"/>
      <c r="F1425" s="87">
        <v>25</v>
      </c>
      <c r="G1425" s="88" t="str">
        <f>VLOOKUP(F1425, TMHM!$B$10:$C1519, 2, FALSE)</f>
        <v>Thunder</v>
      </c>
      <c r="H1425" s="90"/>
      <c r="I1425" s="89"/>
      <c r="J1425" s="30"/>
    </row>
    <row r="1426" spans="1:10" x14ac:dyDescent="0.2">
      <c r="A1426" s="120"/>
      <c r="B1426" s="73"/>
      <c r="C1426" s="74"/>
      <c r="D1426" s="73"/>
      <c r="E1426" s="74"/>
      <c r="F1426" s="11">
        <v>26</v>
      </c>
      <c r="G1426" s="88" t="str">
        <f>VLOOKUP(F1426, TMHM!$B$10:$C1519, 2, FALSE)</f>
        <v>Earthquake</v>
      </c>
      <c r="H1426" s="21"/>
      <c r="I1426" s="25"/>
      <c r="J1426" s="30"/>
    </row>
    <row r="1427" spans="1:10" x14ac:dyDescent="0.2">
      <c r="A1427" s="120"/>
      <c r="B1427" s="73"/>
      <c r="C1427" s="74"/>
      <c r="D1427" s="73"/>
      <c r="E1427" s="74"/>
      <c r="F1427" s="11">
        <v>38</v>
      </c>
      <c r="G1427" s="88" t="str">
        <f>VLOOKUP(F1427, TMHM!$B$10:$C1519, 2, FALSE)</f>
        <v>Fire Blast</v>
      </c>
      <c r="H1427" s="21"/>
      <c r="I1427" s="25"/>
      <c r="J1427" s="30"/>
    </row>
    <row r="1428" spans="1:10" x14ac:dyDescent="0.2">
      <c r="A1428" s="120"/>
      <c r="B1428" s="73"/>
      <c r="C1428" s="74"/>
      <c r="D1428" s="73"/>
      <c r="E1428" s="74"/>
      <c r="F1428" s="11">
        <v>40</v>
      </c>
      <c r="G1428" s="88" t="str">
        <f>VLOOKUP(F1428, TMHM!$B$10:$C1519, 2, FALSE)</f>
        <v>Psychic</v>
      </c>
      <c r="H1428" s="21"/>
      <c r="I1428" s="25"/>
      <c r="J1428" s="30"/>
    </row>
    <row r="1429" spans="1:10" x14ac:dyDescent="0.2">
      <c r="A1429" s="121" t="s">
        <v>279</v>
      </c>
      <c r="B1429" s="70">
        <f>HEX2DEC("00")</f>
        <v>0</v>
      </c>
      <c r="C1429" s="71" t="str">
        <f t="array" ref="C1429">INDEX(Moves!$B$2:'Moves'!$B$177, SUM(HEX2DEC("80"),1), 1)</f>
        <v>Bite</v>
      </c>
      <c r="D1429" s="70">
        <f t="shared" ref="D1429:D1430" si="115">HEX2DEC("01")</f>
        <v>1</v>
      </c>
      <c r="E1429" s="71" t="str">
        <f t="array" ref="E1429">INDEX(Moves!$B$2:'Moves'!$B$177, SUM(HEX2DEC("80"),1), 1)</f>
        <v>Bite</v>
      </c>
      <c r="F1429" s="83">
        <v>4</v>
      </c>
      <c r="G1429" s="84" t="str">
        <f>VLOOKUP(F1429, TMHM!$B$10:$C1519, 2, FALSE)</f>
        <v>Calm Mind</v>
      </c>
      <c r="H1429" s="85">
        <v>4</v>
      </c>
      <c r="I1429" s="86" t="str">
        <f>VLOOKUP(H1429, TMHM!$B$2:$C$7, 2, FALSE)</f>
        <v>Strength</v>
      </c>
      <c r="J1429" s="30"/>
    </row>
    <row r="1430" spans="1:10" x14ac:dyDescent="0.2">
      <c r="A1430" s="120"/>
      <c r="B1430" s="43">
        <f>HEX2DEC("02")</f>
        <v>2</v>
      </c>
      <c r="C1430" s="76" t="str">
        <f t="array" ref="C1430">INDEX(Moves!$B$2:'Moves'!$B$177, SUM(HEX2DEC("A0"),1), 1)</f>
        <v>Growl</v>
      </c>
      <c r="D1430" s="43">
        <f t="shared" si="115"/>
        <v>1</v>
      </c>
      <c r="E1430" s="76" t="str">
        <f t="array" ref="E1430">INDEX(Moves!$B$2:'Moves'!$B$177, SUM(HEX2DEC("A0"),1), 1)</f>
        <v>Growl</v>
      </c>
      <c r="F1430" s="87">
        <v>5</v>
      </c>
      <c r="G1430" s="88" t="str">
        <f>VLOOKUP(F1430, TMHM!$B$10:$C1519, 2, FALSE)</f>
        <v>Roar</v>
      </c>
      <c r="H1430" s="57">
        <v>5</v>
      </c>
      <c r="I1430" s="89" t="str">
        <f>VLOOKUP(H1430, TMHM!$B$2:$C$7, 2, FALSE)</f>
        <v>Flash</v>
      </c>
      <c r="J1430" s="30"/>
    </row>
    <row r="1431" spans="1:10" x14ac:dyDescent="0.2">
      <c r="A1431" s="120"/>
      <c r="B1431" s="73">
        <f>HEX2DEC("0B")</f>
        <v>11</v>
      </c>
      <c r="C1431" s="76" t="str">
        <f t="array" ref="C1431">INDEX(Moves!$B$2:'Moves'!$B$177, SUM(HEX2DEC("13"),1), 1)</f>
        <v>Thundershock</v>
      </c>
      <c r="D1431" s="73">
        <f>HEX2DEC("0B")</f>
        <v>11</v>
      </c>
      <c r="E1431" s="76" t="str">
        <f t="array" ref="E1431">INDEX(Moves!$B$2:'Moves'!$B$177, SUM(HEX2DEC("13"),1), 1)</f>
        <v>Thundershock</v>
      </c>
      <c r="F1431" s="21">
        <v>8</v>
      </c>
      <c r="G1431" s="88" t="str">
        <f>VLOOKUP(F1431, TMHM!$B$10:$C1519, 2, FALSE)</f>
        <v>Charm</v>
      </c>
      <c r="H1431" s="21"/>
      <c r="I1431" s="25"/>
      <c r="J1431" s="30"/>
    </row>
    <row r="1432" spans="1:10" x14ac:dyDescent="0.2">
      <c r="A1432" s="120"/>
      <c r="B1432" s="73">
        <f>HEX2DEC("15")</f>
        <v>21</v>
      </c>
      <c r="C1432" s="76" t="str">
        <f t="array" ref="C1432">INDEX(Moves!$B$2:'Moves'!$B$177, SUM(HEX2DEC("AB"),1), 1)</f>
        <v>Roar</v>
      </c>
      <c r="D1432" s="73">
        <f>HEX2DEC("15")</f>
        <v>21</v>
      </c>
      <c r="E1432" s="76" t="str">
        <f t="array" ref="E1432">INDEX(Moves!$B$2:'Moves'!$B$177, SUM(HEX2DEC("AB"),1), 1)</f>
        <v>Roar</v>
      </c>
      <c r="F1432" s="21">
        <v>24</v>
      </c>
      <c r="G1432" s="88" t="str">
        <f>VLOOKUP(F1432, TMHM!$B$10:$C1519, 2, FALSE)</f>
        <v>Thunderbolt</v>
      </c>
      <c r="H1432" s="21"/>
      <c r="I1432" s="25"/>
      <c r="J1432" s="30"/>
    </row>
    <row r="1433" spans="1:10" x14ac:dyDescent="0.2">
      <c r="A1433" s="120"/>
      <c r="B1433" s="73">
        <f>HEX2DEC("1F")</f>
        <v>31</v>
      </c>
      <c r="C1433" s="76" t="str">
        <f t="array" ref="C1433">INDEX(Moves!$B$2:'Moves'!$B$177, SUM(HEX2DEC("8C"),1), 1)</f>
        <v>Quick Attack</v>
      </c>
      <c r="D1433" s="73">
        <f>HEX2DEC("1F")</f>
        <v>31</v>
      </c>
      <c r="E1433" s="76" t="str">
        <f t="array" ref="E1433">INDEX(Moves!$B$2:'Moves'!$B$177, SUM(HEX2DEC("8C"),1), 1)</f>
        <v>Quick Attack</v>
      </c>
      <c r="F1433" s="21">
        <v>25</v>
      </c>
      <c r="G1433" s="88" t="str">
        <f>VLOOKUP(F1433, TMHM!$B$10:$C1519, 2, FALSE)</f>
        <v>Thunder</v>
      </c>
      <c r="H1433" s="21"/>
      <c r="I1433" s="25"/>
      <c r="J1433" s="30"/>
    </row>
    <row r="1434" spans="1:10" x14ac:dyDescent="0.2">
      <c r="A1434" s="120"/>
      <c r="B1434" s="50">
        <f>HEX2DEC("29")</f>
        <v>41</v>
      </c>
      <c r="C1434" s="51" t="str">
        <f t="array" ref="C1434">INDEX(Moves!$B$2:'Moves'!$B$177, SUM(HEX2DEC("A8"),1), 1)</f>
        <v>Double Team</v>
      </c>
      <c r="D1434" s="50">
        <f>HEX2DEC("29")</f>
        <v>41</v>
      </c>
      <c r="E1434" s="51" t="str">
        <f t="array" ref="E1434">INDEX(Moves!$B$2:'Moves'!$B$177, SUM(HEX2DEC("15"),1), 1)</f>
        <v>Spark</v>
      </c>
      <c r="F1434" s="21">
        <v>32</v>
      </c>
      <c r="G1434" s="88" t="str">
        <f>VLOOKUP(F1434, TMHM!$B$10:$C1519, 2, FALSE)</f>
        <v>Double Team</v>
      </c>
      <c r="H1434" s="21"/>
      <c r="I1434" s="25"/>
      <c r="J1434" s="30"/>
    </row>
    <row r="1435" spans="1:10" x14ac:dyDescent="0.2">
      <c r="A1435" s="120"/>
      <c r="B1435" s="48">
        <f>HEX2DEC("33")</f>
        <v>51</v>
      </c>
      <c r="C1435" s="23" t="str">
        <f t="array" ref="C1435">INDEX(Moves!$B$2:'Moves'!$B$177, SUM(HEX2DEC("19"),1), 1)</f>
        <v>Volt Tackle</v>
      </c>
      <c r="D1435" s="48">
        <f>HEX2DEC("33")</f>
        <v>51</v>
      </c>
      <c r="E1435" s="23" t="s">
        <v>135</v>
      </c>
      <c r="F1435" s="21">
        <v>34</v>
      </c>
      <c r="G1435" s="88" t="str">
        <f>VLOOKUP(F1435, TMHM!$B$10:$C1519, 2, FALSE)</f>
        <v>Shock Wave</v>
      </c>
      <c r="H1435" s="21"/>
      <c r="I1435" s="25"/>
      <c r="J1435" s="30"/>
    </row>
    <row r="1436" spans="1:10" x14ac:dyDescent="0.2">
      <c r="A1436" s="120"/>
      <c r="B1436" s="73">
        <f>HEX2DEC("3D")</f>
        <v>61</v>
      </c>
      <c r="C1436" s="76" t="str">
        <f t="array" ref="C1436">INDEX(Moves!$B$2:'Moves'!$B$177, SUM(HEX2DEC("81"),1), 1)</f>
        <v>Crunch</v>
      </c>
      <c r="D1436" s="73">
        <f>HEX2DEC("3D")</f>
        <v>61</v>
      </c>
      <c r="E1436" s="76" t="str">
        <f t="array" ref="E1436">INDEX(Moves!$B$2:'Moves'!$B$177, SUM(HEX2DEC("81"),1), 1)</f>
        <v>Crunch</v>
      </c>
      <c r="F1436" s="21"/>
      <c r="H1436" s="21"/>
      <c r="I1436" s="25"/>
      <c r="J1436" s="30"/>
    </row>
    <row r="1437" spans="1:10" x14ac:dyDescent="0.2">
      <c r="A1437" s="120"/>
      <c r="B1437" s="73">
        <f>HEX2DEC("47")</f>
        <v>71</v>
      </c>
      <c r="C1437" s="76" t="str">
        <f t="array" ref="C1437">INDEX(Moves!$B$2:'Moves'!$B$177, SUM(HEX2DEC("1A"),1), 1)</f>
        <v>Thunder</v>
      </c>
      <c r="D1437" s="73">
        <f>HEX2DEC("47")</f>
        <v>71</v>
      </c>
      <c r="E1437" s="76" t="str">
        <f t="array" ref="E1437">INDEX(Moves!$B$2:'Moves'!$B$177, SUM(HEX2DEC("1A"),1), 1)</f>
        <v>Thunder</v>
      </c>
      <c r="F1437" s="21"/>
      <c r="H1437" s="21"/>
      <c r="I1437" s="25"/>
      <c r="J1437" s="30"/>
    </row>
    <row r="1438" spans="1:10" x14ac:dyDescent="0.2">
      <c r="A1438" s="121" t="s">
        <v>280</v>
      </c>
      <c r="B1438" s="70">
        <f>HEX2DEC("00")</f>
        <v>0</v>
      </c>
      <c r="C1438" s="71" t="str">
        <f t="array" ref="C1438">INDEX(Moves!$B$2:'Moves'!$B$177, SUM(HEX2DEC("80"),1), 1)</f>
        <v>Bite</v>
      </c>
      <c r="D1438" s="70">
        <f t="shared" ref="D1438:D1439" si="116">HEX2DEC("01")</f>
        <v>1</v>
      </c>
      <c r="E1438" s="71" t="str">
        <f t="array" ref="E1438">INDEX(Moves!$B$2:'Moves'!$B$177, SUM(HEX2DEC("80"),1), 1)</f>
        <v>Bite</v>
      </c>
      <c r="F1438" s="83">
        <v>1</v>
      </c>
      <c r="G1438" s="84" t="str">
        <f>VLOOKUP(F1438, TMHM!$B$10:$C1519, 2, FALSE)</f>
        <v>Focus Punch</v>
      </c>
      <c r="H1438" s="85">
        <v>1</v>
      </c>
      <c r="I1438" s="86" t="str">
        <f>VLOOKUP(H1438, TMHM!$B$2:$C$7, 2, FALSE)</f>
        <v>Cut</v>
      </c>
      <c r="J1438" s="30"/>
    </row>
    <row r="1439" spans="1:10" x14ac:dyDescent="0.2">
      <c r="A1439" s="120"/>
      <c r="B1439" s="43">
        <f>HEX2DEC("02")</f>
        <v>2</v>
      </c>
      <c r="C1439" s="76" t="str">
        <f t="array" ref="C1439">INDEX(Moves!$B$2:'Moves'!$B$177, SUM(HEX2DEC("A0"),1), 1)</f>
        <v>Growl</v>
      </c>
      <c r="D1439" s="43">
        <f t="shared" si="116"/>
        <v>1</v>
      </c>
      <c r="E1439" s="76" t="str">
        <f t="array" ref="E1439">INDEX(Moves!$B$2:'Moves'!$B$177, SUM(HEX2DEC("A0"),1), 1)</f>
        <v>Growl</v>
      </c>
      <c r="F1439" s="87">
        <v>2</v>
      </c>
      <c r="G1439" s="88" t="str">
        <f>VLOOKUP(F1439, TMHM!$B$10:$C1519, 2, FALSE)</f>
        <v>Dragon Claw</v>
      </c>
      <c r="H1439" s="57">
        <v>4</v>
      </c>
      <c r="I1439" s="89" t="str">
        <f>VLOOKUP(H1439, TMHM!$B$2:$C$7, 2, FALSE)</f>
        <v>Strength</v>
      </c>
      <c r="J1439" s="30"/>
    </row>
    <row r="1440" spans="1:10" x14ac:dyDescent="0.2">
      <c r="A1440" s="120"/>
      <c r="B1440" s="73">
        <f>HEX2DEC("0B")</f>
        <v>11</v>
      </c>
      <c r="C1440" s="76" t="str">
        <f t="array" ref="C1440">INDEX(Moves!$B$2:'Moves'!$B$177, SUM(HEX2DEC("00"),1), 1)</f>
        <v>Ember</v>
      </c>
      <c r="D1440" s="73">
        <f>HEX2DEC("0B")</f>
        <v>11</v>
      </c>
      <c r="E1440" s="76" t="str">
        <f t="array" ref="E1440">INDEX(Moves!$B$2:'Moves'!$B$177, SUM(HEX2DEC("00"),1), 1)</f>
        <v>Ember</v>
      </c>
      <c r="F1440" s="21">
        <v>5</v>
      </c>
      <c r="G1440" s="88" t="str">
        <f>VLOOKUP(F1440, TMHM!$B$10:$C1519, 2, FALSE)</f>
        <v>Roar</v>
      </c>
      <c r="H1440" s="57">
        <v>5</v>
      </c>
      <c r="I1440" s="89" t="str">
        <f>VLOOKUP(H1440, TMHM!$B$2:$C$7, 2, FALSE)</f>
        <v>Flash</v>
      </c>
      <c r="J1440" s="30"/>
    </row>
    <row r="1441" spans="1:10" x14ac:dyDescent="0.2">
      <c r="A1441" s="120"/>
      <c r="B1441" s="50">
        <f>HEX2DEC("15")</f>
        <v>21</v>
      </c>
      <c r="C1441" s="51" t="str">
        <f t="array" ref="C1441">INDEX(Moves!$B$2:'Moves'!$B$177, SUM(HEX2DEC("AC"),1), 1)</f>
        <v>Whirlwind</v>
      </c>
      <c r="D1441" s="50">
        <f>HEX2DEC("15")</f>
        <v>21</v>
      </c>
      <c r="E1441" s="51" t="str">
        <f t="array" ref="E1441">INDEX(Moves!$B$2:'Moves'!$B$177, SUM(HEX2DEC("AB"),1), 1)</f>
        <v>Roar</v>
      </c>
      <c r="F1441" s="21">
        <v>21</v>
      </c>
      <c r="G1441" s="88" t="str">
        <f>VLOOKUP(F1441, TMHM!$B$10:$C1519, 2, FALSE)</f>
        <v>Recover</v>
      </c>
      <c r="H1441" s="21"/>
      <c r="I1441" s="25"/>
      <c r="J1441" s="30"/>
    </row>
    <row r="1442" spans="1:10" x14ac:dyDescent="0.2">
      <c r="A1442" s="120"/>
      <c r="B1442" s="48">
        <f>HEX2DEC("1F")</f>
        <v>31</v>
      </c>
      <c r="C1442" s="23" t="str">
        <f t="array" ref="C1442">INDEX(Moves!$B$2:'Moves'!$B$177, SUM(HEX2DEC("01"),1), 1)</f>
        <v>Flame Wheel</v>
      </c>
      <c r="D1442" s="48">
        <f>HEX2DEC("1F")</f>
        <v>31</v>
      </c>
      <c r="E1442" s="23" t="s">
        <v>30</v>
      </c>
      <c r="F1442" s="21">
        <v>27</v>
      </c>
      <c r="G1442" s="88" t="str">
        <f>VLOOKUP(F1442, TMHM!$B$10:$C1519, 2, FALSE)</f>
        <v>Fire Punch</v>
      </c>
      <c r="H1442" s="21"/>
      <c r="I1442" s="25"/>
      <c r="J1442" s="30"/>
    </row>
    <row r="1443" spans="1:10" x14ac:dyDescent="0.2">
      <c r="A1443" s="120"/>
      <c r="B1443" s="48">
        <f>HEX2DEC("29")</f>
        <v>41</v>
      </c>
      <c r="C1443" s="23" t="str">
        <f t="array" ref="C1443">INDEX(Moves!$B$2:'Moves'!$B$177, SUM(HEX2DEC("52"),1), 1)</f>
        <v>Rolling Kick</v>
      </c>
      <c r="D1443" s="48">
        <f>HEX2DEC("29")</f>
        <v>41</v>
      </c>
      <c r="E1443" s="23" t="s">
        <v>154</v>
      </c>
      <c r="F1443" s="21">
        <v>38</v>
      </c>
      <c r="G1443" s="88" t="str">
        <f>VLOOKUP(F1443, TMHM!$B$10:$C1519, 2, FALSE)</f>
        <v>Fire Blast</v>
      </c>
      <c r="H1443" s="21"/>
      <c r="I1443" s="25"/>
      <c r="J1443" s="30"/>
    </row>
    <row r="1444" spans="1:10" x14ac:dyDescent="0.2">
      <c r="A1444" s="120"/>
      <c r="B1444" s="73">
        <f>HEX2DEC("33")</f>
        <v>51</v>
      </c>
      <c r="C1444" s="76" t="str">
        <f t="array" ref="C1444">INDEX(Moves!$B$2:'Moves'!$B$177, SUM(HEX2DEC("03"),1), 1)</f>
        <v>Flamethrower</v>
      </c>
      <c r="D1444" s="73">
        <f>HEX2DEC("33")</f>
        <v>51</v>
      </c>
      <c r="E1444" s="76" t="str">
        <f t="array" ref="E1444">INDEX(Moves!$B$2:'Moves'!$B$177, SUM(HEX2DEC("03"),1), 1)</f>
        <v>Flamethrower</v>
      </c>
      <c r="F1444" s="21"/>
      <c r="H1444" s="21"/>
      <c r="I1444" s="25"/>
      <c r="J1444" s="30"/>
    </row>
    <row r="1445" spans="1:10" x14ac:dyDescent="0.2">
      <c r="A1445" s="120"/>
      <c r="B1445" s="48">
        <f>HEX2DEC("3D")</f>
        <v>61</v>
      </c>
      <c r="C1445" s="23" t="str">
        <f t="array" ref="C1445">INDEX(Moves!$B$2:'Moves'!$B$177, SUM(HEX2DEC("96"),1), 1)</f>
        <v>Double-Edge</v>
      </c>
      <c r="D1445" s="48">
        <f>HEX2DEC("3D")</f>
        <v>61</v>
      </c>
      <c r="E1445" s="23" t="s">
        <v>281</v>
      </c>
      <c r="F1445" s="21"/>
      <c r="H1445" s="21"/>
      <c r="I1445" s="25"/>
      <c r="J1445" s="30"/>
    </row>
    <row r="1446" spans="1:10" x14ac:dyDescent="0.2">
      <c r="A1446" s="120"/>
      <c r="B1446" s="73">
        <f>HEX2DEC("47")</f>
        <v>71</v>
      </c>
      <c r="C1446" s="76" t="str">
        <f t="array" ref="C1446">INDEX(Moves!$B$2:'Moves'!$B$177, SUM(HEX2DEC("05"),1), 1)</f>
        <v>Fire Blast</v>
      </c>
      <c r="D1446" s="73">
        <f>HEX2DEC("47")</f>
        <v>71</v>
      </c>
      <c r="E1446" s="76" t="str">
        <f t="array" ref="E1446">INDEX(Moves!$B$2:'Moves'!$B$177, SUM(HEX2DEC("05"),1), 1)</f>
        <v>Fire Blast</v>
      </c>
      <c r="F1446" s="21"/>
      <c r="H1446" s="21"/>
      <c r="I1446" s="25"/>
      <c r="J1446" s="30"/>
    </row>
    <row r="1447" spans="1:10" x14ac:dyDescent="0.2">
      <c r="A1447" s="121" t="s">
        <v>282</v>
      </c>
      <c r="B1447" s="70">
        <f>HEX2DEC("00")</f>
        <v>0</v>
      </c>
      <c r="C1447" s="71" t="str">
        <f t="array" ref="C1447">INDEX(Moves!$B$2:'Moves'!$B$177, SUM(HEX2DEC("80"),1), 1)</f>
        <v>Bite</v>
      </c>
      <c r="D1447" s="70">
        <f t="shared" ref="D1447:D1448" si="117">HEX2DEC("01")</f>
        <v>1</v>
      </c>
      <c r="E1447" s="71" t="str">
        <f t="array" ref="E1447">INDEX(Moves!$B$2:'Moves'!$B$177, SUM(HEX2DEC("80"),1), 1)</f>
        <v>Bite</v>
      </c>
      <c r="F1447" s="83">
        <v>3</v>
      </c>
      <c r="G1447" s="84" t="str">
        <f>VLOOKUP(F1447, TMHM!$B$10:$C1519, 2, FALSE)</f>
        <v>Water Pulse</v>
      </c>
      <c r="H1447" s="85">
        <v>3</v>
      </c>
      <c r="I1447" s="86" t="str">
        <f>VLOOKUP(H1447, TMHM!$B$2:$C$7, 2, FALSE)</f>
        <v>Surf</v>
      </c>
      <c r="J1447" s="30"/>
    </row>
    <row r="1448" spans="1:10" x14ac:dyDescent="0.2">
      <c r="A1448" s="120"/>
      <c r="B1448" s="43">
        <f>HEX2DEC("02")</f>
        <v>2</v>
      </c>
      <c r="C1448" s="76" t="str">
        <f t="array" ref="C1448">INDEX(Moves!$B$2:'Moves'!$B$177, SUM(HEX2DEC("A0"),1), 1)</f>
        <v>Growl</v>
      </c>
      <c r="D1448" s="43">
        <f t="shared" si="117"/>
        <v>1</v>
      </c>
      <c r="E1448" s="76" t="str">
        <f t="array" ref="E1448">INDEX(Moves!$B$2:'Moves'!$B$177, SUM(HEX2DEC("A0"),1), 1)</f>
        <v>Growl</v>
      </c>
      <c r="F1448" s="87">
        <v>8</v>
      </c>
      <c r="G1448" s="88" t="str">
        <f>VLOOKUP(F1448, TMHM!$B$10:$C1519, 2, FALSE)</f>
        <v>Charm</v>
      </c>
      <c r="H1448" s="57">
        <v>4</v>
      </c>
      <c r="I1448" s="89" t="str">
        <f>VLOOKUP(H1448, TMHM!$B$2:$C$7, 2, FALSE)</f>
        <v>Strength</v>
      </c>
      <c r="J1448" s="30"/>
    </row>
    <row r="1449" spans="1:10" x14ac:dyDescent="0.2">
      <c r="A1449" s="120"/>
      <c r="B1449" s="73">
        <f>HEX2DEC("0B")</f>
        <v>11</v>
      </c>
      <c r="C1449" s="76" t="str">
        <f t="array" ref="C1449">INDEX(Moves!$B$2:'Moves'!$B$177, SUM(HEX2DEC("09"),1), 1)</f>
        <v>Water Gun</v>
      </c>
      <c r="D1449" s="73">
        <f>HEX2DEC("0B")</f>
        <v>11</v>
      </c>
      <c r="E1449" s="76" t="str">
        <f t="array" ref="E1449">INDEX(Moves!$B$2:'Moves'!$B$177, SUM(HEX2DEC("09"),1), 1)</f>
        <v>Water Gun</v>
      </c>
      <c r="F1449" s="21">
        <v>11</v>
      </c>
      <c r="G1449" s="88" t="str">
        <f>VLOOKUP(F1449, TMHM!$B$10:$C1519, 2, FALSE)</f>
        <v>Bubblebeam</v>
      </c>
      <c r="H1449" s="21"/>
      <c r="I1449" s="25"/>
      <c r="J1449" s="30"/>
    </row>
    <row r="1450" spans="1:10" x14ac:dyDescent="0.2">
      <c r="A1450" s="120"/>
      <c r="B1450" s="50">
        <f>HEX2DEC("15")</f>
        <v>21</v>
      </c>
      <c r="C1450" s="51" t="str">
        <f t="array" ref="C1450">INDEX(Moves!$B$2:'Moves'!$B$177, SUM(HEX2DEC("AC"),1), 1)</f>
        <v>Whirlwind</v>
      </c>
      <c r="D1450" s="50">
        <f>HEX2DEC("15")</f>
        <v>21</v>
      </c>
      <c r="E1450" s="51" t="str">
        <f t="array" ref="E1450">INDEX(Moves!$B$2:'Moves'!$B$177, SUM(HEX2DEC("AB"),1), 1)</f>
        <v>Roar</v>
      </c>
      <c r="F1450" s="21">
        <v>13</v>
      </c>
      <c r="G1450" s="88" t="str">
        <f>VLOOKUP(F1450, TMHM!$B$10:$C1519, 2, FALSE)</f>
        <v>Ice Beam</v>
      </c>
      <c r="H1450" s="21"/>
      <c r="I1450" s="25"/>
      <c r="J1450" s="30"/>
    </row>
    <row r="1451" spans="1:10" x14ac:dyDescent="0.2">
      <c r="A1451" s="120"/>
      <c r="B1451" s="50">
        <f>HEX2DEC("1F")</f>
        <v>31</v>
      </c>
      <c r="C1451" s="51" t="str">
        <f t="array" ref="C1451">INDEX(Moves!$B$2:'Moves'!$B$177, SUM(HEX2DEC("5D"),1), 1)</f>
        <v>Air Cutter</v>
      </c>
      <c r="D1451" s="50">
        <f>HEX2DEC("1F")</f>
        <v>31</v>
      </c>
      <c r="E1451" s="51" t="str">
        <f t="array" ref="E1451">INDEX(Moves!$B$2:'Moves'!$B$177, SUM(HEX2DEC("5C"),1), 1)</f>
        <v>Gust</v>
      </c>
      <c r="F1451" s="21">
        <v>21</v>
      </c>
      <c r="G1451" s="88" t="str">
        <f>VLOOKUP(F1451, TMHM!$B$10:$C1519, 2, FALSE)</f>
        <v>Recover</v>
      </c>
      <c r="H1451" s="21"/>
      <c r="I1451" s="25"/>
      <c r="J1451" s="30"/>
    </row>
    <row r="1452" spans="1:10" x14ac:dyDescent="0.2">
      <c r="A1452" s="120"/>
      <c r="B1452" s="73">
        <f>HEX2DEC("29")</f>
        <v>41</v>
      </c>
      <c r="C1452" s="76" t="str">
        <f t="array" ref="C1452">INDEX(Moves!$B$2:'Moves'!$B$177, SUM(HEX2DEC("0B"),1), 1)</f>
        <v>Bubblebeam</v>
      </c>
      <c r="D1452" s="73">
        <f>HEX2DEC("29")</f>
        <v>41</v>
      </c>
      <c r="E1452" s="76" t="str">
        <f t="array" ref="E1452">INDEX(Moves!$B$2:'Moves'!$B$177, SUM(HEX2DEC("0B"),1), 1)</f>
        <v>Bubblebeam</v>
      </c>
      <c r="F1452" s="21">
        <v>32</v>
      </c>
      <c r="G1452" s="88" t="str">
        <f>VLOOKUP(F1452, TMHM!$B$10:$C1519, 2, FALSE)</f>
        <v>Double Team</v>
      </c>
      <c r="H1452" s="21"/>
      <c r="I1452" s="25"/>
      <c r="J1452" s="30"/>
    </row>
    <row r="1453" spans="1:10" x14ac:dyDescent="0.2">
      <c r="A1453" s="120"/>
      <c r="B1453" s="48">
        <f>HEX2DEC("33")</f>
        <v>51</v>
      </c>
      <c r="C1453" s="23" t="str">
        <f t="array" ref="C1453">INDEX(Moves!$B$2:'Moves'!$B$177, SUM(HEX2DEC("9E"),1), 1)</f>
        <v>Supersonic</v>
      </c>
      <c r="D1453" s="48">
        <f>HEX2DEC("33")</f>
        <v>51</v>
      </c>
      <c r="E1453" s="23" t="s">
        <v>254</v>
      </c>
      <c r="F1453" s="21">
        <v>35</v>
      </c>
      <c r="G1453" s="88" t="str">
        <f>VLOOKUP(F1453, TMHM!$B$10:$C1519, 2, FALSE)</f>
        <v>Harden</v>
      </c>
      <c r="H1453" s="21"/>
      <c r="I1453" s="25"/>
      <c r="J1453" s="30"/>
    </row>
    <row r="1454" spans="1:10" x14ac:dyDescent="0.2">
      <c r="A1454" s="120"/>
      <c r="B1454" s="48">
        <f>HEX2DEC("3D")</f>
        <v>61</v>
      </c>
      <c r="C1454" s="23" t="str">
        <f t="array" ref="C1454">INDEX(Moves!$B$2:'Moves'!$B$177, SUM(HEX2DEC("A8"),1), 1)</f>
        <v>Double Team</v>
      </c>
      <c r="D1454" s="48">
        <f>HEX2DEC("3D")</f>
        <v>61</v>
      </c>
      <c r="E1454" s="23" t="s">
        <v>196</v>
      </c>
      <c r="F1454" s="21"/>
      <c r="H1454" s="21"/>
      <c r="I1454" s="25"/>
      <c r="J1454" s="30"/>
    </row>
    <row r="1455" spans="1:10" x14ac:dyDescent="0.2">
      <c r="A1455" s="120"/>
      <c r="B1455" s="73">
        <f>HEX2DEC("47")</f>
        <v>71</v>
      </c>
      <c r="C1455" s="76" t="str">
        <f t="array" ref="C1455">INDEX(Moves!$B$2:'Moves'!$B$177, SUM(HEX2DEC("0F"),1), 1)</f>
        <v>Hydro Pump</v>
      </c>
      <c r="D1455" s="73">
        <f>HEX2DEC("47")</f>
        <v>71</v>
      </c>
      <c r="E1455" s="76" t="str">
        <f t="array" ref="E1455">INDEX(Moves!$B$2:'Moves'!$B$177, SUM(HEX2DEC("0F"),1), 1)</f>
        <v>Hydro Pump</v>
      </c>
      <c r="F1455" s="21"/>
      <c r="H1455" s="21"/>
      <c r="I1455" s="25"/>
      <c r="J1455" s="30"/>
    </row>
    <row r="1456" spans="1:10" x14ac:dyDescent="0.2">
      <c r="A1456" s="121" t="s">
        <v>283</v>
      </c>
      <c r="B1456" s="70">
        <f>HEX2DEC("00")</f>
        <v>0</v>
      </c>
      <c r="C1456" s="71" t="str">
        <f t="array" ref="C1456">INDEX(Moves!$B$2:'Moves'!$B$177, SUM(HEX2DEC("63"),1), 1)</f>
        <v>Aeroblast</v>
      </c>
      <c r="D1456" s="70">
        <f>HEX2DEC("01")</f>
        <v>1</v>
      </c>
      <c r="E1456" s="71" t="str">
        <f t="array" ref="E1456">INDEX(Moves!$B$2:'Moves'!$B$177, SUM(HEX2DEC("63"),1), 1)</f>
        <v>Aeroblast</v>
      </c>
      <c r="F1456" s="83">
        <v>2</v>
      </c>
      <c r="G1456" s="84" t="str">
        <f>VLOOKUP(F1456, TMHM!$B$10:$C1519, 2, FALSE)</f>
        <v>Dragon Claw</v>
      </c>
      <c r="H1456" s="85">
        <v>3</v>
      </c>
      <c r="I1456" s="86" t="str">
        <f>VLOOKUP(H1456, TMHM!$B$2:$C$7, 2, FALSE)</f>
        <v>Surf</v>
      </c>
      <c r="J1456" s="30"/>
    </row>
    <row r="1457" spans="1:10" x14ac:dyDescent="0.2">
      <c r="A1457" s="120"/>
      <c r="B1457" s="48">
        <f>HEX2DEC("0B")</f>
        <v>11</v>
      </c>
      <c r="C1457" s="23" t="str">
        <f t="array" ref="C1457">INDEX(Moves!$B$2:'Moves'!$B$177, SUM(HEX2DEC("7D"),1), 1)</f>
        <v>Dragon Dance</v>
      </c>
      <c r="D1457" s="48">
        <f>HEX2DEC("0B")</f>
        <v>11</v>
      </c>
      <c r="E1457" s="23" t="s">
        <v>44</v>
      </c>
      <c r="F1457" s="87">
        <v>3</v>
      </c>
      <c r="G1457" s="88" t="str">
        <f>VLOOKUP(F1457, TMHM!$B$10:$C1519, 2, FALSE)</f>
        <v>Water Pulse</v>
      </c>
      <c r="H1457" s="57">
        <v>4</v>
      </c>
      <c r="I1457" s="89" t="str">
        <f>VLOOKUP(H1457, TMHM!$B$2:$C$7, 2, FALSE)</f>
        <v>Strength</v>
      </c>
      <c r="J1457" s="30"/>
    </row>
    <row r="1458" spans="1:10" x14ac:dyDescent="0.2">
      <c r="A1458" s="120"/>
      <c r="B1458" s="50">
        <f>HEX2DEC("16")</f>
        <v>22</v>
      </c>
      <c r="C1458" s="51" t="str">
        <f t="array" ref="C1458">INDEX(Moves!$B$2:'Moves'!$B$177, SUM(HEX2DEC("79"),1), 1)</f>
        <v>Dragon Rage</v>
      </c>
      <c r="D1458" s="50">
        <f>HEX2DEC("16")</f>
        <v>22</v>
      </c>
      <c r="E1458" s="51" t="str">
        <f t="array" ref="E1458">INDEX(Moves!$B$2:'Moves'!$B$177, SUM(HEX2DEC("5C"),1), 1)</f>
        <v>Gust</v>
      </c>
      <c r="F1458" s="21">
        <v>5</v>
      </c>
      <c r="G1458" s="88" t="str">
        <f>VLOOKUP(F1458, TMHM!$B$10:$C1519, 2, FALSE)</f>
        <v>Roar</v>
      </c>
      <c r="H1458" s="21"/>
      <c r="I1458" s="25"/>
      <c r="J1458" s="30"/>
    </row>
    <row r="1459" spans="1:10" x14ac:dyDescent="0.2">
      <c r="A1459" s="120"/>
      <c r="B1459" s="73">
        <f>HEX2DEC("21")</f>
        <v>33</v>
      </c>
      <c r="C1459" s="76" t="str">
        <f t="array" ref="C1459">INDEX(Moves!$B$2:'Moves'!$B$177, SUM(HEX2DEC("A9"),1), 1)</f>
        <v>Recover</v>
      </c>
      <c r="D1459" s="73">
        <f>HEX2DEC("21")</f>
        <v>33</v>
      </c>
      <c r="E1459" s="76" t="str">
        <f t="array" ref="E1459">INDEX(Moves!$B$2:'Moves'!$B$177, SUM(HEX2DEC("A9"),1), 1)</f>
        <v>Recover</v>
      </c>
      <c r="F1459" s="21">
        <v>11</v>
      </c>
      <c r="G1459" s="88" t="str">
        <f>VLOOKUP(F1459, TMHM!$B$10:$C1519, 2, FALSE)</f>
        <v>Bubblebeam</v>
      </c>
      <c r="H1459" s="21"/>
      <c r="I1459" s="25"/>
      <c r="J1459" s="30"/>
    </row>
    <row r="1460" spans="1:10" x14ac:dyDescent="0.2">
      <c r="A1460" s="120"/>
      <c r="B1460" s="50">
        <f>HEX2DEC("2C")</f>
        <v>44</v>
      </c>
      <c r="C1460" s="51" t="str">
        <f t="array" ref="C1460">INDEX(Moves!$B$2:'Moves'!$B$177, SUM(HEX2DEC("0B"),1), 1)</f>
        <v>Bubblebeam</v>
      </c>
      <c r="D1460" s="50">
        <f>HEX2DEC("2C")</f>
        <v>44</v>
      </c>
      <c r="E1460" s="51" t="str">
        <f t="array" ref="E1460">INDEX(Moves!$B$2:'Moves'!$B$177, SUM(HEX2DEC("0F"),1), 1)</f>
        <v>Hydro Pump</v>
      </c>
      <c r="F1460" s="21">
        <v>13</v>
      </c>
      <c r="G1460" s="88" t="str">
        <f>VLOOKUP(F1460, TMHM!$B$10:$C1519, 2, FALSE)</f>
        <v>Ice Beam</v>
      </c>
      <c r="H1460" s="21"/>
      <c r="I1460" s="25"/>
      <c r="J1460" s="30"/>
    </row>
    <row r="1461" spans="1:10" x14ac:dyDescent="0.2">
      <c r="A1461" s="120"/>
      <c r="B1461" s="48">
        <f>HEX2DEC("37")</f>
        <v>55</v>
      </c>
      <c r="C1461" s="23" t="str">
        <f t="array" ref="C1461">INDEX(Moves!$B$2:'Moves'!$B$177, SUM(HEX2DEC("0F"),1), 1)</f>
        <v>Hydro Pump</v>
      </c>
      <c r="D1461" s="48">
        <f>HEX2DEC("37")</f>
        <v>55</v>
      </c>
      <c r="E1461" s="23" t="s">
        <v>36</v>
      </c>
      <c r="F1461" s="21">
        <v>14</v>
      </c>
      <c r="G1461" s="88" t="str">
        <f>VLOOKUP(F1461, TMHM!$B$10:$C1519, 2, FALSE)</f>
        <v>Blizzard</v>
      </c>
      <c r="H1461" s="21"/>
      <c r="I1461" s="25"/>
      <c r="J1461" s="30"/>
    </row>
    <row r="1462" spans="1:10" x14ac:dyDescent="0.2">
      <c r="A1462" s="120"/>
      <c r="B1462" s="73">
        <f>HEX2DEC("42")</f>
        <v>66</v>
      </c>
      <c r="C1462" s="76" t="str">
        <f t="array" ref="C1462">INDEX(Moves!$B$2:'Moves'!$B$177, SUM(HEX2DEC("90"),1), 1)</f>
        <v>Swift</v>
      </c>
      <c r="D1462" s="73">
        <f>HEX2DEC("42")</f>
        <v>66</v>
      </c>
      <c r="E1462" s="76" t="str">
        <f t="array" ref="E1462">INDEX(Moves!$B$2:'Moves'!$B$177, SUM(HEX2DEC("90"),1), 1)</f>
        <v>Swift</v>
      </c>
      <c r="F1462" s="21">
        <v>15</v>
      </c>
      <c r="G1462" s="88" t="str">
        <f>VLOOKUP(F1462, TMHM!$B$10:$C1519, 2, FALSE)</f>
        <v>Hyper Beam</v>
      </c>
      <c r="H1462" s="21"/>
      <c r="I1462" s="25"/>
      <c r="J1462" s="30"/>
    </row>
    <row r="1463" spans="1:10" x14ac:dyDescent="0.2">
      <c r="A1463" s="120"/>
      <c r="B1463" s="50">
        <f>HEX2DEC("4D")</f>
        <v>77</v>
      </c>
      <c r="C1463" s="51" t="str">
        <f t="array" ref="C1463">INDEX(Moves!$B$2:'Moves'!$B$177, SUM(HEX2DEC("7A"),1), 1)</f>
        <v>DragonBreath</v>
      </c>
      <c r="D1463" s="50">
        <f>HEX2DEC("4D")</f>
        <v>77</v>
      </c>
      <c r="E1463" s="51" t="str">
        <f t="array" ref="E1463">INDEX(Moves!$B$2:'Moves'!$B$177, SUM(HEX2DEC("AC"),1), 1)</f>
        <v>Whirlwind</v>
      </c>
      <c r="F1463" s="21">
        <v>16</v>
      </c>
      <c r="G1463" s="88" t="str">
        <f>VLOOKUP(F1463, TMHM!$B$10:$C1519, 2, FALSE)</f>
        <v>Rest</v>
      </c>
      <c r="H1463" s="21"/>
      <c r="I1463" s="25"/>
      <c r="J1463" s="30"/>
    </row>
    <row r="1464" spans="1:10" x14ac:dyDescent="0.2">
      <c r="A1464" s="120"/>
      <c r="B1464" s="50">
        <f>HEX2DEC("58")</f>
        <v>88</v>
      </c>
      <c r="C1464" s="51" t="str">
        <f t="array" ref="C1464">INDEX(Moves!$B$2:'Moves'!$B$177, SUM(HEX2DEC("10"),1), 1)</f>
        <v>Water Spout</v>
      </c>
      <c r="D1464" s="50">
        <f>HEX2DEC("58")</f>
        <v>88</v>
      </c>
      <c r="E1464" s="51" t="str">
        <f t="array" ref="E1464">INDEX(Moves!$B$2:'Moves'!$B$177, SUM(HEX2DEC("3A"),1), 1)</f>
        <v>AncientPower</v>
      </c>
      <c r="F1464" s="21">
        <v>21</v>
      </c>
      <c r="G1464" s="88" t="str">
        <f>VLOOKUP(F1464, TMHM!$B$10:$C1519, 2, FALSE)</f>
        <v>Recover</v>
      </c>
      <c r="H1464" s="21"/>
      <c r="I1464" s="25"/>
      <c r="J1464" s="30"/>
    </row>
    <row r="1465" spans="1:10" x14ac:dyDescent="0.2">
      <c r="A1465" s="120"/>
      <c r="B1465" s="73">
        <f>HEX2DEC("63")</f>
        <v>99</v>
      </c>
      <c r="C1465" s="76" t="str">
        <f t="array" ref="C1465">INDEX(Moves!$B$2:'Moves'!$B$177, SUM(HEX2DEC("69"),1), 1)</f>
        <v>Future Sight</v>
      </c>
      <c r="D1465" s="73">
        <f>HEX2DEC("63")</f>
        <v>99</v>
      </c>
      <c r="E1465" s="76" t="str">
        <f t="array" ref="E1465">INDEX(Moves!$B$2:'Moves'!$B$177, SUM(HEX2DEC("69"),1), 1)</f>
        <v>Future Sight</v>
      </c>
      <c r="F1465" s="21">
        <v>24</v>
      </c>
      <c r="G1465" s="88" t="str">
        <f>VLOOKUP(F1465, TMHM!$B$10:$C1519, 2, FALSE)</f>
        <v>Thunderbolt</v>
      </c>
      <c r="H1465" s="21"/>
      <c r="I1465" s="25"/>
      <c r="J1465" s="30"/>
    </row>
    <row r="1466" spans="1:10" x14ac:dyDescent="0.2">
      <c r="A1466" s="120"/>
      <c r="B1466" s="73"/>
      <c r="C1466" s="74"/>
      <c r="D1466" s="73"/>
      <c r="E1466" s="74"/>
      <c r="F1466" s="21">
        <v>25</v>
      </c>
      <c r="G1466" s="88" t="str">
        <f>VLOOKUP(F1466, TMHM!$B$10:$C1519, 2, FALSE)</f>
        <v>Thunder</v>
      </c>
      <c r="H1466" s="21"/>
      <c r="I1466" s="25"/>
      <c r="J1466" s="30"/>
    </row>
    <row r="1467" spans="1:10" x14ac:dyDescent="0.2">
      <c r="A1467" s="120"/>
      <c r="B1467" s="73"/>
      <c r="C1467" s="74"/>
      <c r="D1467" s="73"/>
      <c r="E1467" s="74"/>
      <c r="F1467" s="21">
        <v>37</v>
      </c>
      <c r="G1467" s="88" t="str">
        <f>VLOOKUP(F1467, TMHM!$B$10:$C1519, 2, FALSE)</f>
        <v>Aerial Ace</v>
      </c>
      <c r="H1467" s="21"/>
      <c r="I1467" s="25"/>
      <c r="J1467" s="30"/>
    </row>
    <row r="1468" spans="1:10" x14ac:dyDescent="0.2">
      <c r="A1468" s="120"/>
      <c r="B1468" s="73"/>
      <c r="C1468" s="74"/>
      <c r="D1468" s="73"/>
      <c r="E1468" s="74"/>
      <c r="F1468" s="21">
        <v>39</v>
      </c>
      <c r="G1468" s="88" t="str">
        <f>VLOOKUP(F1468, TMHM!$B$10:$C1519, 2, FALSE)</f>
        <v>Rock Tomb</v>
      </c>
      <c r="H1468" s="21"/>
      <c r="I1468" s="25"/>
      <c r="J1468" s="30"/>
    </row>
    <row r="1469" spans="1:10" x14ac:dyDescent="0.2">
      <c r="A1469" s="120"/>
      <c r="B1469" s="73"/>
      <c r="C1469" s="74"/>
      <c r="D1469" s="73"/>
      <c r="E1469" s="74"/>
      <c r="F1469" s="21">
        <v>40</v>
      </c>
      <c r="G1469" s="88" t="str">
        <f>VLOOKUP(F1469, TMHM!$B$10:$C1519, 2, FALSE)</f>
        <v>Psychic</v>
      </c>
      <c r="H1469" s="21"/>
      <c r="I1469" s="25"/>
      <c r="J1469" s="30"/>
    </row>
    <row r="1470" spans="1:10" x14ac:dyDescent="0.2">
      <c r="A1470" s="121" t="s">
        <v>284</v>
      </c>
      <c r="B1470" s="70">
        <f>HEX2DEC("00")</f>
        <v>0</v>
      </c>
      <c r="C1470" s="71" t="str">
        <f t="array" ref="C1470">INDEX(Moves!$B$2:'Moves'!$B$177, SUM(HEX2DEC("04"),1), 1)</f>
        <v>Sacred Fire</v>
      </c>
      <c r="D1470" s="70">
        <f>HEX2DEC("01")</f>
        <v>1</v>
      </c>
      <c r="E1470" s="71" t="str">
        <f t="array" ref="E1470">INDEX(Moves!$B$2:'Moves'!$B$177, SUM(HEX2DEC("04"),1), 1)</f>
        <v>Sacred Fire</v>
      </c>
      <c r="F1470" s="83">
        <v>6</v>
      </c>
      <c r="G1470" s="84" t="str">
        <f>VLOOKUP(F1470, TMHM!$B$10:$C1519, 2, FALSE)</f>
        <v>Toxic</v>
      </c>
      <c r="H1470" s="85">
        <v>2</v>
      </c>
      <c r="I1470" s="86" t="str">
        <f>VLOOKUP(H1470, TMHM!$B$2:$C$7, 2, FALSE)</f>
        <v>Fly</v>
      </c>
      <c r="J1470" s="30"/>
    </row>
    <row r="1471" spans="1:10" x14ac:dyDescent="0.2">
      <c r="A1471" s="120"/>
      <c r="B1471" s="48">
        <f>HEX2DEC("0B")</f>
        <v>11</v>
      </c>
      <c r="C1471" s="23" t="str">
        <f t="array" ref="C1471">INDEX(Moves!$B$2:'Moves'!$B$177, SUM(HEX2DEC("7D"),1), 1)</f>
        <v>Dragon Dance</v>
      </c>
      <c r="D1471" s="48">
        <f>HEX2DEC("0B")</f>
        <v>11</v>
      </c>
      <c r="E1471" s="23" t="s">
        <v>44</v>
      </c>
      <c r="F1471" s="87">
        <v>7</v>
      </c>
      <c r="G1471" s="88" t="str">
        <f>VLOOKUP(F1471, TMHM!$B$10:$C1519, 2, FALSE)</f>
        <v>Secret Power</v>
      </c>
      <c r="H1471" s="57">
        <v>4</v>
      </c>
      <c r="I1471" s="89" t="str">
        <f>VLOOKUP(H1471, TMHM!$B$2:$C$7, 2, FALSE)</f>
        <v>Strength</v>
      </c>
      <c r="J1471" s="30"/>
    </row>
    <row r="1472" spans="1:10" x14ac:dyDescent="0.2">
      <c r="A1472" s="120"/>
      <c r="B1472" s="50">
        <f>HEX2DEC("16")</f>
        <v>22</v>
      </c>
      <c r="C1472" s="51" t="str">
        <f t="array" ref="C1472">INDEX(Moves!$B$2:'Moves'!$B$177, SUM(HEX2DEC("79"),1), 1)</f>
        <v>Dragon Rage</v>
      </c>
      <c r="D1472" s="50">
        <f>HEX2DEC("16")</f>
        <v>22</v>
      </c>
      <c r="E1472" s="51" t="str">
        <f t="array" ref="E1472">INDEX(Moves!$B$2:'Moves'!$B$177, SUM(HEX2DEC("5C"),1), 1)</f>
        <v>Gust</v>
      </c>
      <c r="F1472" s="21">
        <v>10</v>
      </c>
      <c r="G1472" s="88" t="str">
        <f>VLOOKUP(F1472, TMHM!$B$10:$C1519, 2, FALSE)</f>
        <v>Bite</v>
      </c>
      <c r="H1472" s="21"/>
      <c r="I1472" s="25"/>
      <c r="J1472" s="30"/>
    </row>
    <row r="1473" spans="1:10" x14ac:dyDescent="0.2">
      <c r="A1473" s="120"/>
      <c r="B1473" s="73">
        <f>HEX2DEC("21")</f>
        <v>33</v>
      </c>
      <c r="C1473" s="76" t="str">
        <f t="array" ref="C1473">INDEX(Moves!$B$2:'Moves'!$B$177, SUM(HEX2DEC("A9"),1), 1)</f>
        <v>Recover</v>
      </c>
      <c r="D1473" s="73">
        <f>HEX2DEC("21")</f>
        <v>33</v>
      </c>
      <c r="E1473" s="76" t="str">
        <f t="array" ref="E1473">INDEX(Moves!$B$2:'Moves'!$B$177, SUM(HEX2DEC("A9"),1), 1)</f>
        <v>Recover</v>
      </c>
      <c r="F1473" s="21">
        <v>12</v>
      </c>
      <c r="G1473" s="88" t="str">
        <f>VLOOKUP(F1473, TMHM!$B$10:$C1519, 2, FALSE)</f>
        <v>Steel Wing</v>
      </c>
      <c r="H1473" s="21"/>
      <c r="I1473" s="25"/>
      <c r="J1473" s="30"/>
    </row>
    <row r="1474" spans="1:10" x14ac:dyDescent="0.2">
      <c r="A1474" s="120"/>
      <c r="B1474" s="50">
        <f>HEX2DEC("2C")</f>
        <v>44</v>
      </c>
      <c r="C1474" s="51" t="str">
        <f t="array" ref="C1474">INDEX(Moves!$B$2:'Moves'!$B$177, SUM(HEX2DEC("02"),1), 1)</f>
        <v>Fire Punch</v>
      </c>
      <c r="D1474" s="50">
        <f>HEX2DEC("2C")</f>
        <v>44</v>
      </c>
      <c r="E1474" s="51" t="str">
        <f t="array" ref="E1474">INDEX(Moves!$B$2:'Moves'!$B$177, SUM(HEX2DEC("05"),1), 1)</f>
        <v>Fire Blast</v>
      </c>
      <c r="F1474" s="21">
        <v>15</v>
      </c>
      <c r="G1474" s="88" t="str">
        <f>VLOOKUP(F1474, TMHM!$B$10:$C1519, 2, FALSE)</f>
        <v>Hyper Beam</v>
      </c>
      <c r="H1474" s="21"/>
      <c r="I1474" s="25"/>
      <c r="J1474" s="30"/>
    </row>
    <row r="1475" spans="1:10" x14ac:dyDescent="0.2">
      <c r="A1475" s="120"/>
      <c r="B1475" s="48">
        <f>HEX2DEC("37")</f>
        <v>55</v>
      </c>
      <c r="C1475" s="23" t="str">
        <f t="array" ref="C1475">INDEX(Moves!$B$2:'Moves'!$B$177, SUM(HEX2DEC("05"),1), 1)</f>
        <v>Fire Blast</v>
      </c>
      <c r="D1475" s="48">
        <f>HEX2DEC("37")</f>
        <v>55</v>
      </c>
      <c r="E1475" s="23" t="s">
        <v>247</v>
      </c>
      <c r="F1475" s="21">
        <v>17</v>
      </c>
      <c r="G1475" s="88" t="str">
        <f>VLOOKUP(F1475, TMHM!$B$10:$C1519, 2, FALSE)</f>
        <v>SmokeScreen</v>
      </c>
      <c r="H1475" s="21"/>
      <c r="I1475" s="25"/>
      <c r="J1475" s="30"/>
    </row>
    <row r="1476" spans="1:10" x14ac:dyDescent="0.2">
      <c r="A1476" s="120"/>
      <c r="B1476" s="73">
        <f>HEX2DEC("42")</f>
        <v>66</v>
      </c>
      <c r="C1476" s="76" t="str">
        <f t="array" ref="C1476">INDEX(Moves!$B$2:'Moves'!$B$177, SUM(HEX2DEC("90"),1), 1)</f>
        <v>Swift</v>
      </c>
      <c r="D1476" s="73">
        <f>HEX2DEC("42")</f>
        <v>66</v>
      </c>
      <c r="E1476" s="76" t="str">
        <f t="array" ref="E1476">INDEX(Moves!$B$2:'Moves'!$B$177, SUM(HEX2DEC("90"),1), 1)</f>
        <v>Swift</v>
      </c>
      <c r="F1476" s="21">
        <v>21</v>
      </c>
      <c r="G1476" s="88" t="str">
        <f>VLOOKUP(F1476, TMHM!$B$10:$C1519, 2, FALSE)</f>
        <v>Recover</v>
      </c>
      <c r="H1476" s="21"/>
      <c r="I1476" s="25"/>
      <c r="J1476" s="30"/>
    </row>
    <row r="1477" spans="1:10" x14ac:dyDescent="0.2">
      <c r="A1477" s="120"/>
      <c r="B1477" s="50">
        <f>HEX2DEC("4D")</f>
        <v>77</v>
      </c>
      <c r="C1477" s="51" t="str">
        <f t="array" ref="C1477">INDEX(Moves!$B$2:'Moves'!$B$177, SUM(HEX2DEC("7A"),1), 1)</f>
        <v>DragonBreath</v>
      </c>
      <c r="D1477" s="50">
        <f>HEX2DEC("4D")</f>
        <v>77</v>
      </c>
      <c r="E1477" s="51" t="str">
        <f t="array" ref="E1477">INDEX(Moves!$B$2:'Moves'!$B$177, SUM(HEX2DEC("AC"),1), 1)</f>
        <v>Whirlwind</v>
      </c>
      <c r="F1477" s="21">
        <v>22</v>
      </c>
      <c r="G1477" s="88" t="str">
        <f>VLOOKUP(F1477, TMHM!$B$10:$C1519, 2, FALSE)</f>
        <v>SolarBeam</v>
      </c>
      <c r="H1477" s="21"/>
      <c r="I1477" s="25"/>
      <c r="J1477" s="30"/>
    </row>
    <row r="1478" spans="1:10" x14ac:dyDescent="0.2">
      <c r="A1478" s="120"/>
      <c r="B1478" s="50">
        <f>HEX2DEC("58")</f>
        <v>88</v>
      </c>
      <c r="C1478" s="51" t="str">
        <f t="array" ref="C1478">INDEX(Moves!$B$2:'Moves'!$B$177, SUM(HEX2DEC("06"),1), 1)</f>
        <v>Eruption</v>
      </c>
      <c r="D1478" s="50">
        <f>HEX2DEC("58")</f>
        <v>88</v>
      </c>
      <c r="E1478" s="51" t="str">
        <f t="array" ref="E1478">INDEX(Moves!$B$2:'Moves'!$B$177, SUM(HEX2DEC("3A"),1), 1)</f>
        <v>AncientPower</v>
      </c>
      <c r="F1478" s="21">
        <v>23</v>
      </c>
      <c r="G1478" s="88" t="str">
        <f>VLOOKUP(F1478, TMHM!$B$10:$C1519, 2, FALSE)</f>
        <v>Iron Tail</v>
      </c>
      <c r="H1478" s="21"/>
      <c r="I1478" s="25"/>
      <c r="J1478" s="30"/>
    </row>
    <row r="1479" spans="1:10" x14ac:dyDescent="0.2">
      <c r="A1479" s="120"/>
      <c r="B1479" s="50">
        <f>HEX2DEC("63")</f>
        <v>99</v>
      </c>
      <c r="C1479" s="51" t="str">
        <f t="array" ref="C1479">INDEX(Moves!$B$2:'Moves'!$B$177, SUM(HEX2DEC("64"),1), 1)</f>
        <v>Sky Attack</v>
      </c>
      <c r="D1479" s="50">
        <f>HEX2DEC("63")</f>
        <v>99</v>
      </c>
      <c r="E1479" s="51" t="str">
        <f t="array" ref="E1479">INDEX(Moves!$B$2:'Moves'!$B$177, SUM(HEX2DEC("69"),1), 1)</f>
        <v>Future Sight</v>
      </c>
      <c r="F1479" s="21">
        <v>24</v>
      </c>
      <c r="G1479" s="88" t="str">
        <f>VLOOKUP(F1479, TMHM!$B$10:$C1519, 2, FALSE)</f>
        <v>Thunderbolt</v>
      </c>
      <c r="H1479" s="21"/>
      <c r="I1479" s="25"/>
      <c r="J1479" s="30"/>
    </row>
    <row r="1480" spans="1:10" x14ac:dyDescent="0.2">
      <c r="A1480" s="120"/>
      <c r="B1480" s="91"/>
      <c r="C1480" s="92"/>
      <c r="D1480" s="73"/>
      <c r="E1480" s="74"/>
      <c r="F1480" s="21">
        <v>25</v>
      </c>
      <c r="G1480" s="88" t="str">
        <f>VLOOKUP(F1480, TMHM!$B$10:$C1519, 2, FALSE)</f>
        <v>Thunder</v>
      </c>
      <c r="H1480" s="21"/>
      <c r="I1480" s="25"/>
      <c r="J1480" s="30"/>
    </row>
    <row r="1481" spans="1:10" x14ac:dyDescent="0.2">
      <c r="A1481" s="120"/>
      <c r="B1481" s="91"/>
      <c r="C1481" s="92"/>
      <c r="D1481" s="73"/>
      <c r="E1481" s="74"/>
      <c r="F1481" s="21">
        <v>27</v>
      </c>
      <c r="G1481" s="88" t="str">
        <f>VLOOKUP(F1481, TMHM!$B$10:$C1519, 2, FALSE)</f>
        <v>Fire Punch</v>
      </c>
      <c r="H1481" s="21"/>
      <c r="I1481" s="25"/>
      <c r="J1481" s="30"/>
    </row>
    <row r="1482" spans="1:10" x14ac:dyDescent="0.2">
      <c r="A1482" s="120"/>
      <c r="B1482" s="91"/>
      <c r="C1482" s="92"/>
      <c r="D1482" s="73"/>
      <c r="E1482" s="74"/>
      <c r="F1482" s="21">
        <v>32</v>
      </c>
      <c r="G1482" s="88" t="str">
        <f>VLOOKUP(F1482, TMHM!$B$10:$C1519, 2, FALSE)</f>
        <v>Double Team</v>
      </c>
      <c r="H1482" s="21"/>
      <c r="I1482" s="25"/>
      <c r="J1482" s="30"/>
    </row>
    <row r="1483" spans="1:10" x14ac:dyDescent="0.2">
      <c r="A1483" s="120"/>
      <c r="B1483" s="91"/>
      <c r="C1483" s="92"/>
      <c r="D1483" s="73"/>
      <c r="E1483" s="74"/>
      <c r="F1483" s="21">
        <v>37</v>
      </c>
      <c r="G1483" s="88" t="str">
        <f>VLOOKUP(F1483, TMHM!$B$10:$C1519, 2, FALSE)</f>
        <v>Aerial Ace</v>
      </c>
      <c r="H1483" s="21"/>
      <c r="I1483" s="25"/>
      <c r="J1483" s="30"/>
    </row>
    <row r="1484" spans="1:10" x14ac:dyDescent="0.2">
      <c r="A1484" s="120"/>
      <c r="B1484" s="91"/>
      <c r="C1484" s="92"/>
      <c r="D1484" s="73"/>
      <c r="E1484" s="74"/>
      <c r="F1484" s="21">
        <v>38</v>
      </c>
      <c r="G1484" s="88" t="str">
        <f>VLOOKUP(F1484, TMHM!$B$10:$C1519, 2, FALSE)</f>
        <v>Fire Blast</v>
      </c>
      <c r="H1484" s="21"/>
      <c r="I1484" s="25"/>
      <c r="J1484" s="30"/>
    </row>
    <row r="1485" spans="1:10" x14ac:dyDescent="0.2">
      <c r="A1485" s="120"/>
      <c r="B1485" s="91"/>
      <c r="C1485" s="92"/>
      <c r="D1485" s="73"/>
      <c r="E1485" s="74"/>
      <c r="F1485" s="21">
        <v>40</v>
      </c>
      <c r="G1485" s="88" t="str">
        <f>VLOOKUP(F1485, TMHM!$B$10:$C1519, 2, FALSE)</f>
        <v>Psychic</v>
      </c>
      <c r="H1485" s="21"/>
      <c r="I1485" s="25"/>
      <c r="J1485" s="30"/>
    </row>
    <row r="1486" spans="1:10" x14ac:dyDescent="0.2">
      <c r="A1486" s="127" t="s">
        <v>285</v>
      </c>
      <c r="B1486" s="93">
        <f>HEX2DEC("00")</f>
        <v>0</v>
      </c>
      <c r="C1486" s="94" t="str">
        <f t="array" ref="C1486">INDEX(Moves!$B$2:'Moves'!$B$177, SUM(HEX2DEC("80"),1), 1)</f>
        <v>Bite</v>
      </c>
      <c r="D1486" s="70">
        <f>HEX2DEC("00")</f>
        <v>0</v>
      </c>
      <c r="E1486" s="71" t="str">
        <f t="array" ref="E1486">INDEX(Moves!$B$2:'Moves'!$B$177, SUM(HEX2DEC("80"),1), 1)</f>
        <v>Bite</v>
      </c>
      <c r="F1486" s="83">
        <v>3</v>
      </c>
      <c r="G1486" s="84" t="str">
        <f>VLOOKUP(F1486, TMHM!$B$10:$C1519, 2, FALSE)</f>
        <v>Water Pulse</v>
      </c>
      <c r="H1486" s="85">
        <v>3</v>
      </c>
      <c r="I1486" s="86" t="str">
        <f>VLOOKUP(H1486, TMHM!$B$2:$C$7, 2, FALSE)</f>
        <v>Surf</v>
      </c>
      <c r="J1486" s="30"/>
    </row>
    <row r="1487" spans="1:10" x14ac:dyDescent="0.2">
      <c r="A1487" s="120"/>
      <c r="B1487" s="73">
        <f>HEX2DEC("02")</f>
        <v>2</v>
      </c>
      <c r="C1487" s="76" t="str">
        <f t="array" ref="C1487">INDEX(Moves!$B$2:'Moves'!$B$177, SUM(HEX2DEC("A0"),1), 1)</f>
        <v>Growl</v>
      </c>
      <c r="D1487" s="73">
        <f>HEX2DEC("02")</f>
        <v>2</v>
      </c>
      <c r="E1487" s="76" t="str">
        <f t="array" ref="E1487">INDEX(Moves!$B$2:'Moves'!$B$177, SUM(HEX2DEC("A0"),1), 1)</f>
        <v>Growl</v>
      </c>
      <c r="F1487" s="87">
        <v>8</v>
      </c>
      <c r="G1487" s="88" t="str">
        <f>VLOOKUP(F1487, TMHM!$B$10:$C1519, 2, FALSE)</f>
        <v>Charm</v>
      </c>
      <c r="H1487" s="57">
        <v>4</v>
      </c>
      <c r="I1487" s="89" t="str">
        <f>VLOOKUP(H1487, TMHM!$B$2:$C$7, 2, FALSE)</f>
        <v>Strength</v>
      </c>
      <c r="J1487" s="30"/>
    </row>
    <row r="1488" spans="1:10" x14ac:dyDescent="0.2">
      <c r="A1488" s="120"/>
      <c r="B1488" s="73">
        <f>HEX2DEC("0B")</f>
        <v>11</v>
      </c>
      <c r="C1488" s="76" t="str">
        <f t="array" ref="C1488">INDEX(Moves!$B$2:'Moves'!$B$177, SUM(HEX2DEC("09"),1), 1)</f>
        <v>Water Gun</v>
      </c>
      <c r="D1488" s="73">
        <f>HEX2DEC("0B")</f>
        <v>11</v>
      </c>
      <c r="E1488" s="76" t="str">
        <f t="array" ref="E1488">INDEX(Moves!$B$2:'Moves'!$B$177, SUM(HEX2DEC("09"),1), 1)</f>
        <v>Water Gun</v>
      </c>
      <c r="F1488" s="21">
        <v>11</v>
      </c>
      <c r="G1488" s="88" t="str">
        <f>VLOOKUP(F1488, TMHM!$B$10:$C1519, 2, FALSE)</f>
        <v>Bubblebeam</v>
      </c>
      <c r="H1488" s="21"/>
      <c r="I1488" s="25"/>
      <c r="J1488" s="30"/>
    </row>
    <row r="1489" spans="1:10" x14ac:dyDescent="0.2">
      <c r="A1489" s="120"/>
      <c r="B1489" s="73">
        <f>HEX2DEC("15")</f>
        <v>21</v>
      </c>
      <c r="C1489" s="76" t="str">
        <f t="array" ref="C1489">INDEX(Moves!$B$2:'Moves'!$B$177, SUM(HEX2DEC("AC"),1), 1)</f>
        <v>Whirlwind</v>
      </c>
      <c r="D1489" s="73">
        <f>HEX2DEC("15")</f>
        <v>21</v>
      </c>
      <c r="E1489" s="76" t="str">
        <f t="array" ref="E1489">INDEX(Moves!$B$2:'Moves'!$B$177, SUM(HEX2DEC("AC"),1), 1)</f>
        <v>Whirlwind</v>
      </c>
      <c r="F1489" s="21">
        <v>13</v>
      </c>
      <c r="G1489" s="88" t="str">
        <f>VLOOKUP(F1489, TMHM!$B$10:$C1519, 2, FALSE)</f>
        <v>Ice Beam</v>
      </c>
      <c r="H1489" s="21"/>
      <c r="I1489" s="25"/>
      <c r="J1489" s="30"/>
    </row>
    <row r="1490" spans="1:10" x14ac:dyDescent="0.2">
      <c r="A1490" s="120"/>
      <c r="B1490" s="73">
        <f>HEX2DEC("1F")</f>
        <v>31</v>
      </c>
      <c r="C1490" s="76" t="str">
        <f t="array" ref="C1490">INDEX(Moves!$B$2:'Moves'!$B$177, SUM(HEX2DEC("5D"),1), 1)</f>
        <v>Air Cutter</v>
      </c>
      <c r="D1490" s="73">
        <f>HEX2DEC("1F")</f>
        <v>31</v>
      </c>
      <c r="E1490" s="76" t="str">
        <f t="array" ref="E1490">INDEX(Moves!$B$2:'Moves'!$B$177, SUM(HEX2DEC("5D"),1), 1)</f>
        <v>Air Cutter</v>
      </c>
      <c r="F1490" s="21">
        <v>21</v>
      </c>
      <c r="G1490" s="88" t="str">
        <f>VLOOKUP(F1490, TMHM!$B$10:$C1519, 2, FALSE)</f>
        <v>Recover</v>
      </c>
      <c r="H1490" s="21"/>
      <c r="I1490" s="25"/>
      <c r="J1490" s="30"/>
    </row>
    <row r="1491" spans="1:10" x14ac:dyDescent="0.2">
      <c r="A1491" s="120"/>
      <c r="B1491" s="73">
        <f>HEX2DEC("29")</f>
        <v>41</v>
      </c>
      <c r="C1491" s="76" t="str">
        <f t="array" ref="C1491">INDEX(Moves!$B$2:'Moves'!$B$177, SUM(HEX2DEC("0B"),1), 1)</f>
        <v>Bubblebeam</v>
      </c>
      <c r="D1491" s="73">
        <f>HEX2DEC("29")</f>
        <v>41</v>
      </c>
      <c r="E1491" s="76" t="str">
        <f t="array" ref="E1491">INDEX(Moves!$B$2:'Moves'!$B$177, SUM(HEX2DEC("0B"),1), 1)</f>
        <v>Bubblebeam</v>
      </c>
      <c r="F1491" s="21">
        <v>32</v>
      </c>
      <c r="G1491" s="88" t="str">
        <f>VLOOKUP(F1491, TMHM!$B$10:$C1519, 2, FALSE)</f>
        <v>Double Team</v>
      </c>
      <c r="H1491" s="21"/>
      <c r="I1491" s="25"/>
      <c r="J1491" s="30"/>
    </row>
    <row r="1492" spans="1:10" x14ac:dyDescent="0.2">
      <c r="A1492" s="120"/>
      <c r="B1492" s="73">
        <f>HEX2DEC("33")</f>
        <v>51</v>
      </c>
      <c r="C1492" s="76" t="str">
        <f t="array" ref="C1492">INDEX(Moves!$B$2:'Moves'!$B$177, SUM(HEX2DEC("9E"),1), 1)</f>
        <v>Supersonic</v>
      </c>
      <c r="D1492" s="73">
        <f>HEX2DEC("33")</f>
        <v>51</v>
      </c>
      <c r="E1492" s="76" t="str">
        <f t="array" ref="E1492">INDEX(Moves!$B$2:'Moves'!$B$177, SUM(HEX2DEC("9E"),1), 1)</f>
        <v>Supersonic</v>
      </c>
      <c r="F1492" s="21">
        <v>35</v>
      </c>
      <c r="G1492" s="88" t="str">
        <f>VLOOKUP(F1492, TMHM!$B$10:$C1519, 2, FALSE)</f>
        <v>Harden</v>
      </c>
      <c r="H1492" s="21"/>
      <c r="I1492" s="25"/>
      <c r="J1492" s="30"/>
    </row>
    <row r="1493" spans="1:10" x14ac:dyDescent="0.2">
      <c r="A1493" s="120"/>
      <c r="B1493" s="73">
        <f>HEX2DEC("3D")</f>
        <v>61</v>
      </c>
      <c r="C1493" s="76" t="str">
        <f t="array" ref="C1493">INDEX(Moves!$B$2:'Moves'!$B$177, SUM(HEX2DEC("A8"),1), 1)</f>
        <v>Double Team</v>
      </c>
      <c r="D1493" s="73">
        <f>HEX2DEC("3D")</f>
        <v>61</v>
      </c>
      <c r="E1493" s="76" t="str">
        <f t="array" ref="E1493">INDEX(Moves!$B$2:'Moves'!$B$177, SUM(HEX2DEC("A8"),1), 1)</f>
        <v>Double Team</v>
      </c>
      <c r="F1493" s="21"/>
      <c r="H1493" s="21"/>
      <c r="I1493" s="25"/>
      <c r="J1493" s="30"/>
    </row>
    <row r="1494" spans="1:10" x14ac:dyDescent="0.2">
      <c r="A1494" s="120"/>
      <c r="B1494" s="50">
        <f>HEX2DEC("47")</f>
        <v>71</v>
      </c>
      <c r="C1494" s="51" t="str">
        <f t="array" ref="C1494">INDEX(Moves!$B$2:'Moves'!$B$177, SUM(HEX2DEC("10"),1), 1)</f>
        <v>Water Spout</v>
      </c>
      <c r="D1494" s="50">
        <f>HEX2DEC("47")</f>
        <v>71</v>
      </c>
      <c r="E1494" s="51" t="str">
        <f t="array" ref="E1494">INDEX(Moves!$B$2:'Moves'!$B$177, SUM(HEX2DEC("0F"),1), 1)</f>
        <v>Hydro Pump</v>
      </c>
      <c r="F1494" s="21"/>
      <c r="H1494" s="21"/>
      <c r="I1494" s="25"/>
      <c r="J1494" s="30"/>
    </row>
    <row r="1495" spans="1:10" x14ac:dyDescent="0.2">
      <c r="A1495" s="127" t="s">
        <v>286</v>
      </c>
      <c r="B1495" s="93">
        <f>HEX2DEC("00")</f>
        <v>0</v>
      </c>
      <c r="C1495" s="94" t="str">
        <f t="array" ref="C1495">INDEX(Moves!$B$2:'Moves'!$B$177, SUM(HEX2DEC("89"),1), 1)</f>
        <v>Tackle</v>
      </c>
      <c r="D1495" s="70">
        <f>HEX2DEC("00")</f>
        <v>0</v>
      </c>
      <c r="E1495" s="71" t="str">
        <f t="array" ref="E1495">INDEX(Moves!$B$2:'Moves'!$B$177, SUM(HEX2DEC("89"),1), 1)</f>
        <v>Tackle</v>
      </c>
      <c r="F1495" s="41">
        <v>2</v>
      </c>
      <c r="G1495" s="12" t="str">
        <f>VLOOKUP(F1495, TMHM!$B$10:$C1519, 2, FALSE)</f>
        <v>Dragon Claw</v>
      </c>
      <c r="H1495" s="13">
        <v>2</v>
      </c>
      <c r="I1495" s="14" t="str">
        <f>VLOOKUP(H1495, TMHM!$B$2:$C$7, 2, FALSE)</f>
        <v>Fly</v>
      </c>
      <c r="J1495" s="30"/>
    </row>
    <row r="1496" spans="1:10" x14ac:dyDescent="0.2">
      <c r="A1496" s="120"/>
      <c r="B1496" s="16">
        <f>HEX2DEC("02")</f>
        <v>2</v>
      </c>
      <c r="C1496" s="17" t="str">
        <f t="array" ref="C1496">INDEX(Moves!$B$2:'Moves'!$B$177, SUM(HEX2DEC("A0"),1), 1)</f>
        <v>Growl</v>
      </c>
      <c r="D1496" s="73">
        <f>HEX2DEC("02")</f>
        <v>2</v>
      </c>
      <c r="E1496" s="76" t="str">
        <f t="array" ref="E1496">INDEX(Moves!$B$2:'Moves'!$B$177, SUM(HEX2DEC("A0"),1), 1)</f>
        <v>Growl</v>
      </c>
      <c r="F1496" s="21">
        <v>3</v>
      </c>
      <c r="G1496" s="20" t="str">
        <f>VLOOKUP(F1496, TMHM!$B$10:$C1519, 2, FALSE)</f>
        <v>Water Pulse</v>
      </c>
      <c r="H1496" s="21">
        <v>3</v>
      </c>
      <c r="I1496" s="20" t="str">
        <f>VLOOKUP(H1496, TMHM!$B$2:$C$7, 2, FALSE)</f>
        <v>Surf</v>
      </c>
      <c r="J1496" s="30"/>
    </row>
    <row r="1497" spans="1:10" x14ac:dyDescent="0.2">
      <c r="A1497" s="120"/>
      <c r="B1497" s="16">
        <f>HEX2DEC("08")</f>
        <v>8</v>
      </c>
      <c r="C1497" s="17" t="str">
        <f t="array" ref="C1497">INDEX(Moves!$B$2:'Moves'!$B$177, SUM(HEX2DEC("1B"),1), 1)</f>
        <v>Thunder Wave</v>
      </c>
      <c r="D1497" s="73">
        <f>HEX2DEC("08")</f>
        <v>8</v>
      </c>
      <c r="E1497" s="76" t="str">
        <f t="array" ref="E1497">INDEX(Moves!$B$2:'Moves'!$B$177, SUM(HEX2DEC("1B"),1), 1)</f>
        <v>Thunder Wave</v>
      </c>
      <c r="F1497" s="21">
        <v>10</v>
      </c>
      <c r="G1497" s="20" t="str">
        <f>VLOOKUP(F1497, TMHM!$B$10:$C1519, 2, FALSE)</f>
        <v>Bite</v>
      </c>
      <c r="H1497" s="21">
        <v>4</v>
      </c>
      <c r="I1497" s="20" t="str">
        <f>VLOOKUP(H1497, TMHM!$B$2:$C$7, 2, FALSE)</f>
        <v>Strength</v>
      </c>
      <c r="J1497" s="30"/>
    </row>
    <row r="1498" spans="1:10" x14ac:dyDescent="0.2">
      <c r="A1498" s="120"/>
      <c r="B1498" s="50">
        <f>HEX2DEC("0F")</f>
        <v>15</v>
      </c>
      <c r="C1498" s="51" t="str">
        <f t="array" ref="C1498">INDEX(Moves!$B$2:'Moves'!$B$177, SUM(HEX2DEC("02"),1), 1)</f>
        <v>Fire Punch</v>
      </c>
      <c r="D1498" s="50">
        <f>HEX2DEC("0F")</f>
        <v>15</v>
      </c>
      <c r="E1498" s="51" t="str">
        <f t="array" ref="E1498">INDEX(Moves!$B$2:'Moves'!$B$177, SUM(HEX2DEC("78"),1), 1)</f>
        <v>Twister</v>
      </c>
      <c r="F1498" s="21">
        <v>11</v>
      </c>
      <c r="G1498" s="20" t="str">
        <f>VLOOKUP(F1498, TMHM!$B$10:$C1519, 2, FALSE)</f>
        <v>Bubblebeam</v>
      </c>
      <c r="H1498" s="21"/>
      <c r="I1498" s="25"/>
      <c r="J1498" s="30"/>
    </row>
    <row r="1499" spans="1:10" x14ac:dyDescent="0.2">
      <c r="A1499" s="120"/>
      <c r="B1499" s="16">
        <f>HEX2DEC("16")</f>
        <v>22</v>
      </c>
      <c r="C1499" s="17" t="str">
        <f t="array" ref="C1499">INDEX(Moves!$B$2:'Moves'!$B$177, SUM(HEX2DEC("79"),1), 1)</f>
        <v>Dragon Rage</v>
      </c>
      <c r="D1499" s="73">
        <f>HEX2DEC("16")</f>
        <v>22</v>
      </c>
      <c r="E1499" s="76" t="str">
        <f t="array" ref="E1499">INDEX(Moves!$B$2:'Moves'!$B$177, SUM(HEX2DEC("79"),1), 1)</f>
        <v>Dragon Rage</v>
      </c>
      <c r="F1499" s="21">
        <v>13</v>
      </c>
      <c r="G1499" s="20" t="str">
        <f>VLOOKUP(F1499, TMHM!$B$10:$C1519, 2, FALSE)</f>
        <v>Ice Beam</v>
      </c>
      <c r="H1499" s="21"/>
      <c r="I1499" s="25"/>
      <c r="J1499" s="30"/>
    </row>
    <row r="1500" spans="1:10" x14ac:dyDescent="0.2">
      <c r="A1500" s="120"/>
      <c r="B1500" s="73">
        <f>HEX2DEC("1D")</f>
        <v>29</v>
      </c>
      <c r="C1500" s="76" t="str">
        <f t="array" ref="C1500">INDEX(Moves!$B$2:'Moves'!$B$177, SUM(HEX2DEC("8B"),1), 1)</f>
        <v>Scratch</v>
      </c>
      <c r="D1500" s="73">
        <f>HEX2DEC("1D")</f>
        <v>29</v>
      </c>
      <c r="E1500" s="76" t="str">
        <f t="array" ref="E1500">INDEX(Moves!$B$2:'Moves'!$B$177, SUM(HEX2DEC("8B"),1), 1)</f>
        <v>Scratch</v>
      </c>
      <c r="F1500" s="21">
        <v>14</v>
      </c>
      <c r="G1500" s="20" t="str">
        <f>VLOOKUP(F1500, TMHM!$B$10:$C1519, 2, FALSE)</f>
        <v>Blizzard</v>
      </c>
      <c r="H1500" s="21"/>
      <c r="I1500" s="25"/>
      <c r="J1500" s="30"/>
    </row>
    <row r="1501" spans="1:10" x14ac:dyDescent="0.2">
      <c r="A1501" s="120"/>
      <c r="B1501" s="73">
        <f>HEX2DEC("26")</f>
        <v>38</v>
      </c>
      <c r="C1501" s="76" t="str">
        <f t="array" ref="C1501">INDEX(Moves!$B$2:'Moves'!$B$177, SUM(HEX2DEC("71"),1), 1)</f>
        <v>Agility</v>
      </c>
      <c r="D1501" s="73">
        <f>HEX2DEC("26")</f>
        <v>38</v>
      </c>
      <c r="E1501" s="76" t="str">
        <f t="array" ref="E1501">INDEX(Moves!$B$2:'Moves'!$B$177, SUM(HEX2DEC("71"),1), 1)</f>
        <v>Agility</v>
      </c>
      <c r="F1501" s="21">
        <v>15</v>
      </c>
      <c r="G1501" s="20" t="str">
        <f>VLOOKUP(F1501, TMHM!$B$10:$C1519, 2, FALSE)</f>
        <v>Hyper Beam</v>
      </c>
      <c r="H1501" s="21"/>
      <c r="I1501" s="25"/>
      <c r="J1501" s="30"/>
    </row>
    <row r="1502" spans="1:10" x14ac:dyDescent="0.2">
      <c r="A1502" s="120"/>
      <c r="B1502" s="73">
        <f>HEX2DEC("2F")</f>
        <v>47</v>
      </c>
      <c r="C1502" s="76" t="str">
        <f t="array" ref="C1502">INDEX(Moves!$B$2:'Moves'!$B$177, SUM(HEX2DEC("7B"),1), 1)</f>
        <v>Dragon Claw</v>
      </c>
      <c r="D1502" s="73">
        <f>HEX2DEC("2F")</f>
        <v>47</v>
      </c>
      <c r="E1502" s="76" t="str">
        <f t="array" ref="E1502">INDEX(Moves!$B$2:'Moves'!$B$177, SUM(HEX2DEC("7B"),1), 1)</f>
        <v>Dragon Claw</v>
      </c>
      <c r="F1502" s="21">
        <v>24</v>
      </c>
      <c r="G1502" s="20" t="str">
        <f>VLOOKUP(F1502, TMHM!$B$10:$C1519, 2, FALSE)</f>
        <v>Thunderbolt</v>
      </c>
      <c r="H1502" s="21"/>
      <c r="I1502" s="25"/>
      <c r="J1502" s="30"/>
    </row>
    <row r="1503" spans="1:10" x14ac:dyDescent="0.2">
      <c r="A1503" s="120"/>
      <c r="B1503" s="73">
        <f>HEX2DEC("37")</f>
        <v>55</v>
      </c>
      <c r="C1503" s="76" t="str">
        <f t="array" ref="C1503">INDEX(Moves!$B$2:'Moves'!$B$177, SUM(HEX2DEC("5E"),1), 1)</f>
        <v>Wing Attack</v>
      </c>
      <c r="D1503" s="73">
        <f>HEX2DEC("37")</f>
        <v>55</v>
      </c>
      <c r="E1503" s="76" t="str">
        <f t="array" ref="E1503">INDEX(Moves!$B$2:'Moves'!$B$177, SUM(HEX2DEC("5E"),1), 1)</f>
        <v>Wing Attack</v>
      </c>
      <c r="F1503" s="21">
        <v>25</v>
      </c>
      <c r="G1503" s="20" t="str">
        <f>VLOOKUP(F1503, TMHM!$B$10:$C1519, 2, FALSE)</f>
        <v>Thunder</v>
      </c>
      <c r="H1503" s="21"/>
      <c r="I1503" s="25"/>
      <c r="J1503" s="30"/>
    </row>
    <row r="1504" spans="1:10" x14ac:dyDescent="0.2">
      <c r="A1504" s="120"/>
      <c r="B1504" s="50">
        <f>HEX2DEC("3D")</f>
        <v>61</v>
      </c>
      <c r="C1504" s="51" t="str">
        <f t="array" ref="C1504">INDEX(Moves!$B$2:'Moves'!$B$177, SUM(HEX2DEC("34"),1), 1)</f>
        <v>Earthquake</v>
      </c>
      <c r="D1504" s="50">
        <f>HEX2DEC("3D")</f>
        <v>61</v>
      </c>
      <c r="E1504" s="51" t="str">
        <f t="array" ref="E1504">INDEX(Moves!$B$2:'Moves'!$B$177, SUM(HEX2DEC("7C"),1), 1)</f>
        <v>Outrage</v>
      </c>
      <c r="F1504" s="21">
        <v>37</v>
      </c>
      <c r="G1504" s="20" t="str">
        <f>VLOOKUP(F1504, TMHM!$B$10:$C1519, 2, FALSE)</f>
        <v>Aerial Ace</v>
      </c>
      <c r="H1504" s="21"/>
      <c r="I1504" s="25"/>
      <c r="J1504" s="30"/>
    </row>
    <row r="1505" spans="1:10" x14ac:dyDescent="0.2">
      <c r="A1505" s="120"/>
      <c r="B1505" s="50">
        <f>HEX2DEC("4B")</f>
        <v>75</v>
      </c>
      <c r="C1505" s="51" t="str">
        <f t="array" ref="C1505">INDEX(Moves!$B$2:'Moves'!$B$177, SUM(HEX2DEC("06"),1), 1)</f>
        <v>Eruption</v>
      </c>
      <c r="D1505" s="50">
        <f>HEX2DEC("4B")</f>
        <v>75</v>
      </c>
      <c r="E1505" s="51" t="str">
        <f t="array" ref="E1505">INDEX(Moves!$B$2:'Moves'!$B$177, SUM(HEX2DEC("97"),1), 1)</f>
        <v>Hyper Beam</v>
      </c>
      <c r="F1505" s="21"/>
      <c r="H1505" s="21"/>
      <c r="I1505" s="25"/>
      <c r="J1505" s="30"/>
    </row>
    <row r="1506" spans="1:10" x14ac:dyDescent="0.2">
      <c r="A1506" s="127" t="s">
        <v>287</v>
      </c>
      <c r="B1506" s="70">
        <f>HEX2DEC("00")</f>
        <v>0</v>
      </c>
      <c r="C1506" s="71" t="str">
        <f t="array" ref="C1506">INDEX(Moves!$B$2:'Moves'!$B$177, SUM(HEX2DEC("63"),1), 1)</f>
        <v>Aeroblast</v>
      </c>
      <c r="D1506" s="70">
        <f>HEX2DEC("00")</f>
        <v>0</v>
      </c>
      <c r="E1506" s="71" t="str">
        <f t="array" ref="E1506">INDEX(Moves!$B$2:'Moves'!$B$177, SUM(HEX2DEC("63"),1), 1)</f>
        <v>Aeroblast</v>
      </c>
      <c r="F1506" s="83">
        <v>2</v>
      </c>
      <c r="G1506" s="84" t="str">
        <f>VLOOKUP(F1506, TMHM!$B$10:$C1519, 2, FALSE)</f>
        <v>Dragon Claw</v>
      </c>
      <c r="H1506" s="85">
        <v>3</v>
      </c>
      <c r="I1506" s="86" t="str">
        <f>VLOOKUP(H1506, TMHM!$B$2:$C$7, 2, FALSE)</f>
        <v>Surf</v>
      </c>
      <c r="J1506" s="30"/>
    </row>
    <row r="1507" spans="1:10" x14ac:dyDescent="0.2">
      <c r="A1507" s="120"/>
      <c r="B1507" s="73">
        <f>HEX2DEC("0B")</f>
        <v>11</v>
      </c>
      <c r="C1507" s="76" t="str">
        <f t="array" ref="C1507">INDEX(Moves!$B$2:'Moves'!$B$177, SUM(HEX2DEC("7D"),1), 1)</f>
        <v>Dragon Dance</v>
      </c>
      <c r="D1507" s="73">
        <f>HEX2DEC("0B")</f>
        <v>11</v>
      </c>
      <c r="E1507" s="76" t="str">
        <f t="array" ref="E1507">INDEX(Moves!$B$2:'Moves'!$B$177, SUM(HEX2DEC("7D"),1), 1)</f>
        <v>Dragon Dance</v>
      </c>
      <c r="F1507" s="87">
        <v>3</v>
      </c>
      <c r="G1507" s="88" t="str">
        <f>VLOOKUP(F1507, TMHM!$B$10:$C1519, 2, FALSE)</f>
        <v>Water Pulse</v>
      </c>
      <c r="H1507" s="57">
        <v>4</v>
      </c>
      <c r="I1507" s="89" t="str">
        <f>VLOOKUP(H1507, TMHM!$B$2:$C$7, 2, FALSE)</f>
        <v>Strength</v>
      </c>
      <c r="J1507" s="30"/>
    </row>
    <row r="1508" spans="1:10" x14ac:dyDescent="0.2">
      <c r="A1508" s="120"/>
      <c r="B1508" s="50">
        <f>HEX2DEC("16")</f>
        <v>22</v>
      </c>
      <c r="C1508" s="51" t="str">
        <f t="array" ref="C1508">INDEX(Moves!$B$2:'Moves'!$B$177, SUM(HEX2DEC("71"),1), 1)</f>
        <v>Agility</v>
      </c>
      <c r="D1508" s="50">
        <f>HEX2DEC("16")</f>
        <v>22</v>
      </c>
      <c r="E1508" s="51" t="str">
        <f t="array" ref="E1508">INDEX(Moves!$B$2:'Moves'!$B$177, SUM(HEX2DEC("79"),1), 1)</f>
        <v>Dragon Rage</v>
      </c>
      <c r="F1508" s="21">
        <v>5</v>
      </c>
      <c r="G1508" s="88" t="str">
        <f>VLOOKUP(F1508, TMHM!$B$10:$C1519, 2, FALSE)</f>
        <v>Roar</v>
      </c>
      <c r="H1508" s="21"/>
      <c r="I1508" s="25"/>
      <c r="J1508" s="30"/>
    </row>
    <row r="1509" spans="1:10" x14ac:dyDescent="0.2">
      <c r="A1509" s="120"/>
      <c r="B1509" s="73">
        <f>HEX2DEC("21")</f>
        <v>33</v>
      </c>
      <c r="C1509" s="76" t="str">
        <f t="array" ref="C1509">INDEX(Moves!$B$2:'Moves'!$B$177, SUM(HEX2DEC("A9"),1), 1)</f>
        <v>Recover</v>
      </c>
      <c r="D1509" s="73">
        <f>HEX2DEC("21")</f>
        <v>33</v>
      </c>
      <c r="E1509" s="76" t="str">
        <f t="array" ref="E1509">INDEX(Moves!$B$2:'Moves'!$B$177, SUM(HEX2DEC("A9"),1), 1)</f>
        <v>Recover</v>
      </c>
      <c r="F1509" s="21">
        <v>11</v>
      </c>
      <c r="G1509" s="88" t="str">
        <f>VLOOKUP(F1509, TMHM!$B$10:$C1519, 2, FALSE)</f>
        <v>Bubblebeam</v>
      </c>
      <c r="H1509" s="21"/>
      <c r="I1509" s="25"/>
      <c r="J1509" s="30"/>
    </row>
    <row r="1510" spans="1:10" x14ac:dyDescent="0.2">
      <c r="A1510" s="120"/>
      <c r="B1510" s="73">
        <f>HEX2DEC("2C")</f>
        <v>44</v>
      </c>
      <c r="C1510" s="76" t="str">
        <f t="array" ref="C1510">INDEX(Moves!$B$2:'Moves'!$B$177, SUM(HEX2DEC("0B"),1), 1)</f>
        <v>Bubblebeam</v>
      </c>
      <c r="D1510" s="73">
        <f>HEX2DEC("2C")</f>
        <v>44</v>
      </c>
      <c r="E1510" s="76" t="str">
        <f t="array" ref="E1510">INDEX(Moves!$B$2:'Moves'!$B$177, SUM(HEX2DEC("0B"),1), 1)</f>
        <v>Bubblebeam</v>
      </c>
      <c r="F1510" s="21">
        <v>13</v>
      </c>
      <c r="G1510" s="88" t="str">
        <f>VLOOKUP(F1510, TMHM!$B$10:$C1519, 2, FALSE)</f>
        <v>Ice Beam</v>
      </c>
      <c r="H1510" s="21"/>
      <c r="I1510" s="25"/>
      <c r="J1510" s="30"/>
    </row>
    <row r="1511" spans="1:10" x14ac:dyDescent="0.2">
      <c r="A1511" s="120"/>
      <c r="B1511" s="50">
        <f>HEX2DEC("37")</f>
        <v>55</v>
      </c>
      <c r="C1511" s="51" t="str">
        <f t="array" ref="C1511">INDEX(Moves!$B$2:'Moves'!$B$177, SUM(HEX2DEC("97"),1), 1)</f>
        <v>Hyper Beam</v>
      </c>
      <c r="D1511" s="50">
        <f>HEX2DEC("37")</f>
        <v>55</v>
      </c>
      <c r="E1511" s="51" t="str">
        <f t="array" ref="E1511">INDEX(Moves!$B$2:'Moves'!$B$177, SUM(HEX2DEC("0F"),1), 1)</f>
        <v>Hydro Pump</v>
      </c>
      <c r="F1511" s="21">
        <v>14</v>
      </c>
      <c r="G1511" s="88" t="str">
        <f>VLOOKUP(F1511, TMHM!$B$10:$C1519, 2, FALSE)</f>
        <v>Blizzard</v>
      </c>
      <c r="H1511" s="21"/>
      <c r="I1511" s="25"/>
      <c r="J1511" s="30"/>
    </row>
    <row r="1512" spans="1:10" x14ac:dyDescent="0.2">
      <c r="A1512" s="120"/>
      <c r="B1512" s="73">
        <f>HEX2DEC("42")</f>
        <v>66</v>
      </c>
      <c r="C1512" s="76" t="str">
        <f t="array" ref="C1512">INDEX(Moves!$B$2:'Moves'!$B$177, SUM(HEX2DEC("90"),1), 1)</f>
        <v>Swift</v>
      </c>
      <c r="D1512" s="73">
        <f>HEX2DEC("42")</f>
        <v>66</v>
      </c>
      <c r="E1512" s="76" t="str">
        <f t="array" ref="E1512">INDEX(Moves!$B$2:'Moves'!$B$177, SUM(HEX2DEC("90"),1), 1)</f>
        <v>Swift</v>
      </c>
      <c r="F1512" s="21">
        <v>15</v>
      </c>
      <c r="G1512" s="88" t="str">
        <f>VLOOKUP(F1512, TMHM!$B$10:$C1519, 2, FALSE)</f>
        <v>Hyper Beam</v>
      </c>
      <c r="H1512" s="21"/>
      <c r="I1512" s="25"/>
      <c r="J1512" s="30"/>
    </row>
    <row r="1513" spans="1:10" x14ac:dyDescent="0.2">
      <c r="A1513" s="120"/>
      <c r="B1513" s="73">
        <f>HEX2DEC("4D")</f>
        <v>77</v>
      </c>
      <c r="C1513" s="76" t="str">
        <f t="array" ref="C1513">INDEX(Moves!$B$2:'Moves'!$B$177, SUM(HEX2DEC("7A"),1), 1)</f>
        <v>DragonBreath</v>
      </c>
      <c r="D1513" s="73">
        <f>HEX2DEC("4D")</f>
        <v>77</v>
      </c>
      <c r="E1513" s="76" t="str">
        <f t="array" ref="E1513">INDEX(Moves!$B$2:'Moves'!$B$177, SUM(HEX2DEC("7A"),1), 1)</f>
        <v>DragonBreath</v>
      </c>
      <c r="F1513" s="21">
        <v>16</v>
      </c>
      <c r="G1513" s="88" t="str">
        <f>VLOOKUP(F1513, TMHM!$B$10:$C1519, 2, FALSE)</f>
        <v>Rest</v>
      </c>
      <c r="H1513" s="21"/>
      <c r="I1513" s="25"/>
      <c r="J1513" s="30"/>
    </row>
    <row r="1514" spans="1:10" x14ac:dyDescent="0.2">
      <c r="A1514" s="120"/>
      <c r="B1514" s="50">
        <f>HEX2DEC("58")</f>
        <v>88</v>
      </c>
      <c r="C1514" s="51" t="str">
        <f t="array" ref="C1514">INDEX(Moves!$B$2:'Moves'!$B$177, SUM(HEX2DEC("7C"),1), 1)</f>
        <v>Outrage</v>
      </c>
      <c r="D1514" s="50">
        <f>HEX2DEC("58")</f>
        <v>88</v>
      </c>
      <c r="E1514" s="51" t="str">
        <f t="array" ref="E1514">INDEX(Moves!$B$2:'Moves'!$B$177, SUM(HEX2DEC("10"),1), 1)</f>
        <v>Water Spout</v>
      </c>
      <c r="F1514" s="21">
        <v>21</v>
      </c>
      <c r="G1514" s="88" t="str">
        <f>VLOOKUP(F1514, TMHM!$B$10:$C1519, 2, FALSE)</f>
        <v>Recover</v>
      </c>
      <c r="H1514" s="21"/>
      <c r="I1514" s="25"/>
      <c r="J1514" s="30"/>
    </row>
    <row r="1515" spans="1:10" x14ac:dyDescent="0.2">
      <c r="A1515" s="120"/>
      <c r="B1515" s="73">
        <f>HEX2DEC("63")</f>
        <v>99</v>
      </c>
      <c r="C1515" s="76" t="str">
        <f t="array" ref="C1515">INDEX(Moves!$B$2:'Moves'!$B$177, SUM(HEX2DEC("69"),1), 1)</f>
        <v>Future Sight</v>
      </c>
      <c r="D1515" s="73">
        <f>HEX2DEC("63")</f>
        <v>99</v>
      </c>
      <c r="E1515" s="76" t="str">
        <f t="array" ref="E1515">INDEX(Moves!$B$2:'Moves'!$B$177, SUM(HEX2DEC("69"),1), 1)</f>
        <v>Future Sight</v>
      </c>
      <c r="F1515" s="21">
        <v>24</v>
      </c>
      <c r="G1515" s="88" t="str">
        <f>VLOOKUP(F1515, TMHM!$B$10:$C1519, 2, FALSE)</f>
        <v>Thunderbolt</v>
      </c>
      <c r="H1515" s="21"/>
      <c r="I1515" s="25"/>
      <c r="J1515" s="30"/>
    </row>
    <row r="1516" spans="1:10" x14ac:dyDescent="0.2">
      <c r="A1516" s="120"/>
      <c r="B1516" s="16"/>
      <c r="C1516" s="17"/>
      <c r="D1516" s="16"/>
      <c r="E1516" s="17"/>
      <c r="F1516" s="21">
        <v>25</v>
      </c>
      <c r="G1516" s="88" t="str">
        <f>VLOOKUP(F1516, TMHM!$B$10:$C1519, 2, FALSE)</f>
        <v>Thunder</v>
      </c>
      <c r="H1516" s="21"/>
      <c r="J1516" s="30"/>
    </row>
    <row r="1517" spans="1:10" x14ac:dyDescent="0.2">
      <c r="A1517" s="120"/>
      <c r="B1517" s="16"/>
      <c r="C1517" s="17"/>
      <c r="D1517" s="16"/>
      <c r="E1517" s="17"/>
      <c r="F1517" s="21">
        <v>37</v>
      </c>
      <c r="G1517" s="88" t="str">
        <f>VLOOKUP(F1517, TMHM!$B$10:$C1519, 2, FALSE)</f>
        <v>Aerial Ace</v>
      </c>
      <c r="H1517" s="21"/>
      <c r="I1517" s="25"/>
      <c r="J1517" s="30"/>
    </row>
    <row r="1518" spans="1:10" x14ac:dyDescent="0.2">
      <c r="A1518" s="120"/>
      <c r="B1518" s="16"/>
      <c r="C1518" s="17"/>
      <c r="D1518" s="16"/>
      <c r="E1518" s="17"/>
      <c r="F1518" s="21">
        <v>39</v>
      </c>
      <c r="G1518" s="88" t="str">
        <f>VLOOKUP(F1518, TMHM!$B$10:$C1519, 2, FALSE)</f>
        <v>Rock Tomb</v>
      </c>
      <c r="H1518" s="21"/>
      <c r="I1518" s="25"/>
      <c r="J1518" s="30"/>
    </row>
    <row r="1519" spans="1:10" x14ac:dyDescent="0.2">
      <c r="A1519" s="120"/>
      <c r="B1519" s="95"/>
      <c r="C1519" s="75"/>
      <c r="D1519" s="95"/>
      <c r="E1519" s="75"/>
      <c r="F1519" s="21">
        <v>40</v>
      </c>
      <c r="G1519" s="88" t="str">
        <f>VLOOKUP(F1519, TMHM!$B$10:$C1519, 2, FALSE)</f>
        <v>Psychic</v>
      </c>
      <c r="H1519" s="21"/>
      <c r="I1519" s="25"/>
      <c r="J1519" s="30"/>
    </row>
  </sheetData>
  <mergeCells count="162">
    <mergeCell ref="A1292:A1299"/>
    <mergeCell ref="A1300:A1309"/>
    <mergeCell ref="A1310:A1317"/>
    <mergeCell ref="A1318:A1327"/>
    <mergeCell ref="A1328:A1335"/>
    <mergeCell ref="A1336:A1345"/>
    <mergeCell ref="A1346:A1353"/>
    <mergeCell ref="A1200:A1207"/>
    <mergeCell ref="A1208:A1217"/>
    <mergeCell ref="A1221:A1231"/>
    <mergeCell ref="A1232:A1242"/>
    <mergeCell ref="A1244:A1251"/>
    <mergeCell ref="A1252:A1261"/>
    <mergeCell ref="A1262:A1271"/>
    <mergeCell ref="A1272:A1281"/>
    <mergeCell ref="A1282:A1291"/>
    <mergeCell ref="A1106:A1115"/>
    <mergeCell ref="A1116:A1125"/>
    <mergeCell ref="A1126:A1135"/>
    <mergeCell ref="A1136:A1145"/>
    <mergeCell ref="A1146:A1156"/>
    <mergeCell ref="A1157:A1166"/>
    <mergeCell ref="A1167:A1178"/>
    <mergeCell ref="A1179:A1187"/>
    <mergeCell ref="A1188:A1199"/>
    <mergeCell ref="A1017:A1025"/>
    <mergeCell ref="A1026:A1036"/>
    <mergeCell ref="A1037:A1045"/>
    <mergeCell ref="A1046:A1055"/>
    <mergeCell ref="A1056:A1066"/>
    <mergeCell ref="A1067:A1076"/>
    <mergeCell ref="A1077:A1086"/>
    <mergeCell ref="A1087:A1095"/>
    <mergeCell ref="A1096:A1105"/>
    <mergeCell ref="A1438:A1446"/>
    <mergeCell ref="A1447:A1455"/>
    <mergeCell ref="A1456:A1469"/>
    <mergeCell ref="A1470:A1485"/>
    <mergeCell ref="A1486:A1494"/>
    <mergeCell ref="A1495:A1505"/>
    <mergeCell ref="A1506:A1519"/>
    <mergeCell ref="A1354:A1361"/>
    <mergeCell ref="A1362:A1369"/>
    <mergeCell ref="A1370:A1379"/>
    <mergeCell ref="A1380:A1391"/>
    <mergeCell ref="A1392:A1404"/>
    <mergeCell ref="A1405:A1415"/>
    <mergeCell ref="A1416:A1428"/>
    <mergeCell ref="A800:A807"/>
    <mergeCell ref="A808:A816"/>
    <mergeCell ref="A817:A825"/>
    <mergeCell ref="A826:A835"/>
    <mergeCell ref="A836:A843"/>
    <mergeCell ref="A844:A849"/>
    <mergeCell ref="A850:A858"/>
    <mergeCell ref="A859:A868"/>
    <mergeCell ref="A1429:A1437"/>
    <mergeCell ref="A869:A878"/>
    <mergeCell ref="A879:A887"/>
    <mergeCell ref="A888:A897"/>
    <mergeCell ref="A898:A909"/>
    <mergeCell ref="A910:A917"/>
    <mergeCell ref="A918:A926"/>
    <mergeCell ref="A927:A935"/>
    <mergeCell ref="A936:A944"/>
    <mergeCell ref="A945:A953"/>
    <mergeCell ref="A954:A961"/>
    <mergeCell ref="A962:A972"/>
    <mergeCell ref="A973:A986"/>
    <mergeCell ref="A987:A997"/>
    <mergeCell ref="A998:A1007"/>
    <mergeCell ref="A1008:A1016"/>
    <mergeCell ref="A713:A721"/>
    <mergeCell ref="A722:A734"/>
    <mergeCell ref="A735:A743"/>
    <mergeCell ref="A744:A755"/>
    <mergeCell ref="A756:A764"/>
    <mergeCell ref="A765:A773"/>
    <mergeCell ref="A774:A781"/>
    <mergeCell ref="A782:A789"/>
    <mergeCell ref="A790:A799"/>
    <mergeCell ref="A620:A630"/>
    <mergeCell ref="A631:A640"/>
    <mergeCell ref="A641:A652"/>
    <mergeCell ref="A653:A660"/>
    <mergeCell ref="A661:A669"/>
    <mergeCell ref="A670:A680"/>
    <mergeCell ref="A681:A689"/>
    <mergeCell ref="A690:A700"/>
    <mergeCell ref="A701:A712"/>
    <mergeCell ref="A536:A543"/>
    <mergeCell ref="A544:A549"/>
    <mergeCell ref="A550:A558"/>
    <mergeCell ref="A559:A567"/>
    <mergeCell ref="A568:A576"/>
    <mergeCell ref="A578:A587"/>
    <mergeCell ref="A588:A597"/>
    <mergeCell ref="A598:A608"/>
    <mergeCell ref="A609:A619"/>
    <mergeCell ref="A445:A457"/>
    <mergeCell ref="A458:A465"/>
    <mergeCell ref="A466:A475"/>
    <mergeCell ref="A476:A483"/>
    <mergeCell ref="A484:A492"/>
    <mergeCell ref="A493:A500"/>
    <mergeCell ref="A501:A511"/>
    <mergeCell ref="A512:A521"/>
    <mergeCell ref="A522:A535"/>
    <mergeCell ref="A368:A374"/>
    <mergeCell ref="A375:A381"/>
    <mergeCell ref="A382:A389"/>
    <mergeCell ref="A390:A397"/>
    <mergeCell ref="A398:A407"/>
    <mergeCell ref="A408:A415"/>
    <mergeCell ref="A416:A423"/>
    <mergeCell ref="A424:A433"/>
    <mergeCell ref="A434:A444"/>
    <mergeCell ref="A284:A294"/>
    <mergeCell ref="A295:A305"/>
    <mergeCell ref="A306:A316"/>
    <mergeCell ref="A317:A327"/>
    <mergeCell ref="A328:A337"/>
    <mergeCell ref="A338:A344"/>
    <mergeCell ref="A345:A352"/>
    <mergeCell ref="A353:A358"/>
    <mergeCell ref="A359:A367"/>
    <mergeCell ref="A193:A202"/>
    <mergeCell ref="A203:A211"/>
    <mergeCell ref="A212:A221"/>
    <mergeCell ref="A222:A232"/>
    <mergeCell ref="A233:A239"/>
    <mergeCell ref="A240:A250"/>
    <mergeCell ref="A251:A261"/>
    <mergeCell ref="A262:A272"/>
    <mergeCell ref="A273:A283"/>
    <mergeCell ref="A127:A128"/>
    <mergeCell ref="A129:A130"/>
    <mergeCell ref="A131:A138"/>
    <mergeCell ref="A139:A146"/>
    <mergeCell ref="A147:A156"/>
    <mergeCell ref="A157:A168"/>
    <mergeCell ref="A169:A176"/>
    <mergeCell ref="A177:A184"/>
    <mergeCell ref="A185:A192"/>
    <mergeCell ref="A41:A50"/>
    <mergeCell ref="A51:A61"/>
    <mergeCell ref="A62:A74"/>
    <mergeCell ref="A75:A85"/>
    <mergeCell ref="A86:A98"/>
    <mergeCell ref="A99:A112"/>
    <mergeCell ref="A113:A114"/>
    <mergeCell ref="A115:A116"/>
    <mergeCell ref="A117:A126"/>
    <mergeCell ref="A1:A2"/>
    <mergeCell ref="B1:C1"/>
    <mergeCell ref="D1:E1"/>
    <mergeCell ref="F1:G1"/>
    <mergeCell ref="H1:I1"/>
    <mergeCell ref="A3:A13"/>
    <mergeCell ref="J10:J14"/>
    <mergeCell ref="A14:A26"/>
    <mergeCell ref="A27:A40"/>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78"/>
  <sheetViews>
    <sheetView workbookViewId="0"/>
  </sheetViews>
  <sheetFormatPr defaultColWidth="12.5703125" defaultRowHeight="15.75" customHeight="1" x14ac:dyDescent="0.2"/>
  <cols>
    <col min="7" max="7" width="28.5703125" customWidth="1"/>
    <col min="8" max="8" width="14" customWidth="1"/>
    <col min="9" max="9" width="131.42578125" customWidth="1"/>
  </cols>
  <sheetData>
    <row r="1" spans="1:9" ht="12.75" x14ac:dyDescent="0.2">
      <c r="A1" s="96" t="s">
        <v>288</v>
      </c>
      <c r="B1" s="97" t="s">
        <v>7</v>
      </c>
      <c r="C1" s="97" t="s">
        <v>289</v>
      </c>
      <c r="D1" s="97" t="s">
        <v>290</v>
      </c>
      <c r="E1" s="97" t="s">
        <v>291</v>
      </c>
      <c r="F1" s="97" t="s">
        <v>292</v>
      </c>
      <c r="G1" s="97" t="s">
        <v>293</v>
      </c>
      <c r="H1" s="98" t="s">
        <v>294</v>
      </c>
      <c r="I1" s="97" t="s">
        <v>5</v>
      </c>
    </row>
    <row r="2" spans="1:9" ht="12.75" x14ac:dyDescent="0.2">
      <c r="A2" s="99" t="str">
        <f t="shared" ref="A2:A177" si="0">DEC2HEX(ROW()-2,2)</f>
        <v>00</v>
      </c>
      <c r="B2" s="20" t="s">
        <v>295</v>
      </c>
      <c r="C2" s="16">
        <f>HEX2DEC("28")</f>
        <v>40</v>
      </c>
      <c r="D2" s="16">
        <f t="shared" ref="D2:D5" si="1">HEX2DEC("64")</f>
        <v>100</v>
      </c>
      <c r="E2" s="16">
        <f t="shared" ref="E2:E3" si="2">HEX2DEC("19")</f>
        <v>25</v>
      </c>
      <c r="F2" s="16" t="s">
        <v>296</v>
      </c>
      <c r="G2" s="16" t="e">
        <f t="shared" ref="G2:G9" ca="1" si="3">GETEFFECT(HEX2DEC(4))</f>
        <v>#NAME?</v>
      </c>
      <c r="H2" s="100">
        <f t="shared" ref="H2:H5" si="4">PRODUCT((HEX2DEC("0A")),0.01)</f>
        <v>0.1</v>
      </c>
      <c r="I2" s="101"/>
    </row>
    <row r="3" spans="1:9" ht="12.75" x14ac:dyDescent="0.2">
      <c r="A3" s="99" t="str">
        <f t="shared" si="0"/>
        <v>01</v>
      </c>
      <c r="B3" s="20" t="s">
        <v>297</v>
      </c>
      <c r="C3" s="16">
        <f>HEX2DEC("3C")</f>
        <v>60</v>
      </c>
      <c r="D3" s="16">
        <f t="shared" si="1"/>
        <v>100</v>
      </c>
      <c r="E3" s="16">
        <f t="shared" si="2"/>
        <v>25</v>
      </c>
      <c r="F3" s="16" t="s">
        <v>296</v>
      </c>
      <c r="G3" s="16" t="e">
        <f t="shared" ca="1" si="3"/>
        <v>#NAME?</v>
      </c>
      <c r="H3" s="100">
        <f t="shared" si="4"/>
        <v>0.1</v>
      </c>
      <c r="I3" s="20"/>
    </row>
    <row r="4" spans="1:9" ht="12.75" x14ac:dyDescent="0.2">
      <c r="A4" s="99" t="str">
        <f t="shared" si="0"/>
        <v>02</v>
      </c>
      <c r="B4" s="20" t="s">
        <v>298</v>
      </c>
      <c r="C4" s="16">
        <f>HEX2DEC("4B")</f>
        <v>75</v>
      </c>
      <c r="D4" s="16">
        <f t="shared" si="1"/>
        <v>100</v>
      </c>
      <c r="E4" s="16">
        <f t="shared" ref="E4:E5" si="5">HEX2DEC("0F")</f>
        <v>15</v>
      </c>
      <c r="F4" s="16" t="s">
        <v>296</v>
      </c>
      <c r="G4" s="16" t="e">
        <f t="shared" ca="1" si="3"/>
        <v>#NAME?</v>
      </c>
      <c r="H4" s="100">
        <f t="shared" si="4"/>
        <v>0.1</v>
      </c>
      <c r="I4" s="20"/>
    </row>
    <row r="5" spans="1:9" ht="12.75" x14ac:dyDescent="0.2">
      <c r="A5" s="99" t="str">
        <f t="shared" si="0"/>
        <v>03</v>
      </c>
      <c r="B5" s="20" t="s">
        <v>299</v>
      </c>
      <c r="C5" s="16">
        <f>HEX2DEC("5F")</f>
        <v>95</v>
      </c>
      <c r="D5" s="16">
        <f t="shared" si="1"/>
        <v>100</v>
      </c>
      <c r="E5" s="16">
        <f t="shared" si="5"/>
        <v>15</v>
      </c>
      <c r="F5" s="16" t="s">
        <v>296</v>
      </c>
      <c r="G5" s="16" t="e">
        <f t="shared" ca="1" si="3"/>
        <v>#NAME?</v>
      </c>
      <c r="H5" s="100">
        <f t="shared" si="4"/>
        <v>0.1</v>
      </c>
      <c r="I5" s="20"/>
    </row>
    <row r="6" spans="1:9" ht="12.75" x14ac:dyDescent="0.2">
      <c r="A6" s="99" t="str">
        <f t="shared" si="0"/>
        <v>04</v>
      </c>
      <c r="B6" s="20" t="s">
        <v>300</v>
      </c>
      <c r="C6" s="16">
        <f>HEX2DEC("64")</f>
        <v>100</v>
      </c>
      <c r="D6" s="16">
        <f>HEX2DEC("5F")</f>
        <v>95</v>
      </c>
      <c r="E6" s="16">
        <f t="shared" ref="E6:E7" si="6">HEX2DEC("05")</f>
        <v>5</v>
      </c>
      <c r="F6" s="16" t="s">
        <v>296</v>
      </c>
      <c r="G6" s="16" t="e">
        <f t="shared" ca="1" si="3"/>
        <v>#NAME?</v>
      </c>
      <c r="H6" s="100">
        <f>PRODUCT((HEX2DEC("32")),0.01)</f>
        <v>0.5</v>
      </c>
      <c r="I6" s="20" t="s">
        <v>301</v>
      </c>
    </row>
    <row r="7" spans="1:9" ht="12.75" x14ac:dyDescent="0.2">
      <c r="A7" s="99" t="str">
        <f t="shared" si="0"/>
        <v>05</v>
      </c>
      <c r="B7" s="20" t="s">
        <v>302</v>
      </c>
      <c r="C7" s="16">
        <f>HEX2DEC("78")</f>
        <v>120</v>
      </c>
      <c r="D7" s="16">
        <f>HEX2DEC("55")</f>
        <v>85</v>
      </c>
      <c r="E7" s="16">
        <f t="shared" si="6"/>
        <v>5</v>
      </c>
      <c r="F7" s="16" t="s">
        <v>296</v>
      </c>
      <c r="G7" s="16" t="e">
        <f t="shared" ca="1" si="3"/>
        <v>#NAME?</v>
      </c>
      <c r="H7" s="100">
        <f t="shared" ref="H7:H8" si="7">PRODUCT((HEX2DEC("0A")),0.01)</f>
        <v>0.1</v>
      </c>
      <c r="I7" s="20"/>
    </row>
    <row r="8" spans="1:9" ht="12.75" x14ac:dyDescent="0.2">
      <c r="A8" s="99" t="str">
        <f t="shared" si="0"/>
        <v>06</v>
      </c>
      <c r="B8" s="20" t="s">
        <v>303</v>
      </c>
      <c r="C8" s="16">
        <f>HEX2DEC("96")</f>
        <v>150</v>
      </c>
      <c r="D8" s="16">
        <f>HEX2DEC("64")</f>
        <v>100</v>
      </c>
      <c r="E8" s="16">
        <f>HEX2DEC("0A")</f>
        <v>10</v>
      </c>
      <c r="F8" s="16" t="s">
        <v>296</v>
      </c>
      <c r="G8" s="16" t="e">
        <f t="shared" ca="1" si="3"/>
        <v>#NAME?</v>
      </c>
      <c r="H8" s="100">
        <f t="shared" si="7"/>
        <v>0.1</v>
      </c>
      <c r="I8" s="20" t="s">
        <v>304</v>
      </c>
    </row>
    <row r="9" spans="1:9" ht="12.75" x14ac:dyDescent="0.2">
      <c r="A9" s="99" t="str">
        <f t="shared" si="0"/>
        <v>07</v>
      </c>
      <c r="B9" s="20" t="s">
        <v>305</v>
      </c>
      <c r="C9" s="16">
        <f>HEX2DEC("00")</f>
        <v>0</v>
      </c>
      <c r="D9" s="16">
        <f>HEX2DEC("4B")</f>
        <v>75</v>
      </c>
      <c r="E9" s="16">
        <f>HEX2DEC("0F")</f>
        <v>15</v>
      </c>
      <c r="F9" s="16" t="s">
        <v>296</v>
      </c>
      <c r="G9" s="16" t="e">
        <f t="shared" ca="1" si="3"/>
        <v>#NAME?</v>
      </c>
      <c r="H9" s="100">
        <f>PRODUCT((HEX2DEC("64")),0.01)</f>
        <v>1</v>
      </c>
      <c r="I9" s="20"/>
    </row>
    <row r="10" spans="1:9" ht="12.75" x14ac:dyDescent="0.2">
      <c r="A10" s="99" t="str">
        <f t="shared" si="0"/>
        <v>08</v>
      </c>
      <c r="B10" s="20" t="s">
        <v>306</v>
      </c>
      <c r="C10" s="16">
        <f>HEX2DEC("14")</f>
        <v>20</v>
      </c>
      <c r="D10" s="16">
        <f t="shared" ref="D10:D13" si="8">HEX2DEC("64")</f>
        <v>100</v>
      </c>
      <c r="E10" s="16">
        <f>HEX2DEC("1E")</f>
        <v>30</v>
      </c>
      <c r="F10" s="16" t="s">
        <v>307</v>
      </c>
      <c r="G10" s="16" t="e">
        <f ca="1">GETEFFECT(HEX2DEC("19"))</f>
        <v>#NAME?</v>
      </c>
      <c r="H10" s="100">
        <f>PRODUCT((HEX2DEC("A")),0.01)</f>
        <v>0.1</v>
      </c>
      <c r="I10" s="20"/>
    </row>
    <row r="11" spans="1:9" ht="12.75" x14ac:dyDescent="0.2">
      <c r="A11" s="99" t="str">
        <f t="shared" si="0"/>
        <v>09</v>
      </c>
      <c r="B11" s="20" t="s">
        <v>308</v>
      </c>
      <c r="C11" s="16">
        <f>HEX2DEC("28")</f>
        <v>40</v>
      </c>
      <c r="D11" s="16">
        <f t="shared" si="8"/>
        <v>100</v>
      </c>
      <c r="E11" s="16">
        <f>HEX2DEC("19")</f>
        <v>25</v>
      </c>
      <c r="F11" s="16" t="s">
        <v>307</v>
      </c>
      <c r="G11" s="16" t="e">
        <f ca="1">GETEFFECT(HEX2DEC("00"))</f>
        <v>#NAME?</v>
      </c>
      <c r="H11" s="100">
        <f>PRODUCT((HEX2DEC("00")),0.01)</f>
        <v>0</v>
      </c>
      <c r="I11" s="20"/>
    </row>
    <row r="12" spans="1:9" ht="12.75" x14ac:dyDescent="0.2">
      <c r="A12" s="99" t="str">
        <f t="shared" si="0"/>
        <v>0A</v>
      </c>
      <c r="B12" s="20" t="s">
        <v>309</v>
      </c>
      <c r="C12" s="16">
        <f>HEX2DEC("3C")</f>
        <v>60</v>
      </c>
      <c r="D12" s="16">
        <f t="shared" si="8"/>
        <v>100</v>
      </c>
      <c r="E12" s="16">
        <f t="shared" ref="E12:E13" si="9">HEX2DEC("14")</f>
        <v>20</v>
      </c>
      <c r="F12" s="16" t="s">
        <v>307</v>
      </c>
      <c r="G12" s="16" t="e">
        <f ca="1">GETEFFECT(HEX2DEC("05"))</f>
        <v>#NAME?</v>
      </c>
      <c r="H12" s="100">
        <f>PRODUCT((HEX2DEC("14")),0.01)</f>
        <v>0.2</v>
      </c>
      <c r="I12" s="20"/>
    </row>
    <row r="13" spans="1:9" ht="12.75" x14ac:dyDescent="0.2">
      <c r="A13" s="99" t="str">
        <f t="shared" si="0"/>
        <v>0B</v>
      </c>
      <c r="B13" s="20" t="s">
        <v>310</v>
      </c>
      <c r="C13" s="16">
        <f t="shared" ref="C13:C14" si="10">HEX2DEC("41")</f>
        <v>65</v>
      </c>
      <c r="D13" s="16">
        <f t="shared" si="8"/>
        <v>100</v>
      </c>
      <c r="E13" s="16">
        <f t="shared" si="9"/>
        <v>20</v>
      </c>
      <c r="F13" s="16" t="s">
        <v>307</v>
      </c>
      <c r="G13" s="16" t="e">
        <f ca="1">GETEFFECT(HEX2DEC("19"))</f>
        <v>#NAME?</v>
      </c>
      <c r="H13" s="100">
        <f>PRODUCT((HEX2DEC("A")),0.01)</f>
        <v>0.1</v>
      </c>
      <c r="I13" s="20"/>
    </row>
    <row r="14" spans="1:9" ht="12.75" x14ac:dyDescent="0.2">
      <c r="A14" s="99" t="str">
        <f t="shared" si="0"/>
        <v>0C</v>
      </c>
      <c r="B14" s="20" t="s">
        <v>311</v>
      </c>
      <c r="C14" s="16">
        <f t="shared" si="10"/>
        <v>65</v>
      </c>
      <c r="D14" s="16">
        <f t="shared" ref="D14:D15" si="11">HEX2DEC("55")</f>
        <v>85</v>
      </c>
      <c r="E14" s="16">
        <f t="shared" ref="E14:E15" si="12">HEX2DEC("0A")</f>
        <v>10</v>
      </c>
      <c r="F14" s="16" t="s">
        <v>307</v>
      </c>
      <c r="G14" s="16" t="e">
        <f ca="1">GETEFFECT(HEX2DEC("1A"))</f>
        <v>#NAME?</v>
      </c>
      <c r="H14" s="100">
        <f>PRODUCT((HEX2DEC("32")),0.01)</f>
        <v>0.5</v>
      </c>
      <c r="I14" s="20"/>
    </row>
    <row r="15" spans="1:9" ht="12.75" x14ac:dyDescent="0.2">
      <c r="A15" s="99" t="str">
        <f t="shared" si="0"/>
        <v>0D</v>
      </c>
      <c r="B15" s="20" t="s">
        <v>312</v>
      </c>
      <c r="C15" s="16">
        <f>HEX2DEC("5A")</f>
        <v>90</v>
      </c>
      <c r="D15" s="16">
        <f t="shared" si="11"/>
        <v>85</v>
      </c>
      <c r="E15" s="16">
        <f t="shared" si="12"/>
        <v>10</v>
      </c>
      <c r="F15" s="16" t="s">
        <v>307</v>
      </c>
      <c r="G15" s="16" t="e">
        <f t="shared" ref="G15:G16" ca="1" si="13">GETEFFECT(HEX2DEC("00"))</f>
        <v>#NAME?</v>
      </c>
      <c r="H15" s="100">
        <f t="shared" ref="H15:H17" si="14">PRODUCT((HEX2DEC("00")),0.01)</f>
        <v>0</v>
      </c>
      <c r="I15" s="20" t="s">
        <v>313</v>
      </c>
    </row>
    <row r="16" spans="1:9" ht="12.75" x14ac:dyDescent="0.2">
      <c r="A16" s="99" t="str">
        <f t="shared" si="0"/>
        <v>0E</v>
      </c>
      <c r="B16" s="20" t="s">
        <v>314</v>
      </c>
      <c r="C16" s="16">
        <f>HEX2DEC("5F")</f>
        <v>95</v>
      </c>
      <c r="D16" s="16">
        <f>HEX2DEC("64")</f>
        <v>100</v>
      </c>
      <c r="E16" s="16">
        <f>HEX2DEC("0F")</f>
        <v>15</v>
      </c>
      <c r="F16" s="16" t="s">
        <v>307</v>
      </c>
      <c r="G16" s="16" t="e">
        <f t="shared" ca="1" si="13"/>
        <v>#NAME?</v>
      </c>
      <c r="H16" s="100">
        <f t="shared" si="14"/>
        <v>0</v>
      </c>
      <c r="I16" s="20"/>
    </row>
    <row r="17" spans="1:9" ht="12.75" x14ac:dyDescent="0.2">
      <c r="A17" s="99" t="str">
        <f t="shared" si="0"/>
        <v>0F</v>
      </c>
      <c r="B17" s="20" t="s">
        <v>148</v>
      </c>
      <c r="C17" s="16">
        <f>HEX2DEC("78")</f>
        <v>120</v>
      </c>
      <c r="D17" s="16">
        <f>HEX2DEC("50")</f>
        <v>80</v>
      </c>
      <c r="E17" s="16">
        <f>HEX2DEC("05")</f>
        <v>5</v>
      </c>
      <c r="F17" s="16" t="s">
        <v>307</v>
      </c>
      <c r="G17" s="16" t="e">
        <f ca="1">GETEFFECT(HEX2DEC("0"))</f>
        <v>#NAME?</v>
      </c>
      <c r="H17" s="100">
        <f t="shared" si="14"/>
        <v>0</v>
      </c>
      <c r="I17" s="20"/>
    </row>
    <row r="18" spans="1:9" ht="12.75" x14ac:dyDescent="0.2">
      <c r="A18" s="99" t="str">
        <f t="shared" si="0"/>
        <v>10</v>
      </c>
      <c r="B18" s="20" t="s">
        <v>315</v>
      </c>
      <c r="C18" s="16">
        <f>HEX2DEC("96")</f>
        <v>150</v>
      </c>
      <c r="D18" s="16">
        <f>HEX2DEC("64")</f>
        <v>100</v>
      </c>
      <c r="E18" s="16">
        <f t="shared" ref="E18:E19" si="15">HEX2DEC("0A")</f>
        <v>10</v>
      </c>
      <c r="F18" s="16" t="s">
        <v>307</v>
      </c>
      <c r="G18" s="16" t="e">
        <f ca="1">GETEFFECT(HEX2DEC("05"))</f>
        <v>#NAME?</v>
      </c>
      <c r="H18" s="100">
        <f>PRODUCT((HEX2DEC("0A")),0.01)</f>
        <v>0.1</v>
      </c>
      <c r="I18" s="20" t="s">
        <v>316</v>
      </c>
    </row>
    <row r="19" spans="1:9" ht="12.75" x14ac:dyDescent="0.2">
      <c r="A19" s="99" t="str">
        <f t="shared" si="0"/>
        <v>11</v>
      </c>
      <c r="B19" s="20" t="s">
        <v>317</v>
      </c>
      <c r="C19" s="16">
        <f>HEX2DEC("23")</f>
        <v>35</v>
      </c>
      <c r="D19" s="16">
        <f>HEX2DEC("4B")</f>
        <v>75</v>
      </c>
      <c r="E19" s="16">
        <f t="shared" si="15"/>
        <v>10</v>
      </c>
      <c r="F19" s="16" t="s">
        <v>307</v>
      </c>
      <c r="G19" s="16" t="e">
        <f ca="1">GETEFFECT(HEX2DEC("00"))</f>
        <v>#NAME?</v>
      </c>
      <c r="H19" s="100">
        <f>PRODUCT((HEX2DEC("00")),0.01)</f>
        <v>0</v>
      </c>
      <c r="I19" s="20" t="s">
        <v>318</v>
      </c>
    </row>
    <row r="20" spans="1:9" ht="12.75" x14ac:dyDescent="0.2">
      <c r="A20" s="99" t="str">
        <f t="shared" si="0"/>
        <v>12</v>
      </c>
      <c r="B20" s="20" t="s">
        <v>319</v>
      </c>
      <c r="C20" s="16">
        <f>HEX2DEC("00")</f>
        <v>0</v>
      </c>
      <c r="D20" s="16">
        <f t="shared" ref="D20:D25" si="16">HEX2DEC("64")</f>
        <v>100</v>
      </c>
      <c r="E20" s="16">
        <f>HEX2DEC("28")</f>
        <v>40</v>
      </c>
      <c r="F20" s="16" t="s">
        <v>307</v>
      </c>
      <c r="G20" s="16" t="e">
        <f ca="1">GETEFFECT(HEX2DEC("0A"))</f>
        <v>#NAME?</v>
      </c>
      <c r="H20" s="100">
        <f>PRODUCT((HEX2DEC("64")),0.01)</f>
        <v>1</v>
      </c>
      <c r="I20" s="20"/>
    </row>
    <row r="21" spans="1:9" ht="12.75" x14ac:dyDescent="0.2">
      <c r="A21" s="99" t="str">
        <f t="shared" si="0"/>
        <v>13</v>
      </c>
      <c r="B21" s="20" t="s">
        <v>320</v>
      </c>
      <c r="C21" s="16">
        <f>HEX2DEC("28")</f>
        <v>40</v>
      </c>
      <c r="D21" s="16">
        <f t="shared" si="16"/>
        <v>100</v>
      </c>
      <c r="E21" s="16">
        <f>HEX2DEC("1E")</f>
        <v>30</v>
      </c>
      <c r="F21" s="16" t="s">
        <v>321</v>
      </c>
      <c r="G21" s="16" t="e">
        <f ca="1">GETEFFECT(HEX2DEC("03"))</f>
        <v>#NAME?</v>
      </c>
      <c r="H21" s="100">
        <f>PRODUCT((HEX2DEC("0A")),0.01)</f>
        <v>0.1</v>
      </c>
      <c r="I21" s="20"/>
    </row>
    <row r="22" spans="1:9" ht="12.75" x14ac:dyDescent="0.2">
      <c r="A22" s="99" t="str">
        <f t="shared" si="0"/>
        <v>14</v>
      </c>
      <c r="B22" s="20" t="s">
        <v>322</v>
      </c>
      <c r="C22" s="16">
        <f>HEX2DEC("3C")</f>
        <v>60</v>
      </c>
      <c r="D22" s="16">
        <f t="shared" si="16"/>
        <v>100</v>
      </c>
      <c r="E22" s="16">
        <f t="shared" ref="E22:E23" si="17">HEX2DEC("14")</f>
        <v>20</v>
      </c>
      <c r="F22" s="16" t="s">
        <v>321</v>
      </c>
      <c r="G22" s="16" t="e">
        <f ca="1">GETEFFECT(HEX2DEC("00"))</f>
        <v>#NAME?</v>
      </c>
      <c r="H22" s="100">
        <f>PRODUCT((HEX2DEC("00")),0.01)</f>
        <v>0</v>
      </c>
      <c r="I22" s="20" t="s">
        <v>323</v>
      </c>
    </row>
    <row r="23" spans="1:9" ht="12.75" x14ac:dyDescent="0.2">
      <c r="A23" s="99" t="str">
        <f t="shared" si="0"/>
        <v>15</v>
      </c>
      <c r="B23" s="20" t="s">
        <v>324</v>
      </c>
      <c r="C23" s="16">
        <f>HEX2DEC("41")</f>
        <v>65</v>
      </c>
      <c r="D23" s="16">
        <f t="shared" si="16"/>
        <v>100</v>
      </c>
      <c r="E23" s="16">
        <f t="shared" si="17"/>
        <v>20</v>
      </c>
      <c r="F23" s="16" t="s">
        <v>321</v>
      </c>
      <c r="G23" s="16" t="e">
        <f t="shared" ref="G23:G26" ca="1" si="18">GETEFFECT(HEX2DEC("03"))</f>
        <v>#NAME?</v>
      </c>
      <c r="H23" s="100">
        <f>PRODUCT((HEX2DEC("1E")),0.01)</f>
        <v>0.3</v>
      </c>
      <c r="I23" s="20"/>
    </row>
    <row r="24" spans="1:9" ht="12.75" x14ac:dyDescent="0.2">
      <c r="A24" s="99" t="str">
        <f t="shared" si="0"/>
        <v>16</v>
      </c>
      <c r="B24" s="20" t="s">
        <v>325</v>
      </c>
      <c r="C24" s="16">
        <f>HEX2DEC("4B")</f>
        <v>75</v>
      </c>
      <c r="D24" s="16">
        <f t="shared" si="16"/>
        <v>100</v>
      </c>
      <c r="E24" s="16">
        <f t="shared" ref="E24:E25" si="19">HEX2DEC("0F")</f>
        <v>15</v>
      </c>
      <c r="F24" s="16" t="s">
        <v>321</v>
      </c>
      <c r="G24" s="16" t="e">
        <f t="shared" ca="1" si="18"/>
        <v>#NAME?</v>
      </c>
      <c r="H24" s="100">
        <f t="shared" ref="H24:H25" si="20">PRODUCT((HEX2DEC("0A")),0.01)</f>
        <v>0.1</v>
      </c>
      <c r="I24" s="20"/>
    </row>
    <row r="25" spans="1:9" ht="12.75" x14ac:dyDescent="0.2">
      <c r="A25" s="99" t="str">
        <f t="shared" si="0"/>
        <v>17</v>
      </c>
      <c r="B25" s="20" t="s">
        <v>326</v>
      </c>
      <c r="C25" s="16">
        <f>HEX2DEC("5F")</f>
        <v>95</v>
      </c>
      <c r="D25" s="16">
        <f t="shared" si="16"/>
        <v>100</v>
      </c>
      <c r="E25" s="16">
        <f t="shared" si="19"/>
        <v>15</v>
      </c>
      <c r="F25" s="16" t="s">
        <v>321</v>
      </c>
      <c r="G25" s="16" t="e">
        <f t="shared" ca="1" si="18"/>
        <v>#NAME?</v>
      </c>
      <c r="H25" s="100">
        <f t="shared" si="20"/>
        <v>0.1</v>
      </c>
      <c r="I25" s="20"/>
    </row>
    <row r="26" spans="1:9" ht="12.75" x14ac:dyDescent="0.2">
      <c r="A26" s="99" t="str">
        <f t="shared" si="0"/>
        <v>18</v>
      </c>
      <c r="B26" s="20" t="s">
        <v>327</v>
      </c>
      <c r="C26" s="16">
        <f>HEX2DEC("64")</f>
        <v>100</v>
      </c>
      <c r="D26" s="16">
        <f>HEX2DEC("32")</f>
        <v>50</v>
      </c>
      <c r="E26" s="16">
        <f>HEX2DEC("05")</f>
        <v>5</v>
      </c>
      <c r="F26" s="16" t="s">
        <v>321</v>
      </c>
      <c r="G26" s="16" t="e">
        <f t="shared" ca="1" si="18"/>
        <v>#NAME?</v>
      </c>
      <c r="H26" s="100">
        <f>PRODUCT((HEX2DEC("64")),0.01)</f>
        <v>1</v>
      </c>
      <c r="I26" s="20"/>
    </row>
    <row r="27" spans="1:9" ht="12.75" x14ac:dyDescent="0.2">
      <c r="A27" s="99" t="str">
        <f t="shared" si="0"/>
        <v>19</v>
      </c>
      <c r="B27" s="20" t="s">
        <v>328</v>
      </c>
      <c r="C27" s="16">
        <f t="shared" ref="C27:C28" si="21">HEX2DEC("78")</f>
        <v>120</v>
      </c>
      <c r="D27" s="16">
        <f>HEX2DEC("64")</f>
        <v>100</v>
      </c>
      <c r="E27" s="16">
        <f>HEX2DEC("0F")</f>
        <v>15</v>
      </c>
      <c r="F27" s="16" t="s">
        <v>321</v>
      </c>
      <c r="G27" s="16" t="e">
        <f ca="1">GETEFFECT(HEX2DEC("00"))</f>
        <v>#NAME?</v>
      </c>
      <c r="H27" s="100">
        <f>PRODUCT((HEX2DEC("00")),0.01)</f>
        <v>0</v>
      </c>
      <c r="I27" s="20"/>
    </row>
    <row r="28" spans="1:9" ht="12.75" x14ac:dyDescent="0.2">
      <c r="A28" s="99" t="str">
        <f t="shared" si="0"/>
        <v>1A</v>
      </c>
      <c r="B28" s="20" t="s">
        <v>329</v>
      </c>
      <c r="C28" s="16">
        <f t="shared" si="21"/>
        <v>120</v>
      </c>
      <c r="D28" s="16">
        <f>HEX2DEC("50")</f>
        <v>80</v>
      </c>
      <c r="E28" s="16">
        <f>HEX2DEC("0A")</f>
        <v>10</v>
      </c>
      <c r="F28" s="16" t="s">
        <v>321</v>
      </c>
      <c r="G28" s="16" t="e">
        <f t="shared" ref="G28:G29" ca="1" si="22">GETEFFECT(HEX2DEC("03"))</f>
        <v>#NAME?</v>
      </c>
      <c r="H28" s="100">
        <f>PRODUCT((HEX2DEC("1E")),0.01)</f>
        <v>0.3</v>
      </c>
      <c r="I28" s="20" t="s">
        <v>330</v>
      </c>
    </row>
    <row r="29" spans="1:9" ht="12.75" x14ac:dyDescent="0.2">
      <c r="A29" s="99" t="str">
        <f t="shared" si="0"/>
        <v>1B</v>
      </c>
      <c r="B29" s="20" t="s">
        <v>331</v>
      </c>
      <c r="C29" s="16">
        <f>HEX2DEC("00")</f>
        <v>0</v>
      </c>
      <c r="D29" s="16">
        <f t="shared" ref="D29:D33" si="23">HEX2DEC("64")</f>
        <v>100</v>
      </c>
      <c r="E29" s="16">
        <f t="shared" ref="E29:E30" si="24">HEX2DEC("14")</f>
        <v>20</v>
      </c>
      <c r="F29" s="16" t="s">
        <v>321</v>
      </c>
      <c r="G29" s="16" t="e">
        <f t="shared" ca="1" si="22"/>
        <v>#NAME?</v>
      </c>
      <c r="H29" s="100">
        <f t="shared" ref="H29:H32" si="25">PRODUCT((HEX2DEC("64")),0.01)</f>
        <v>1</v>
      </c>
      <c r="I29" s="20"/>
    </row>
    <row r="30" spans="1:9" ht="12.75" x14ac:dyDescent="0.2">
      <c r="A30" s="99" t="str">
        <f t="shared" si="0"/>
        <v>1C</v>
      </c>
      <c r="B30" s="20" t="s">
        <v>332</v>
      </c>
      <c r="C30" s="16">
        <f>HEX2DEC("14")</f>
        <v>20</v>
      </c>
      <c r="D30" s="16">
        <f t="shared" si="23"/>
        <v>100</v>
      </c>
      <c r="E30" s="16">
        <f t="shared" si="24"/>
        <v>20</v>
      </c>
      <c r="F30" s="16" t="s">
        <v>333</v>
      </c>
      <c r="G30" s="16" t="e">
        <f t="shared" ref="G30:G32" ca="1" si="26">GETEFFECT(HEX2DEC("21"))</f>
        <v>#NAME?</v>
      </c>
      <c r="H30" s="100">
        <f t="shared" si="25"/>
        <v>1</v>
      </c>
      <c r="I30" s="20"/>
    </row>
    <row r="31" spans="1:9" ht="12.75" x14ac:dyDescent="0.2">
      <c r="A31" s="99" t="str">
        <f t="shared" si="0"/>
        <v>1D</v>
      </c>
      <c r="B31" s="20" t="s">
        <v>224</v>
      </c>
      <c r="C31" s="16">
        <f>HEX2DEC("28")</f>
        <v>40</v>
      </c>
      <c r="D31" s="16">
        <f t="shared" si="23"/>
        <v>100</v>
      </c>
      <c r="E31" s="16">
        <f>HEX2DEC("0A")</f>
        <v>10</v>
      </c>
      <c r="F31" s="16" t="s">
        <v>333</v>
      </c>
      <c r="G31" s="16" t="e">
        <f t="shared" ca="1" si="26"/>
        <v>#NAME?</v>
      </c>
      <c r="H31" s="100">
        <f t="shared" si="25"/>
        <v>1</v>
      </c>
      <c r="I31" s="20"/>
    </row>
    <row r="32" spans="1:9" ht="12.75" x14ac:dyDescent="0.2">
      <c r="A32" s="99" t="str">
        <f t="shared" si="0"/>
        <v>1E</v>
      </c>
      <c r="B32" s="20" t="s">
        <v>334</v>
      </c>
      <c r="C32" s="16">
        <f>HEX2DEC("3C")</f>
        <v>60</v>
      </c>
      <c r="D32" s="16">
        <f t="shared" si="23"/>
        <v>100</v>
      </c>
      <c r="E32" s="16">
        <f>HEX2DEC("05")</f>
        <v>5</v>
      </c>
      <c r="F32" s="16" t="s">
        <v>333</v>
      </c>
      <c r="G32" s="16" t="e">
        <f t="shared" ca="1" si="26"/>
        <v>#NAME?</v>
      </c>
      <c r="H32" s="100">
        <f t="shared" si="25"/>
        <v>1</v>
      </c>
      <c r="I32" s="20"/>
    </row>
    <row r="33" spans="1:9" ht="12.75" x14ac:dyDescent="0.2">
      <c r="A33" s="99" t="str">
        <f t="shared" si="0"/>
        <v>1F</v>
      </c>
      <c r="B33" s="20" t="s">
        <v>24</v>
      </c>
      <c r="C33" s="16">
        <f>HEX2DEC("23")</f>
        <v>35</v>
      </c>
      <c r="D33" s="16">
        <f t="shared" si="23"/>
        <v>100</v>
      </c>
      <c r="E33" s="16">
        <f>HEX2DEC("0A")</f>
        <v>10</v>
      </c>
      <c r="F33" s="16" t="s">
        <v>333</v>
      </c>
      <c r="G33" s="16" t="e">
        <f t="shared" ref="G33:G36" ca="1" si="27">GETEFFECT(HEX2DEC("00"))</f>
        <v>#NAME?</v>
      </c>
      <c r="H33" s="100">
        <f t="shared" ref="H33:H36" si="28">PRODUCT((HEX2DEC("00")),0.01)</f>
        <v>0</v>
      </c>
      <c r="I33" s="20"/>
    </row>
    <row r="34" spans="1:9" ht="12.75" x14ac:dyDescent="0.2">
      <c r="A34" s="99" t="str">
        <f t="shared" si="0"/>
        <v>20</v>
      </c>
      <c r="B34" s="20" t="s">
        <v>335</v>
      </c>
      <c r="C34" s="16">
        <f>HEX2DEC("37")</f>
        <v>55</v>
      </c>
      <c r="D34" s="16">
        <f>HEX2DEC("5F")</f>
        <v>95</v>
      </c>
      <c r="E34" s="16">
        <f>HEX2DEC("19")</f>
        <v>25</v>
      </c>
      <c r="F34" s="16" t="s">
        <v>333</v>
      </c>
      <c r="G34" s="16" t="e">
        <f t="shared" ca="1" si="27"/>
        <v>#NAME?</v>
      </c>
      <c r="H34" s="100">
        <f t="shared" si="28"/>
        <v>0</v>
      </c>
      <c r="I34" s="20" t="s">
        <v>313</v>
      </c>
    </row>
    <row r="35" spans="1:9" ht="12.75" x14ac:dyDescent="0.2">
      <c r="A35" s="99" t="str">
        <f t="shared" si="0"/>
        <v>21</v>
      </c>
      <c r="B35" s="20" t="s">
        <v>336</v>
      </c>
      <c r="C35" s="16">
        <f>HEX2DEC("3C")</f>
        <v>60</v>
      </c>
      <c r="D35" s="16">
        <f t="shared" ref="D35:D37" si="29">HEX2DEC("64")</f>
        <v>100</v>
      </c>
      <c r="E35" s="16">
        <f>HEX2DEC("14")</f>
        <v>20</v>
      </c>
      <c r="F35" s="16" t="s">
        <v>333</v>
      </c>
      <c r="G35" s="16" t="e">
        <f t="shared" ca="1" si="27"/>
        <v>#NAME?</v>
      </c>
      <c r="H35" s="100">
        <f t="shared" si="28"/>
        <v>0</v>
      </c>
      <c r="I35" s="20" t="s">
        <v>323</v>
      </c>
    </row>
    <row r="36" spans="1:9" ht="12.75" x14ac:dyDescent="0.2">
      <c r="A36" s="99" t="str">
        <f t="shared" si="0"/>
        <v>22</v>
      </c>
      <c r="B36" s="20" t="s">
        <v>337</v>
      </c>
      <c r="C36" s="16">
        <f>HEX2DEC("46")</f>
        <v>70</v>
      </c>
      <c r="D36" s="16">
        <f t="shared" si="29"/>
        <v>100</v>
      </c>
      <c r="E36" s="16">
        <f>HEX2DEC("0F")</f>
        <v>15</v>
      </c>
      <c r="F36" s="16" t="s">
        <v>333</v>
      </c>
      <c r="G36" s="16" t="e">
        <f t="shared" ca="1" si="27"/>
        <v>#NAME?</v>
      </c>
      <c r="H36" s="100">
        <f t="shared" si="28"/>
        <v>0</v>
      </c>
      <c r="I36" s="20" t="s">
        <v>313</v>
      </c>
    </row>
    <row r="37" spans="1:9" ht="12.75" x14ac:dyDescent="0.2">
      <c r="A37" s="99" t="str">
        <f t="shared" si="0"/>
        <v>23</v>
      </c>
      <c r="B37" s="20" t="s">
        <v>338</v>
      </c>
      <c r="C37" s="16">
        <f>HEX2DEC("78")</f>
        <v>120</v>
      </c>
      <c r="D37" s="16">
        <f t="shared" si="29"/>
        <v>100</v>
      </c>
      <c r="E37" s="16">
        <f>HEX2DEC("0A")</f>
        <v>10</v>
      </c>
      <c r="F37" s="16" t="s">
        <v>333</v>
      </c>
      <c r="G37" s="16" t="s">
        <v>339</v>
      </c>
      <c r="H37" s="100">
        <f t="shared" ref="H37:H42" si="30">PRODUCT((HEX2DEC("64")),0.01)</f>
        <v>1</v>
      </c>
      <c r="I37" s="20"/>
    </row>
    <row r="38" spans="1:9" ht="12.75" x14ac:dyDescent="0.2">
      <c r="A38" s="99" t="str">
        <f t="shared" si="0"/>
        <v>24</v>
      </c>
      <c r="B38" s="20" t="s">
        <v>340</v>
      </c>
      <c r="C38" s="16">
        <f>HEX2DEC("96")</f>
        <v>150</v>
      </c>
      <c r="D38" s="16">
        <f>HEX2DEC("5A")</f>
        <v>90</v>
      </c>
      <c r="E38" s="16">
        <f>HEX2DEC("05")</f>
        <v>5</v>
      </c>
      <c r="F38" s="16" t="s">
        <v>333</v>
      </c>
      <c r="G38" s="16" t="e">
        <f ca="1">GETEFFECT(HEX2DEC("22"))</f>
        <v>#NAME?</v>
      </c>
      <c r="H38" s="100">
        <f t="shared" si="30"/>
        <v>1</v>
      </c>
      <c r="I38" s="20"/>
    </row>
    <row r="39" spans="1:9" ht="12.75" x14ac:dyDescent="0.2">
      <c r="A39" s="99" t="str">
        <f t="shared" si="0"/>
        <v>25</v>
      </c>
      <c r="B39" s="20" t="s">
        <v>341</v>
      </c>
      <c r="C39" s="16">
        <f t="shared" ref="C39:C42" si="31">HEX2DEC("00")</f>
        <v>0</v>
      </c>
      <c r="D39" s="16">
        <f>HEX2DEC("37")</f>
        <v>55</v>
      </c>
      <c r="E39" s="16">
        <f t="shared" ref="E39:E42" si="32">HEX2DEC("0F")</f>
        <v>15</v>
      </c>
      <c r="F39" s="16" t="s">
        <v>333</v>
      </c>
      <c r="G39" s="16" t="e">
        <f t="shared" ref="G39:G41" ca="1" si="33">GETEFFECT(HEX2DEC("02"))</f>
        <v>#NAME?</v>
      </c>
      <c r="H39" s="100">
        <f t="shared" si="30"/>
        <v>1</v>
      </c>
      <c r="I39" s="20"/>
    </row>
    <row r="40" spans="1:9" ht="12.75" x14ac:dyDescent="0.2">
      <c r="A40" s="99" t="str">
        <f t="shared" si="0"/>
        <v>26</v>
      </c>
      <c r="B40" s="20" t="s">
        <v>342</v>
      </c>
      <c r="C40" s="16">
        <f t="shared" si="31"/>
        <v>0</v>
      </c>
      <c r="D40" s="16">
        <f>HEX2DEC("4B")</f>
        <v>75</v>
      </c>
      <c r="E40" s="16">
        <f t="shared" si="32"/>
        <v>15</v>
      </c>
      <c r="F40" s="16" t="s">
        <v>333</v>
      </c>
      <c r="G40" s="16" t="e">
        <f t="shared" ca="1" si="33"/>
        <v>#NAME?</v>
      </c>
      <c r="H40" s="100">
        <f t="shared" si="30"/>
        <v>1</v>
      </c>
      <c r="I40" s="20"/>
    </row>
    <row r="41" spans="1:9" ht="12.75" x14ac:dyDescent="0.2">
      <c r="A41" s="99" t="str">
        <f t="shared" si="0"/>
        <v>27</v>
      </c>
      <c r="B41" s="20" t="s">
        <v>343</v>
      </c>
      <c r="C41" s="16">
        <f t="shared" si="31"/>
        <v>0</v>
      </c>
      <c r="D41" s="16">
        <f>HEX2DEC("64")</f>
        <v>100</v>
      </c>
      <c r="E41" s="16">
        <f t="shared" si="32"/>
        <v>15</v>
      </c>
      <c r="F41" s="16" t="s">
        <v>333</v>
      </c>
      <c r="G41" s="16" t="e">
        <f t="shared" ca="1" si="33"/>
        <v>#NAME?</v>
      </c>
      <c r="H41" s="100">
        <f t="shared" si="30"/>
        <v>1</v>
      </c>
      <c r="I41" s="20"/>
    </row>
    <row r="42" spans="1:9" ht="12.75" x14ac:dyDescent="0.2">
      <c r="A42" s="99" t="str">
        <f t="shared" si="0"/>
        <v>28</v>
      </c>
      <c r="B42" s="20" t="s">
        <v>344</v>
      </c>
      <c r="C42" s="16">
        <f t="shared" si="31"/>
        <v>0</v>
      </c>
      <c r="D42" s="16">
        <f>HEX2DEC("4B")</f>
        <v>75</v>
      </c>
      <c r="E42" s="16">
        <f t="shared" si="32"/>
        <v>15</v>
      </c>
      <c r="F42" s="16" t="s">
        <v>333</v>
      </c>
      <c r="G42" s="16" t="e">
        <f ca="1">GETEFFECT(HEX2DEC("03"))</f>
        <v>#NAME?</v>
      </c>
      <c r="H42" s="100">
        <f t="shared" si="30"/>
        <v>1</v>
      </c>
      <c r="I42" s="20" t="s">
        <v>345</v>
      </c>
    </row>
    <row r="43" spans="1:9" ht="12.75" x14ac:dyDescent="0.2">
      <c r="A43" s="99" t="str">
        <f t="shared" si="0"/>
        <v>29</v>
      </c>
      <c r="B43" s="20" t="s">
        <v>346</v>
      </c>
      <c r="C43" s="16">
        <f>HEX2DEC("28")</f>
        <v>40</v>
      </c>
      <c r="D43" s="16">
        <f>HEX2DEC("64")</f>
        <v>100</v>
      </c>
      <c r="E43" s="16">
        <f>HEX2DEC("19")</f>
        <v>25</v>
      </c>
      <c r="F43" s="16" t="s">
        <v>347</v>
      </c>
      <c r="G43" s="16" t="e">
        <f ca="1">GETEFFECT(HEX2DEC("06"))</f>
        <v>#NAME?</v>
      </c>
      <c r="H43" s="100">
        <f>PRODUCT((HEX2DEC("0A")),0.01)</f>
        <v>0.1</v>
      </c>
      <c r="I43" s="20"/>
    </row>
    <row r="44" spans="1:9" ht="12.75" x14ac:dyDescent="0.2">
      <c r="A44" s="99" t="str">
        <f t="shared" si="0"/>
        <v>2A</v>
      </c>
      <c r="B44" s="20" t="s">
        <v>348</v>
      </c>
      <c r="C44" s="16">
        <f>HEX2DEC("37")</f>
        <v>55</v>
      </c>
      <c r="D44" s="16">
        <f>HEX2DEC("5F")</f>
        <v>95</v>
      </c>
      <c r="E44" s="16">
        <f>HEX2DEC("0F")</f>
        <v>15</v>
      </c>
      <c r="F44" s="16" t="s">
        <v>347</v>
      </c>
      <c r="G44" s="16" t="e">
        <f ca="1">GETEFFECT(HEX2DEC("19"))</f>
        <v>#NAME?</v>
      </c>
      <c r="H44" s="100">
        <f>PRODUCT((HEX2DEC("64")),0.01)</f>
        <v>1</v>
      </c>
      <c r="I44" s="20"/>
    </row>
    <row r="45" spans="1:9" ht="12.75" x14ac:dyDescent="0.2">
      <c r="A45" s="99" t="str">
        <f t="shared" si="0"/>
        <v>2B</v>
      </c>
      <c r="B45" s="20" t="s">
        <v>349</v>
      </c>
      <c r="C45" s="16">
        <f>HEX2DEC("41")</f>
        <v>65</v>
      </c>
      <c r="D45" s="16">
        <f t="shared" ref="D45:D47" si="34">HEX2DEC("64")</f>
        <v>100</v>
      </c>
      <c r="E45" s="16">
        <f>HEX2DEC("14")</f>
        <v>20</v>
      </c>
      <c r="F45" s="16" t="s">
        <v>347</v>
      </c>
      <c r="G45" s="16" t="e">
        <f ca="1">GETEFFECT(HEX2DEC("15"))</f>
        <v>#NAME?</v>
      </c>
      <c r="H45" s="100">
        <f t="shared" ref="H45:H48" si="35">PRODUCT((HEX2DEC("0A")),0.01)</f>
        <v>0.1</v>
      </c>
      <c r="I45" s="20"/>
    </row>
    <row r="46" spans="1:9" ht="12.75" x14ac:dyDescent="0.2">
      <c r="A46" s="99" t="str">
        <f t="shared" si="0"/>
        <v>2C</v>
      </c>
      <c r="B46" s="20" t="s">
        <v>350</v>
      </c>
      <c r="C46" s="16">
        <f>HEX2DEC("4B")</f>
        <v>75</v>
      </c>
      <c r="D46" s="16">
        <f t="shared" si="34"/>
        <v>100</v>
      </c>
      <c r="E46" s="16">
        <f>HEX2DEC("0F")</f>
        <v>15</v>
      </c>
      <c r="F46" s="16" t="s">
        <v>347</v>
      </c>
      <c r="G46" s="16" t="e">
        <f t="shared" ref="G46:G48" ca="1" si="36">GETEFFECT(HEX2DEC("06"))</f>
        <v>#NAME?</v>
      </c>
      <c r="H46" s="100">
        <f t="shared" si="35"/>
        <v>0.1</v>
      </c>
      <c r="I46" s="20"/>
    </row>
    <row r="47" spans="1:9" ht="12.75" x14ac:dyDescent="0.2">
      <c r="A47" s="99" t="str">
        <f t="shared" si="0"/>
        <v>2D</v>
      </c>
      <c r="B47" s="20" t="s">
        <v>351</v>
      </c>
      <c r="C47" s="16">
        <f>HEX2DEC("5F")</f>
        <v>95</v>
      </c>
      <c r="D47" s="16">
        <f t="shared" si="34"/>
        <v>100</v>
      </c>
      <c r="E47" s="16">
        <f>HEX2DEC("0A")</f>
        <v>10</v>
      </c>
      <c r="F47" s="16" t="s">
        <v>347</v>
      </c>
      <c r="G47" s="16" t="e">
        <f t="shared" ca="1" si="36"/>
        <v>#NAME?</v>
      </c>
      <c r="H47" s="100">
        <f t="shared" si="35"/>
        <v>0.1</v>
      </c>
      <c r="I47" s="20"/>
    </row>
    <row r="48" spans="1:9" ht="12.75" x14ac:dyDescent="0.2">
      <c r="A48" s="99" t="str">
        <f t="shared" si="0"/>
        <v>2E</v>
      </c>
      <c r="B48" s="20" t="s">
        <v>352</v>
      </c>
      <c r="C48" s="16">
        <f>HEX2DEC("78")</f>
        <v>120</v>
      </c>
      <c r="D48" s="16">
        <f>HEX2DEC("46")</f>
        <v>70</v>
      </c>
      <c r="E48" s="16">
        <f t="shared" ref="E48:E49" si="37">HEX2DEC("05")</f>
        <v>5</v>
      </c>
      <c r="F48" s="16" t="s">
        <v>347</v>
      </c>
      <c r="G48" s="16" t="e">
        <f t="shared" ca="1" si="36"/>
        <v>#NAME?</v>
      </c>
      <c r="H48" s="100">
        <f t="shared" si="35"/>
        <v>0.1</v>
      </c>
      <c r="I48" s="20"/>
    </row>
    <row r="49" spans="1:9" ht="12.75" x14ac:dyDescent="0.2">
      <c r="A49" s="99" t="str">
        <f t="shared" si="0"/>
        <v>2F</v>
      </c>
      <c r="B49" s="20" t="s">
        <v>353</v>
      </c>
      <c r="C49" s="16">
        <f>HEX2DEC("00")</f>
        <v>0</v>
      </c>
      <c r="D49" s="16">
        <f>HEX2DEC("1E")</f>
        <v>30</v>
      </c>
      <c r="E49" s="16">
        <f t="shared" si="37"/>
        <v>5</v>
      </c>
      <c r="F49" s="16" t="s">
        <v>347</v>
      </c>
      <c r="G49" s="16" t="e">
        <f ca="1">GETEFFECT(HEX2DEC("23"))</f>
        <v>#NAME?</v>
      </c>
      <c r="H49" s="100">
        <f t="shared" ref="H49:H52" si="38">PRODUCT((HEX2DEC("64")),0.01)</f>
        <v>1</v>
      </c>
      <c r="I49" s="20"/>
    </row>
    <row r="50" spans="1:9" ht="12.75" x14ac:dyDescent="0.2">
      <c r="A50" s="99" t="str">
        <f t="shared" si="0"/>
        <v>30</v>
      </c>
      <c r="B50" s="20" t="s">
        <v>354</v>
      </c>
      <c r="C50" s="16">
        <f>HEX2DEC("14")</f>
        <v>20</v>
      </c>
      <c r="D50" s="16">
        <f>HEX2DEC("64")</f>
        <v>100</v>
      </c>
      <c r="E50" s="16">
        <f>HEX2DEC("0A")</f>
        <v>10</v>
      </c>
      <c r="F50" s="16" t="s">
        <v>355</v>
      </c>
      <c r="G50" s="16" t="e">
        <f ca="1">GETEFFECT(HEX2DEC("1A"))</f>
        <v>#NAME?</v>
      </c>
      <c r="H50" s="100">
        <f t="shared" si="38"/>
        <v>1</v>
      </c>
      <c r="I50" s="20"/>
    </row>
    <row r="51" spans="1:9" ht="12.75" x14ac:dyDescent="0.2">
      <c r="A51" s="99" t="str">
        <f t="shared" si="0"/>
        <v>31</v>
      </c>
      <c r="B51" s="20" t="s">
        <v>356</v>
      </c>
      <c r="C51" s="16">
        <f>HEX2DEC("37")</f>
        <v>55</v>
      </c>
      <c r="D51" s="16">
        <f>HEX2DEC("5F")</f>
        <v>95</v>
      </c>
      <c r="E51" s="16">
        <f>HEX2DEC("0F")</f>
        <v>15</v>
      </c>
      <c r="F51" s="16" t="s">
        <v>355</v>
      </c>
      <c r="G51" s="16" t="e">
        <f ca="1">GETEFFECT(HEX2DEC("19"))</f>
        <v>#NAME?</v>
      </c>
      <c r="H51" s="100">
        <f t="shared" si="38"/>
        <v>1</v>
      </c>
      <c r="I51" s="20"/>
    </row>
    <row r="52" spans="1:9" ht="12.75" x14ac:dyDescent="0.2">
      <c r="A52" s="99" t="str">
        <f t="shared" si="0"/>
        <v>32</v>
      </c>
      <c r="B52" s="20" t="s">
        <v>357</v>
      </c>
      <c r="C52" s="16">
        <f>HEX2DEC("3C")</f>
        <v>60</v>
      </c>
      <c r="D52" s="16">
        <f>HEX2DEC("64")</f>
        <v>100</v>
      </c>
      <c r="E52" s="16">
        <f>HEX2DEC("0A")</f>
        <v>10</v>
      </c>
      <c r="F52" s="16" t="s">
        <v>355</v>
      </c>
      <c r="G52" s="16" t="s">
        <v>358</v>
      </c>
      <c r="H52" s="100">
        <f t="shared" si="38"/>
        <v>1</v>
      </c>
      <c r="I52" s="20" t="s">
        <v>359</v>
      </c>
    </row>
    <row r="53" spans="1:9" ht="12.75" x14ac:dyDescent="0.2">
      <c r="A53" s="99" t="str">
        <f t="shared" si="0"/>
        <v>33</v>
      </c>
      <c r="B53" s="20" t="s">
        <v>360</v>
      </c>
      <c r="C53" s="16">
        <f>HEX2DEC("41")</f>
        <v>65</v>
      </c>
      <c r="D53" s="16">
        <f>HEX2DEC("55")</f>
        <v>85</v>
      </c>
      <c r="E53" s="16">
        <f>HEX2DEC("14")</f>
        <v>20</v>
      </c>
      <c r="F53" s="16" t="s">
        <v>355</v>
      </c>
      <c r="G53" s="16" t="e">
        <f ca="1">GETEFFECT(HEX2DEC("08"))</f>
        <v>#NAME?</v>
      </c>
      <c r="H53" s="100">
        <f>PRODUCT((HEX2DEC("0A")),0.01)</f>
        <v>0.1</v>
      </c>
      <c r="I53" s="20"/>
    </row>
    <row r="54" spans="1:9" ht="12.75" x14ac:dyDescent="0.2">
      <c r="A54" s="99" t="str">
        <f t="shared" si="0"/>
        <v>34</v>
      </c>
      <c r="B54" s="20" t="s">
        <v>361</v>
      </c>
      <c r="C54" s="16">
        <f t="shared" ref="C54:D54" si="39">HEX2DEC("64")</f>
        <v>100</v>
      </c>
      <c r="D54" s="16">
        <f t="shared" si="39"/>
        <v>100</v>
      </c>
      <c r="E54" s="16">
        <f t="shared" ref="E54:E55" si="40">HEX2DEC("0A")</f>
        <v>10</v>
      </c>
      <c r="F54" s="16" t="s">
        <v>355</v>
      </c>
      <c r="G54" s="16" t="e">
        <f t="shared" ref="G54:G55" ca="1" si="41">GETEFFECT(HEX2DEC("00"))</f>
        <v>#NAME?</v>
      </c>
      <c r="H54" s="100">
        <f t="shared" ref="H54:H55" si="42">PRODUCT((HEX2DEC("00")),0.01)</f>
        <v>0</v>
      </c>
      <c r="I54" s="20"/>
    </row>
    <row r="55" spans="1:9" ht="12.75" x14ac:dyDescent="0.2">
      <c r="A55" s="99" t="str">
        <f t="shared" si="0"/>
        <v>35</v>
      </c>
      <c r="B55" s="20" t="s">
        <v>362</v>
      </c>
      <c r="C55" s="16">
        <f>HEX2DEC("64")</f>
        <v>100</v>
      </c>
      <c r="D55" s="16">
        <f>HEX2DEC("5F")</f>
        <v>95</v>
      </c>
      <c r="E55" s="16">
        <f t="shared" si="40"/>
        <v>10</v>
      </c>
      <c r="F55" s="16" t="s">
        <v>355</v>
      </c>
      <c r="G55" s="16" t="e">
        <f t="shared" ca="1" si="41"/>
        <v>#NAME?</v>
      </c>
      <c r="H55" s="100">
        <f t="shared" si="42"/>
        <v>0</v>
      </c>
      <c r="I55" s="20" t="s">
        <v>363</v>
      </c>
    </row>
    <row r="56" spans="1:9" ht="12.75" x14ac:dyDescent="0.2">
      <c r="A56" s="99" t="str">
        <f t="shared" si="0"/>
        <v>36</v>
      </c>
      <c r="B56" s="20" t="s">
        <v>364</v>
      </c>
      <c r="C56" s="16">
        <f t="shared" ref="C56:C57" si="43">HEX2DEC("00")</f>
        <v>0</v>
      </c>
      <c r="D56" s="16">
        <f>HEX2DEC("1E")</f>
        <v>30</v>
      </c>
      <c r="E56" s="16">
        <f>HEX2DEC("05")</f>
        <v>5</v>
      </c>
      <c r="F56" s="16" t="s">
        <v>355</v>
      </c>
      <c r="G56" s="16" t="e">
        <f ca="1">GETEFFECT(HEX2DEC("23"))</f>
        <v>#NAME?</v>
      </c>
      <c r="H56" s="100">
        <f t="shared" ref="H56:H57" si="44">PRODUCT((HEX2DEC("64")),0.01)</f>
        <v>1</v>
      </c>
      <c r="I56" s="20"/>
    </row>
    <row r="57" spans="1:9" ht="12.75" x14ac:dyDescent="0.2">
      <c r="A57" s="99" t="str">
        <f t="shared" si="0"/>
        <v>37</v>
      </c>
      <c r="B57" s="20" t="s">
        <v>365</v>
      </c>
      <c r="C57" s="16">
        <f t="shared" si="43"/>
        <v>0</v>
      </c>
      <c r="D57" s="16">
        <f>HEX2DEC("64")</f>
        <v>100</v>
      </c>
      <c r="E57" s="16">
        <f>HEX2DEC("1E")</f>
        <v>30</v>
      </c>
      <c r="F57" s="16" t="s">
        <v>355</v>
      </c>
      <c r="G57" s="16" t="e">
        <f ca="1">GETEFFECT(HEX2DEC("1A"))</f>
        <v>#NAME?</v>
      </c>
      <c r="H57" s="100">
        <f t="shared" si="44"/>
        <v>1</v>
      </c>
      <c r="I57" s="20" t="s">
        <v>366</v>
      </c>
    </row>
    <row r="58" spans="1:9" ht="12.75" x14ac:dyDescent="0.2">
      <c r="A58" s="99" t="str">
        <f t="shared" si="0"/>
        <v>38</v>
      </c>
      <c r="B58" s="20" t="s">
        <v>367</v>
      </c>
      <c r="C58" s="16">
        <f t="shared" ref="C58:C59" si="45">HEX2DEC("32")</f>
        <v>50</v>
      </c>
      <c r="D58" s="16">
        <f>HEX2DEC("5A")</f>
        <v>90</v>
      </c>
      <c r="E58" s="16">
        <f>HEX2DEC("0F")</f>
        <v>15</v>
      </c>
      <c r="F58" s="16" t="s">
        <v>368</v>
      </c>
      <c r="G58" s="16" t="e">
        <f ca="1">GETEFFECT(HEX2DEC("00"))</f>
        <v>#NAME?</v>
      </c>
      <c r="H58" s="100">
        <f>PRODUCT((HEX2DEC("00")),0.01)</f>
        <v>0</v>
      </c>
      <c r="I58" s="20"/>
    </row>
    <row r="59" spans="1:9" ht="12.75" x14ac:dyDescent="0.2">
      <c r="A59" s="99" t="str">
        <f t="shared" si="0"/>
        <v>39</v>
      </c>
      <c r="B59" s="20" t="s">
        <v>369</v>
      </c>
      <c r="C59" s="16">
        <f t="shared" si="45"/>
        <v>50</v>
      </c>
      <c r="D59" s="16">
        <f>HEX2DEC("50")</f>
        <v>80</v>
      </c>
      <c r="E59" s="16">
        <f>HEX2DEC("0A")</f>
        <v>10</v>
      </c>
      <c r="F59" s="16" t="s">
        <v>368</v>
      </c>
      <c r="G59" s="16" t="e">
        <f ca="1">GETEFFECT(HEX2DEC("19"))</f>
        <v>#NAME?</v>
      </c>
      <c r="H59" s="100">
        <f>PRODUCT((HEX2DEC("64")),0.01)</f>
        <v>1</v>
      </c>
      <c r="I59" s="20"/>
    </row>
    <row r="60" spans="1:9" ht="12.75" x14ac:dyDescent="0.2">
      <c r="A60" s="99" t="str">
        <f t="shared" si="0"/>
        <v>3A</v>
      </c>
      <c r="B60" s="20" t="s">
        <v>370</v>
      </c>
      <c r="C60" s="16">
        <f>HEX2DEC("3C")</f>
        <v>60</v>
      </c>
      <c r="D60" s="16">
        <f>HEX2DEC("64")</f>
        <v>100</v>
      </c>
      <c r="E60" s="16">
        <f>HEX2DEC("05")</f>
        <v>5</v>
      </c>
      <c r="F60" s="16" t="s">
        <v>368</v>
      </c>
      <c r="G60" s="16" t="e">
        <f ca="1">GETEFFECT(HEX2DEC("09"))</f>
        <v>#NAME?</v>
      </c>
      <c r="H60" s="100">
        <f>PRODUCT((HEX2DEC("0A")),0.01)</f>
        <v>0.1</v>
      </c>
      <c r="I60" s="20" t="s">
        <v>371</v>
      </c>
    </row>
    <row r="61" spans="1:9" ht="12.75" x14ac:dyDescent="0.2">
      <c r="A61" s="99" t="str">
        <f t="shared" si="0"/>
        <v>3B</v>
      </c>
      <c r="B61" s="20" t="s">
        <v>372</v>
      </c>
      <c r="C61" s="16">
        <f>HEX2DEC("4B")</f>
        <v>75</v>
      </c>
      <c r="D61" s="16">
        <f>HEX2DEC("5A")</f>
        <v>90</v>
      </c>
      <c r="E61" s="16">
        <f>HEX2DEC("0A")</f>
        <v>10</v>
      </c>
      <c r="F61" s="16" t="s">
        <v>368</v>
      </c>
      <c r="G61" s="16" t="e">
        <f ca="1">GETEFFECT(HEX2DEC("08"))</f>
        <v>#NAME?</v>
      </c>
      <c r="H61" s="100">
        <f>PRODUCT((HEX2DEC("1E")),0.01)</f>
        <v>0.3</v>
      </c>
      <c r="I61" s="20"/>
    </row>
    <row r="62" spans="1:9" ht="12.75" x14ac:dyDescent="0.2">
      <c r="A62" s="99" t="str">
        <f t="shared" si="0"/>
        <v>3C</v>
      </c>
      <c r="B62" s="20" t="s">
        <v>373</v>
      </c>
      <c r="C62" s="16">
        <f>HEX2DEC("14")</f>
        <v>20</v>
      </c>
      <c r="D62" s="16">
        <f t="shared" ref="D62:D65" si="46">HEX2DEC("64")</f>
        <v>100</v>
      </c>
      <c r="E62" s="16">
        <f>HEX2DEC("0F")</f>
        <v>15</v>
      </c>
      <c r="F62" s="16" t="s">
        <v>374</v>
      </c>
      <c r="G62" s="16" t="e">
        <f ca="1">GETEFFECT(HEX2DEC("21"))</f>
        <v>#NAME?</v>
      </c>
      <c r="H62" s="100">
        <f>PRODUCT((HEX2DEC("64")),0.01)</f>
        <v>1</v>
      </c>
      <c r="I62" s="20"/>
    </row>
    <row r="63" spans="1:9" ht="12.75" x14ac:dyDescent="0.2">
      <c r="A63" s="99" t="str">
        <f t="shared" si="0"/>
        <v>3D</v>
      </c>
      <c r="B63" s="20" t="s">
        <v>375</v>
      </c>
      <c r="C63" s="16">
        <f>HEX2DEC("32")</f>
        <v>50</v>
      </c>
      <c r="D63" s="16">
        <f t="shared" si="46"/>
        <v>100</v>
      </c>
      <c r="E63" s="16">
        <f>HEX2DEC("14")</f>
        <v>20</v>
      </c>
      <c r="F63" s="16" t="s">
        <v>374</v>
      </c>
      <c r="G63" s="16" t="e">
        <f ca="1">GETEFFECT(HEX2DEC("01"))</f>
        <v>#NAME?</v>
      </c>
      <c r="H63" s="100">
        <f t="shared" ref="H63:H65" si="47">PRODUCT((HEX2DEC("0A")),0.01)</f>
        <v>0.1</v>
      </c>
      <c r="I63" s="20" t="s">
        <v>363</v>
      </c>
    </row>
    <row r="64" spans="1:9" ht="12.75" x14ac:dyDescent="0.2">
      <c r="A64" s="99" t="str">
        <f t="shared" si="0"/>
        <v>3E</v>
      </c>
      <c r="B64" s="20" t="s">
        <v>376</v>
      </c>
      <c r="C64" s="16">
        <f>HEX2DEC("3C")</f>
        <v>60</v>
      </c>
      <c r="D64" s="16">
        <f t="shared" si="46"/>
        <v>100</v>
      </c>
      <c r="E64" s="16">
        <f>HEX2DEC("05")</f>
        <v>5</v>
      </c>
      <c r="F64" s="16" t="s">
        <v>374</v>
      </c>
      <c r="G64" s="16" t="e">
        <f ca="1">GETEFFECT(HEX2DEC("09"))</f>
        <v>#NAME?</v>
      </c>
      <c r="H64" s="100">
        <f t="shared" si="47"/>
        <v>0.1</v>
      </c>
      <c r="I64" s="20" t="s">
        <v>371</v>
      </c>
    </row>
    <row r="65" spans="1:9" ht="12.75" x14ac:dyDescent="0.2">
      <c r="A65" s="99" t="str">
        <f t="shared" si="0"/>
        <v>3F</v>
      </c>
      <c r="B65" s="20" t="s">
        <v>377</v>
      </c>
      <c r="C65" s="16">
        <f>HEX2DEC("4B")</f>
        <v>75</v>
      </c>
      <c r="D65" s="16">
        <f t="shared" si="46"/>
        <v>100</v>
      </c>
      <c r="E65" s="16">
        <f>HEX2DEC("0F")</f>
        <v>15</v>
      </c>
      <c r="F65" s="16" t="s">
        <v>374</v>
      </c>
      <c r="G65" s="16" t="e">
        <f ca="1">GETEFFECT(HEX2DEC("05"))</f>
        <v>#NAME?</v>
      </c>
      <c r="H65" s="100">
        <f t="shared" si="47"/>
        <v>0.1</v>
      </c>
      <c r="I65" s="20"/>
    </row>
    <row r="66" spans="1:9" ht="12.75" x14ac:dyDescent="0.2">
      <c r="A66" s="99" t="str">
        <f t="shared" si="0"/>
        <v>40</v>
      </c>
      <c r="B66" s="20" t="s">
        <v>378</v>
      </c>
      <c r="C66" s="16">
        <f>HEX2DEC("78")</f>
        <v>120</v>
      </c>
      <c r="D66" s="16">
        <f>HEX2DEC("55")</f>
        <v>85</v>
      </c>
      <c r="E66" s="16">
        <f>HEX2DEC("0A")</f>
        <v>10</v>
      </c>
      <c r="F66" s="16" t="s">
        <v>374</v>
      </c>
      <c r="G66" s="16" t="e">
        <f ca="1">GETEFFECT(HEX2DEC("00"))</f>
        <v>#NAME?</v>
      </c>
      <c r="H66" s="100">
        <f>PRODUCT((HEX2DEC("00")),0.01)</f>
        <v>0</v>
      </c>
      <c r="I66" s="20"/>
    </row>
    <row r="67" spans="1:9" ht="12.75" x14ac:dyDescent="0.2">
      <c r="A67" s="99" t="str">
        <f t="shared" si="0"/>
        <v>41</v>
      </c>
      <c r="B67" s="20" t="s">
        <v>379</v>
      </c>
      <c r="C67" s="16">
        <f t="shared" ref="C67:C68" si="48">HEX2DEC("00")</f>
        <v>0</v>
      </c>
      <c r="D67" s="16">
        <f>HEX2DEC("64")</f>
        <v>100</v>
      </c>
      <c r="E67" s="16">
        <f>HEX2DEC("14")</f>
        <v>20</v>
      </c>
      <c r="F67" s="16" t="s">
        <v>374</v>
      </c>
      <c r="G67" s="16" t="e">
        <f ca="1">GETEFFECT(HEX2DEC("11"))</f>
        <v>#NAME?</v>
      </c>
      <c r="H67" s="100">
        <f t="shared" ref="H67:H68" si="49">PRODUCT((HEX2DEC("64")),0.01)</f>
        <v>1</v>
      </c>
      <c r="I67" s="20"/>
    </row>
    <row r="68" spans="1:9" ht="12.75" x14ac:dyDescent="0.2">
      <c r="A68" s="99" t="str">
        <f t="shared" si="0"/>
        <v>42</v>
      </c>
      <c r="B68" s="20" t="s">
        <v>380</v>
      </c>
      <c r="C68" s="16">
        <f t="shared" si="48"/>
        <v>0</v>
      </c>
      <c r="D68" s="16">
        <f>HEX2DEC("5F")</f>
        <v>95</v>
      </c>
      <c r="E68" s="16">
        <f>HEX2DEC("28")</f>
        <v>40</v>
      </c>
      <c r="F68" s="16" t="s">
        <v>374</v>
      </c>
      <c r="G68" s="16" t="e">
        <f ca="1">GETEFFECT(HEX2DEC("19"))</f>
        <v>#NAME?</v>
      </c>
      <c r="H68" s="100">
        <f t="shared" si="49"/>
        <v>1</v>
      </c>
      <c r="I68" s="20"/>
    </row>
    <row r="69" spans="1:9" ht="12.75" x14ac:dyDescent="0.2">
      <c r="A69" s="99" t="str">
        <f t="shared" si="0"/>
        <v>43</v>
      </c>
      <c r="B69" s="20" t="s">
        <v>381</v>
      </c>
      <c r="C69" s="16">
        <f>HEX2DEC("0F")</f>
        <v>15</v>
      </c>
      <c r="D69" s="16">
        <f>HEX2DEC("64")</f>
        <v>100</v>
      </c>
      <c r="E69" s="16">
        <f>HEX2DEC("23")</f>
        <v>35</v>
      </c>
      <c r="F69" s="16" t="s">
        <v>382</v>
      </c>
      <c r="G69" s="16" t="e">
        <f t="shared" ref="G69:G70" ca="1" si="50">GETEFFECT(HEX2DEC("01"))</f>
        <v>#NAME?</v>
      </c>
      <c r="H69" s="100">
        <f>PRODUCT((HEX2DEC("1E")),0.01)</f>
        <v>0.3</v>
      </c>
      <c r="I69" s="20"/>
    </row>
    <row r="70" spans="1:9" ht="12.75" x14ac:dyDescent="0.2">
      <c r="A70" s="99" t="str">
        <f t="shared" si="0"/>
        <v>44</v>
      </c>
      <c r="B70" s="20" t="s">
        <v>383</v>
      </c>
      <c r="C70" s="16">
        <f>HEX2DEC("14")</f>
        <v>20</v>
      </c>
      <c r="D70" s="16">
        <f>HEX2DEC("46")</f>
        <v>70</v>
      </c>
      <c r="E70" s="16">
        <f>HEX2DEC("14")</f>
        <v>20</v>
      </c>
      <c r="F70" s="16" t="s">
        <v>382</v>
      </c>
      <c r="G70" s="16" t="e">
        <f t="shared" ca="1" si="50"/>
        <v>#NAME?</v>
      </c>
      <c r="H70" s="100">
        <f>PRODUCT((HEX2DEC("28")),0.01)</f>
        <v>0.4</v>
      </c>
      <c r="I70" s="20"/>
    </row>
    <row r="71" spans="1:9" ht="12.75" x14ac:dyDescent="0.2">
      <c r="A71" s="99" t="str">
        <f t="shared" si="0"/>
        <v>45</v>
      </c>
      <c r="B71" s="20" t="s">
        <v>384</v>
      </c>
      <c r="C71" s="16">
        <f>HEX2DEC("28")</f>
        <v>40</v>
      </c>
      <c r="D71" s="16">
        <f t="shared" ref="D71:D75" si="51">HEX2DEC("64")</f>
        <v>100</v>
      </c>
      <c r="E71" s="16">
        <f>HEX2DEC("1E")</f>
        <v>30</v>
      </c>
      <c r="F71" s="16" t="s">
        <v>382</v>
      </c>
      <c r="G71" s="16" t="e">
        <f ca="1">GETEFFECT(HEX2DEC("16"))</f>
        <v>#NAME?</v>
      </c>
      <c r="H71" s="100">
        <f t="shared" ref="H71:H72" si="52">PRODUCT((HEX2DEC("0A")),0.01)</f>
        <v>0.1</v>
      </c>
      <c r="I71" s="20"/>
    </row>
    <row r="72" spans="1:9" ht="12.75" x14ac:dyDescent="0.2">
      <c r="A72" s="99" t="str">
        <f t="shared" si="0"/>
        <v>46</v>
      </c>
      <c r="B72" s="20" t="s">
        <v>385</v>
      </c>
      <c r="C72" s="16">
        <f t="shared" ref="C72:C73" si="53">HEX2DEC("32")</f>
        <v>50</v>
      </c>
      <c r="D72" s="16">
        <f t="shared" si="51"/>
        <v>100</v>
      </c>
      <c r="E72" s="16">
        <f>HEX2DEC("19")</f>
        <v>25</v>
      </c>
      <c r="F72" s="16" t="s">
        <v>382</v>
      </c>
      <c r="G72" s="16" t="e">
        <f ca="1">GETEFFECT(HEX2DEC("01"))</f>
        <v>#NAME?</v>
      </c>
      <c r="H72" s="100">
        <f t="shared" si="52"/>
        <v>0.1</v>
      </c>
      <c r="I72" s="20" t="s">
        <v>313</v>
      </c>
    </row>
    <row r="73" spans="1:9" ht="12.75" x14ac:dyDescent="0.2">
      <c r="A73" s="99" t="str">
        <f t="shared" si="0"/>
        <v>47</v>
      </c>
      <c r="B73" s="20" t="s">
        <v>386</v>
      </c>
      <c r="C73" s="16">
        <f t="shared" si="53"/>
        <v>50</v>
      </c>
      <c r="D73" s="16">
        <f t="shared" si="51"/>
        <v>100</v>
      </c>
      <c r="E73" s="16">
        <f>HEX2DEC("0F")</f>
        <v>15</v>
      </c>
      <c r="F73" s="16" t="s">
        <v>382</v>
      </c>
      <c r="G73" s="16" t="e">
        <f ca="1">GETEFFECT(HEX2DEC("07"))</f>
        <v>#NAME?</v>
      </c>
      <c r="H73" s="100">
        <f t="shared" ref="H73:H75" si="54">PRODUCT((HEX2DEC("1E")),0.01)</f>
        <v>0.3</v>
      </c>
      <c r="I73" s="20"/>
    </row>
    <row r="74" spans="1:9" ht="12.75" x14ac:dyDescent="0.2">
      <c r="A74" s="99" t="str">
        <f t="shared" si="0"/>
        <v>48</v>
      </c>
      <c r="B74" s="20" t="s">
        <v>387</v>
      </c>
      <c r="C74" s="16">
        <f>HEX2DEC("41")</f>
        <v>65</v>
      </c>
      <c r="D74" s="16">
        <f t="shared" si="51"/>
        <v>100</v>
      </c>
      <c r="E74" s="16">
        <f>HEX2DEC("14")</f>
        <v>20</v>
      </c>
      <c r="F74" s="16" t="s">
        <v>382</v>
      </c>
      <c r="G74" s="16" t="e">
        <f t="shared" ref="G74:G77" ca="1" si="55">GETEFFECT(HEX2DEC("01"))</f>
        <v>#NAME?</v>
      </c>
      <c r="H74" s="100">
        <f t="shared" si="54"/>
        <v>0.3</v>
      </c>
      <c r="I74" s="20"/>
    </row>
    <row r="75" spans="1:9" ht="12.75" x14ac:dyDescent="0.2">
      <c r="A75" s="99" t="str">
        <f t="shared" si="0"/>
        <v>49</v>
      </c>
      <c r="B75" s="20" t="s">
        <v>388</v>
      </c>
      <c r="C75" s="16">
        <f>HEX2DEC("5A")</f>
        <v>90</v>
      </c>
      <c r="D75" s="16">
        <f t="shared" si="51"/>
        <v>100</v>
      </c>
      <c r="E75" s="16">
        <f>HEX2DEC("0A")</f>
        <v>10</v>
      </c>
      <c r="F75" s="16" t="s">
        <v>382</v>
      </c>
      <c r="G75" s="16" t="e">
        <f t="shared" ca="1" si="55"/>
        <v>#NAME?</v>
      </c>
      <c r="H75" s="100">
        <f t="shared" si="54"/>
        <v>0.3</v>
      </c>
      <c r="I75" s="20"/>
    </row>
    <row r="76" spans="1:9" ht="12.75" x14ac:dyDescent="0.2">
      <c r="A76" s="99" t="str">
        <f t="shared" si="0"/>
        <v>4A</v>
      </c>
      <c r="B76" s="20" t="s">
        <v>188</v>
      </c>
      <c r="C76" s="16">
        <f t="shared" ref="C76:C78" si="56">HEX2DEC("00")</f>
        <v>0</v>
      </c>
      <c r="D76" s="16">
        <f>HEX2DEC("37")</f>
        <v>55</v>
      </c>
      <c r="E76" s="16">
        <f>HEX2DEC("28")</f>
        <v>40</v>
      </c>
      <c r="F76" s="16" t="s">
        <v>382</v>
      </c>
      <c r="G76" s="16" t="e">
        <f t="shared" ca="1" si="55"/>
        <v>#NAME?</v>
      </c>
      <c r="H76" s="100">
        <f t="shared" ref="H76:H78" si="57">PRODUCT((HEX2DEC("64")),0.01)</f>
        <v>1</v>
      </c>
      <c r="I76" s="20"/>
    </row>
    <row r="77" spans="1:9" ht="12.75" x14ac:dyDescent="0.2">
      <c r="A77" s="99" t="str">
        <f t="shared" si="0"/>
        <v>4B</v>
      </c>
      <c r="B77" s="20" t="s">
        <v>389</v>
      </c>
      <c r="C77" s="16">
        <f t="shared" si="56"/>
        <v>0</v>
      </c>
      <c r="D77" s="16">
        <f>HEX2DEC("4B")</f>
        <v>75</v>
      </c>
      <c r="E77" s="16">
        <f>HEX2DEC("23")</f>
        <v>35</v>
      </c>
      <c r="F77" s="16" t="s">
        <v>382</v>
      </c>
      <c r="G77" s="16" t="e">
        <f t="shared" ca="1" si="55"/>
        <v>#NAME?</v>
      </c>
      <c r="H77" s="100">
        <f t="shared" si="57"/>
        <v>1</v>
      </c>
      <c r="I77" s="20"/>
    </row>
    <row r="78" spans="1:9" ht="12.75" x14ac:dyDescent="0.2">
      <c r="A78" s="99" t="str">
        <f t="shared" si="0"/>
        <v>4C</v>
      </c>
      <c r="B78" s="20" t="s">
        <v>390</v>
      </c>
      <c r="C78" s="16">
        <f t="shared" si="56"/>
        <v>0</v>
      </c>
      <c r="D78" s="16">
        <f>HEX2DEC("55")</f>
        <v>85</v>
      </c>
      <c r="E78" s="16">
        <f>HEX2DEC("0A")</f>
        <v>10</v>
      </c>
      <c r="F78" s="16" t="s">
        <v>382</v>
      </c>
      <c r="G78" s="16" t="e">
        <f ca="1">GETEFFECT(HEX2DEC("07"))</f>
        <v>#NAME?</v>
      </c>
      <c r="H78" s="100">
        <f t="shared" si="57"/>
        <v>1</v>
      </c>
      <c r="I78" s="20"/>
    </row>
    <row r="79" spans="1:9" ht="12.75" x14ac:dyDescent="0.2">
      <c r="A79" s="99" t="str">
        <f t="shared" si="0"/>
        <v>4D</v>
      </c>
      <c r="B79" s="20" t="s">
        <v>391</v>
      </c>
      <c r="C79" s="16">
        <f>HEX2DEC("14")</f>
        <v>20</v>
      </c>
      <c r="D79" s="16">
        <f t="shared" ref="D79:D81" si="58">HEX2DEC("64")</f>
        <v>100</v>
      </c>
      <c r="E79" s="16">
        <f>HEX2DEC("0F")</f>
        <v>15</v>
      </c>
      <c r="F79" s="16" t="s">
        <v>392</v>
      </c>
      <c r="G79" s="16" t="e">
        <f ca="1">GETEFFECT(HEX2DEC("16"))</f>
        <v>#NAME?</v>
      </c>
      <c r="H79" s="100">
        <f>PRODUCT((HEX2DEC("32")),0.01)</f>
        <v>0.5</v>
      </c>
      <c r="I79" s="20"/>
    </row>
    <row r="80" spans="1:9" ht="12.75" x14ac:dyDescent="0.2">
      <c r="A80" s="99" t="str">
        <f t="shared" si="0"/>
        <v>4E</v>
      </c>
      <c r="B80" s="20" t="s">
        <v>393</v>
      </c>
      <c r="C80" s="16">
        <f>HEX2DEC("28")</f>
        <v>40</v>
      </c>
      <c r="D80" s="16">
        <f t="shared" si="58"/>
        <v>100</v>
      </c>
      <c r="E80" s="16">
        <f>HEX2DEC("1E")</f>
        <v>30</v>
      </c>
      <c r="F80" s="16" t="s">
        <v>392</v>
      </c>
      <c r="G80" s="16" t="e">
        <f t="shared" ref="G80:G81" ca="1" si="59">GETEFFECT(HEX2DEC("00"))</f>
        <v>#NAME?</v>
      </c>
      <c r="H80" s="100">
        <f t="shared" ref="H80:H81" si="60">PRODUCT((HEX2DEC("00")),0.01)</f>
        <v>0</v>
      </c>
      <c r="I80" s="20" t="s">
        <v>394</v>
      </c>
    </row>
    <row r="81" spans="1:9" ht="12.75" x14ac:dyDescent="0.2">
      <c r="A81" s="99" t="str">
        <f t="shared" si="0"/>
        <v>4F</v>
      </c>
      <c r="B81" s="20" t="s">
        <v>395</v>
      </c>
      <c r="C81" s="16">
        <f t="shared" ref="C81:C82" si="61">HEX2DEC("32")</f>
        <v>50</v>
      </c>
      <c r="D81" s="16">
        <f t="shared" si="58"/>
        <v>100</v>
      </c>
      <c r="E81" s="16">
        <f>HEX2DEC("19")</f>
        <v>25</v>
      </c>
      <c r="F81" s="16" t="s">
        <v>392</v>
      </c>
      <c r="G81" s="16" t="e">
        <f t="shared" ca="1" si="59"/>
        <v>#NAME?</v>
      </c>
      <c r="H81" s="100">
        <f t="shared" si="60"/>
        <v>0</v>
      </c>
      <c r="I81" s="20" t="s">
        <v>313</v>
      </c>
    </row>
    <row r="82" spans="1:9" ht="12.75" x14ac:dyDescent="0.2">
      <c r="A82" s="99" t="str">
        <f t="shared" si="0"/>
        <v>50</v>
      </c>
      <c r="B82" s="20" t="s">
        <v>396</v>
      </c>
      <c r="C82" s="16">
        <f t="shared" si="61"/>
        <v>50</v>
      </c>
      <c r="D82" s="16">
        <f>HEX2DEC("5F")</f>
        <v>95</v>
      </c>
      <c r="E82" s="16">
        <f>HEX2DEC("14")</f>
        <v>20</v>
      </c>
      <c r="F82" s="16" t="s">
        <v>392</v>
      </c>
      <c r="G82" s="16" t="e">
        <f ca="1">GETEFFECT(HEX2DEC("08"))</f>
        <v>#NAME?</v>
      </c>
      <c r="H82" s="100">
        <f>PRODUCT((HEX2DEC("1E")),0.01)</f>
        <v>0.3</v>
      </c>
      <c r="I82" s="20" t="s">
        <v>397</v>
      </c>
    </row>
    <row r="83" spans="1:9" ht="12.75" x14ac:dyDescent="0.2">
      <c r="A83" s="99" t="str">
        <f t="shared" si="0"/>
        <v>51</v>
      </c>
      <c r="B83" s="20" t="s">
        <v>398</v>
      </c>
      <c r="C83" s="16">
        <f t="shared" ref="C83:C84" si="62">HEX2DEC("3C")</f>
        <v>60</v>
      </c>
      <c r="D83" s="16">
        <f>HEX2DEC("64")</f>
        <v>100</v>
      </c>
      <c r="E83" s="16">
        <f>HEX2DEC("1E")</f>
        <v>30</v>
      </c>
      <c r="F83" s="16" t="s">
        <v>392</v>
      </c>
      <c r="G83" s="16" t="e">
        <f ca="1">GETEFFECT(HEX2DEC("00"))</f>
        <v>#NAME?</v>
      </c>
      <c r="H83" s="100">
        <f>PRODUCT((HEX2DEC("00")),0.01)</f>
        <v>0</v>
      </c>
      <c r="I83" s="20" t="s">
        <v>363</v>
      </c>
    </row>
    <row r="84" spans="1:9" ht="12.75" x14ac:dyDescent="0.2">
      <c r="A84" s="99" t="str">
        <f t="shared" si="0"/>
        <v>52</v>
      </c>
      <c r="B84" s="20" t="s">
        <v>399</v>
      </c>
      <c r="C84" s="16">
        <f t="shared" si="62"/>
        <v>60</v>
      </c>
      <c r="D84" s="16">
        <f>HEX2DEC("55")</f>
        <v>85</v>
      </c>
      <c r="E84" s="16">
        <f>HEX2DEC("0F")</f>
        <v>15</v>
      </c>
      <c r="F84" s="16" t="s">
        <v>392</v>
      </c>
      <c r="G84" s="16" t="e">
        <f ca="1">GETEFFECT(HEX2DEC("08"))</f>
        <v>#NAME?</v>
      </c>
      <c r="H84" s="100">
        <f>PRODUCT((HEX2DEC("1E")),0.01)</f>
        <v>0.3</v>
      </c>
      <c r="I84" s="20"/>
    </row>
    <row r="85" spans="1:9" ht="12.75" x14ac:dyDescent="0.2">
      <c r="A85" s="99" t="str">
        <f t="shared" si="0"/>
        <v>53</v>
      </c>
      <c r="B85" s="20" t="s">
        <v>138</v>
      </c>
      <c r="C85" s="16">
        <f t="shared" ref="C85:C86" si="63">HEX2DEC("46")</f>
        <v>70</v>
      </c>
      <c r="D85" s="16">
        <f>HEX2DEC("64")</f>
        <v>100</v>
      </c>
      <c r="E85" s="16">
        <f>HEX2DEC("0A")</f>
        <v>10</v>
      </c>
      <c r="F85" s="16" t="s">
        <v>392</v>
      </c>
      <c r="G85" s="16" t="s">
        <v>339</v>
      </c>
      <c r="H85" s="100">
        <f>PRODUCT((HEX2DEC("64")),0.01)</f>
        <v>1</v>
      </c>
      <c r="I85" s="20" t="s">
        <v>400</v>
      </c>
    </row>
    <row r="86" spans="1:9" ht="12.75" x14ac:dyDescent="0.2">
      <c r="A86" s="99" t="str">
        <f t="shared" si="0"/>
        <v>54</v>
      </c>
      <c r="B86" s="20" t="s">
        <v>401</v>
      </c>
      <c r="C86" s="16">
        <f t="shared" si="63"/>
        <v>70</v>
      </c>
      <c r="D86" s="16">
        <f>HEX2DEC("5F")</f>
        <v>95</v>
      </c>
      <c r="E86" s="16">
        <f>HEX2DEC("19")</f>
        <v>25</v>
      </c>
      <c r="F86" s="16" t="s">
        <v>392</v>
      </c>
      <c r="G86" s="16" t="e">
        <f t="shared" ref="G86:G89" ca="1" si="64">GETEFFECT(HEX2DEC("00"))</f>
        <v>#NAME?</v>
      </c>
      <c r="H86" s="100">
        <f t="shared" ref="H86:H89" si="65">PRODUCT((HEX2DEC("00")),0.01)</f>
        <v>0</v>
      </c>
      <c r="I86" s="20" t="s">
        <v>402</v>
      </c>
    </row>
    <row r="87" spans="1:9" ht="12.75" x14ac:dyDescent="0.2">
      <c r="A87" s="99" t="str">
        <f t="shared" si="0"/>
        <v>55</v>
      </c>
      <c r="B87" s="20" t="s">
        <v>403</v>
      </c>
      <c r="C87" s="16">
        <f>HEX2DEC("4B")</f>
        <v>75</v>
      </c>
      <c r="D87" s="16">
        <f>HEX2DEC("64")</f>
        <v>100</v>
      </c>
      <c r="E87" s="16">
        <f t="shared" ref="E87:E88" si="66">HEX2DEC("0F")</f>
        <v>15</v>
      </c>
      <c r="F87" s="16" t="s">
        <v>392</v>
      </c>
      <c r="G87" s="16" t="e">
        <f t="shared" ca="1" si="64"/>
        <v>#NAME?</v>
      </c>
      <c r="H87" s="100">
        <f t="shared" si="65"/>
        <v>0</v>
      </c>
      <c r="I87" s="20" t="s">
        <v>404</v>
      </c>
    </row>
    <row r="88" spans="1:9" ht="12.75" x14ac:dyDescent="0.2">
      <c r="A88" s="99" t="str">
        <f t="shared" si="0"/>
        <v>56</v>
      </c>
      <c r="B88" s="20" t="s">
        <v>405</v>
      </c>
      <c r="C88" s="16">
        <f>HEX2DEC("55")</f>
        <v>85</v>
      </c>
      <c r="D88" s="16">
        <f>HEX2DEC("5A")</f>
        <v>90</v>
      </c>
      <c r="E88" s="16">
        <f t="shared" si="66"/>
        <v>15</v>
      </c>
      <c r="F88" s="16" t="s">
        <v>392</v>
      </c>
      <c r="G88" s="16" t="e">
        <f t="shared" ca="1" si="64"/>
        <v>#NAME?</v>
      </c>
      <c r="H88" s="100">
        <f t="shared" si="65"/>
        <v>0</v>
      </c>
      <c r="I88" s="20"/>
    </row>
    <row r="89" spans="1:9" ht="12.75" x14ac:dyDescent="0.2">
      <c r="A89" s="99" t="str">
        <f t="shared" si="0"/>
        <v>57</v>
      </c>
      <c r="B89" s="20" t="s">
        <v>406</v>
      </c>
      <c r="C89" s="16">
        <f t="shared" ref="C89:C90" si="67">HEX2DEC("64")</f>
        <v>100</v>
      </c>
      <c r="D89" s="16">
        <f>HEX2DEC("50")</f>
        <v>80</v>
      </c>
      <c r="E89" s="16">
        <f t="shared" ref="E89:E91" si="68">HEX2DEC("05")</f>
        <v>5</v>
      </c>
      <c r="F89" s="16" t="s">
        <v>392</v>
      </c>
      <c r="G89" s="16" t="e">
        <f t="shared" ca="1" si="64"/>
        <v>#NAME?</v>
      </c>
      <c r="H89" s="100">
        <f t="shared" si="65"/>
        <v>0</v>
      </c>
      <c r="I89" s="20" t="s">
        <v>313</v>
      </c>
    </row>
    <row r="90" spans="1:9" ht="12.75" x14ac:dyDescent="0.2">
      <c r="A90" s="99" t="str">
        <f t="shared" si="0"/>
        <v>58</v>
      </c>
      <c r="B90" s="20" t="s">
        <v>407</v>
      </c>
      <c r="C90" s="16">
        <f t="shared" si="67"/>
        <v>100</v>
      </c>
      <c r="D90" s="16">
        <f>HEX2DEC("32")</f>
        <v>50</v>
      </c>
      <c r="E90" s="16">
        <f t="shared" si="68"/>
        <v>5</v>
      </c>
      <c r="F90" s="16" t="s">
        <v>392</v>
      </c>
      <c r="G90" s="16" t="e">
        <f ca="1">GETEFFECT(HEX2DEC("05"))</f>
        <v>#NAME?</v>
      </c>
      <c r="H90" s="100">
        <f t="shared" ref="H90:H92" si="69">PRODUCT((HEX2DEC("64")),0.01)</f>
        <v>1</v>
      </c>
      <c r="I90" s="20"/>
    </row>
    <row r="91" spans="1:9" ht="12.75" x14ac:dyDescent="0.2">
      <c r="A91" s="99" t="str">
        <f t="shared" si="0"/>
        <v>59</v>
      </c>
      <c r="B91" s="20" t="s">
        <v>408</v>
      </c>
      <c r="C91" s="16">
        <f>HEX2DEC("78")</f>
        <v>120</v>
      </c>
      <c r="D91" s="16">
        <f t="shared" ref="D91:D94" si="70">HEX2DEC("64")</f>
        <v>100</v>
      </c>
      <c r="E91" s="16">
        <f t="shared" si="68"/>
        <v>5</v>
      </c>
      <c r="F91" s="16" t="s">
        <v>392</v>
      </c>
      <c r="G91" s="16" t="s">
        <v>408</v>
      </c>
      <c r="H91" s="100">
        <f t="shared" si="69"/>
        <v>1</v>
      </c>
      <c r="I91" s="20"/>
    </row>
    <row r="92" spans="1:9" ht="12.75" x14ac:dyDescent="0.2">
      <c r="A92" s="99" t="str">
        <f t="shared" si="0"/>
        <v>5A</v>
      </c>
      <c r="B92" s="20" t="s">
        <v>409</v>
      </c>
      <c r="C92" s="16">
        <f>HEX2DEC("96")</f>
        <v>150</v>
      </c>
      <c r="D92" s="16">
        <f t="shared" si="70"/>
        <v>100</v>
      </c>
      <c r="E92" s="16">
        <f>HEX2DEC("14")</f>
        <v>20</v>
      </c>
      <c r="F92" s="16" t="s">
        <v>392</v>
      </c>
      <c r="G92" s="16" t="s">
        <v>410</v>
      </c>
      <c r="H92" s="100">
        <f t="shared" si="69"/>
        <v>1</v>
      </c>
      <c r="I92" s="20" t="s">
        <v>411</v>
      </c>
    </row>
    <row r="93" spans="1:9" ht="12.75" x14ac:dyDescent="0.2">
      <c r="A93" s="99" t="str">
        <f t="shared" si="0"/>
        <v>5B</v>
      </c>
      <c r="B93" s="20" t="s">
        <v>412</v>
      </c>
      <c r="C93" s="16">
        <f>HEX2DEC("23")</f>
        <v>35</v>
      </c>
      <c r="D93" s="16">
        <f t="shared" si="70"/>
        <v>100</v>
      </c>
      <c r="E93" s="16">
        <f t="shared" ref="E93:E94" si="71">HEX2DEC("23")</f>
        <v>35</v>
      </c>
      <c r="F93" s="16" t="s">
        <v>413</v>
      </c>
      <c r="G93" s="16" t="e">
        <f t="shared" ref="G93:G97" ca="1" si="72">GETEFFECT(HEX2DEC("00"))</f>
        <v>#NAME?</v>
      </c>
      <c r="H93" s="100">
        <f t="shared" ref="H93:H97" si="73">PRODUCT((HEX2DEC("00")),0.01)</f>
        <v>0</v>
      </c>
      <c r="I93" s="20"/>
    </row>
    <row r="94" spans="1:9" ht="12.75" x14ac:dyDescent="0.2">
      <c r="A94" s="99" t="str">
        <f t="shared" si="0"/>
        <v>5C</v>
      </c>
      <c r="B94" s="20" t="s">
        <v>414</v>
      </c>
      <c r="C94" s="16">
        <f>HEX2DEC("28")</f>
        <v>40</v>
      </c>
      <c r="D94" s="16">
        <f t="shared" si="70"/>
        <v>100</v>
      </c>
      <c r="E94" s="16">
        <f t="shared" si="71"/>
        <v>35</v>
      </c>
      <c r="F94" s="16" t="s">
        <v>413</v>
      </c>
      <c r="G94" s="16" t="e">
        <f t="shared" ca="1" si="72"/>
        <v>#NAME?</v>
      </c>
      <c r="H94" s="100">
        <f t="shared" si="73"/>
        <v>0</v>
      </c>
      <c r="I94" s="20"/>
    </row>
    <row r="95" spans="1:9" ht="12.75" x14ac:dyDescent="0.2">
      <c r="A95" s="99" t="str">
        <f t="shared" si="0"/>
        <v>5D</v>
      </c>
      <c r="B95" s="20" t="s">
        <v>415</v>
      </c>
      <c r="C95" s="16">
        <f>HEX2DEC("37")</f>
        <v>55</v>
      </c>
      <c r="D95" s="16">
        <f>HEX2DEC("5F")</f>
        <v>95</v>
      </c>
      <c r="E95" s="16">
        <f>HEX2DEC("19")</f>
        <v>25</v>
      </c>
      <c r="F95" s="16" t="s">
        <v>413</v>
      </c>
      <c r="G95" s="16" t="e">
        <f t="shared" ca="1" si="72"/>
        <v>#NAME?</v>
      </c>
      <c r="H95" s="100">
        <f t="shared" si="73"/>
        <v>0</v>
      </c>
      <c r="I95" s="20" t="s">
        <v>313</v>
      </c>
    </row>
    <row r="96" spans="1:9" ht="12.75" x14ac:dyDescent="0.2">
      <c r="A96" s="99" t="str">
        <f t="shared" si="0"/>
        <v>5E</v>
      </c>
      <c r="B96" s="20" t="s">
        <v>242</v>
      </c>
      <c r="C96" s="16">
        <f t="shared" ref="C96:C97" si="74">HEX2DEC("3C")</f>
        <v>60</v>
      </c>
      <c r="D96" s="16">
        <f t="shared" ref="D96:D97" si="75">HEX2DEC("64")</f>
        <v>100</v>
      </c>
      <c r="E96" s="16">
        <f>HEX2DEC("23")</f>
        <v>35</v>
      </c>
      <c r="F96" s="16" t="s">
        <v>413</v>
      </c>
      <c r="G96" s="16" t="e">
        <f t="shared" ca="1" si="72"/>
        <v>#NAME?</v>
      </c>
      <c r="H96" s="100">
        <f t="shared" si="73"/>
        <v>0</v>
      </c>
      <c r="I96" s="20"/>
    </row>
    <row r="97" spans="1:9" ht="12.75" x14ac:dyDescent="0.2">
      <c r="A97" s="99" t="str">
        <f t="shared" si="0"/>
        <v>5F</v>
      </c>
      <c r="B97" s="20" t="s">
        <v>416</v>
      </c>
      <c r="C97" s="16">
        <f t="shared" si="74"/>
        <v>60</v>
      </c>
      <c r="D97" s="16">
        <f t="shared" si="75"/>
        <v>100</v>
      </c>
      <c r="E97" s="16">
        <f>HEX2DEC("14")</f>
        <v>20</v>
      </c>
      <c r="F97" s="16" t="s">
        <v>413</v>
      </c>
      <c r="G97" s="16" t="e">
        <f t="shared" ca="1" si="72"/>
        <v>#NAME?</v>
      </c>
      <c r="H97" s="100">
        <f t="shared" si="73"/>
        <v>0</v>
      </c>
      <c r="I97" s="20" t="s">
        <v>323</v>
      </c>
    </row>
    <row r="98" spans="1:9" ht="12.75" x14ac:dyDescent="0.2">
      <c r="A98" s="99" t="str">
        <f t="shared" si="0"/>
        <v>60</v>
      </c>
      <c r="B98" s="20" t="s">
        <v>417</v>
      </c>
      <c r="C98" s="16">
        <f>HEX2DEC("46")</f>
        <v>70</v>
      </c>
      <c r="D98" s="16">
        <f>HEX2DEC("5F")</f>
        <v>95</v>
      </c>
      <c r="E98" s="16">
        <f>HEX2DEC("0F")</f>
        <v>15</v>
      </c>
      <c r="F98" s="16" t="s">
        <v>413</v>
      </c>
      <c r="G98" s="16" t="s">
        <v>418</v>
      </c>
      <c r="H98" s="100">
        <f>PRODUCT((HEX2DEC("64")),0.01)</f>
        <v>1</v>
      </c>
      <c r="I98" s="20" t="s">
        <v>359</v>
      </c>
    </row>
    <row r="99" spans="1:9" ht="12.75" x14ac:dyDescent="0.2">
      <c r="A99" s="99" t="str">
        <f t="shared" si="0"/>
        <v>61</v>
      </c>
      <c r="B99" s="20" t="s">
        <v>419</v>
      </c>
      <c r="C99" s="16">
        <f>HEX2DEC("50")</f>
        <v>80</v>
      </c>
      <c r="D99" s="16">
        <f>HEX2DEC("64")</f>
        <v>100</v>
      </c>
      <c r="E99" s="16">
        <f>HEX2DEC("14")</f>
        <v>20</v>
      </c>
      <c r="F99" s="16" t="s">
        <v>413</v>
      </c>
      <c r="G99" s="16" t="e">
        <f ca="1">GETEFFECT(HEX2DEC("00"))</f>
        <v>#NAME?</v>
      </c>
      <c r="H99" s="100">
        <f>PRODUCT((HEX2DEC("00")),0.01)</f>
        <v>0</v>
      </c>
      <c r="I99" s="20"/>
    </row>
    <row r="100" spans="1:9" ht="12.75" x14ac:dyDescent="0.2">
      <c r="A100" s="99" t="str">
        <f t="shared" si="0"/>
        <v>62</v>
      </c>
      <c r="B100" s="20" t="s">
        <v>420</v>
      </c>
      <c r="C100" s="16">
        <f t="shared" ref="C100:D100" si="76">HEX2DEC("55")</f>
        <v>85</v>
      </c>
      <c r="D100" s="16">
        <f t="shared" si="76"/>
        <v>85</v>
      </c>
      <c r="E100" s="16">
        <f t="shared" ref="E100:E102" si="77">HEX2DEC("05")</f>
        <v>5</v>
      </c>
      <c r="F100" s="16" t="s">
        <v>413</v>
      </c>
      <c r="G100" s="16" t="s">
        <v>421</v>
      </c>
      <c r="H100" s="100">
        <f>PRODUCT((HEX2DEC("64")),0.01)</f>
        <v>1</v>
      </c>
      <c r="I100" s="20" t="s">
        <v>422</v>
      </c>
    </row>
    <row r="101" spans="1:9" ht="12.75" x14ac:dyDescent="0.2">
      <c r="A101" s="99" t="str">
        <f t="shared" si="0"/>
        <v>63</v>
      </c>
      <c r="B101" s="20" t="s">
        <v>423</v>
      </c>
      <c r="C101" s="16">
        <f>HEX2DEC("64")</f>
        <v>100</v>
      </c>
      <c r="D101" s="16">
        <f>HEX2DEC("5F")</f>
        <v>95</v>
      </c>
      <c r="E101" s="16">
        <f t="shared" si="77"/>
        <v>5</v>
      </c>
      <c r="F101" s="16" t="s">
        <v>413</v>
      </c>
      <c r="G101" s="16" t="e">
        <f ca="1">GETEFFECT(HEX2DEC("00"))</f>
        <v>#NAME?</v>
      </c>
      <c r="H101" s="100">
        <f>PRODUCT((HEX2DEC("00")),0.01)</f>
        <v>0</v>
      </c>
      <c r="I101" s="20" t="s">
        <v>313</v>
      </c>
    </row>
    <row r="102" spans="1:9" ht="12.75" x14ac:dyDescent="0.2">
      <c r="A102" s="99" t="str">
        <f t="shared" si="0"/>
        <v>64</v>
      </c>
      <c r="B102" s="20" t="s">
        <v>273</v>
      </c>
      <c r="C102" s="16">
        <f>HEX2DEC("8C")</f>
        <v>140</v>
      </c>
      <c r="D102" s="16">
        <f>HEX2DEC("5A")</f>
        <v>90</v>
      </c>
      <c r="E102" s="16">
        <f t="shared" si="77"/>
        <v>5</v>
      </c>
      <c r="F102" s="16" t="s">
        <v>413</v>
      </c>
      <c r="G102" s="16" t="s">
        <v>424</v>
      </c>
      <c r="H102" s="100">
        <f>PRODUCT((HEX2DEC("64")),0.01)</f>
        <v>1</v>
      </c>
      <c r="I102" s="20" t="s">
        <v>425</v>
      </c>
    </row>
    <row r="103" spans="1:9" ht="12.75" x14ac:dyDescent="0.2">
      <c r="A103" s="99" t="str">
        <f t="shared" si="0"/>
        <v>65</v>
      </c>
      <c r="B103" s="20" t="s">
        <v>426</v>
      </c>
      <c r="C103" s="16">
        <f>HEX2DEC("32")</f>
        <v>50</v>
      </c>
      <c r="D103" s="16">
        <f t="shared" ref="D103:D106" si="78">HEX2DEC("64")</f>
        <v>100</v>
      </c>
      <c r="E103" s="16">
        <f>HEX2DEC("19")</f>
        <v>25</v>
      </c>
      <c r="F103" s="16" t="s">
        <v>427</v>
      </c>
      <c r="G103" s="16" t="e">
        <f t="shared" ref="G103:G104" ca="1" si="79">GETEFFECT(HEX2DEC("05"))</f>
        <v>#NAME?</v>
      </c>
      <c r="H103" s="100">
        <f t="shared" ref="H103:H104" si="80">PRODUCT((HEX2DEC("0A")),0.01)</f>
        <v>0.1</v>
      </c>
      <c r="I103" s="20"/>
    </row>
    <row r="104" spans="1:9" ht="12.75" x14ac:dyDescent="0.2">
      <c r="A104" s="99" t="str">
        <f t="shared" si="0"/>
        <v>66</v>
      </c>
      <c r="B104" s="20" t="s">
        <v>428</v>
      </c>
      <c r="C104" s="16">
        <f>HEX2DEC("41")</f>
        <v>65</v>
      </c>
      <c r="D104" s="16">
        <f t="shared" si="78"/>
        <v>100</v>
      </c>
      <c r="E104" s="16">
        <f>HEX2DEC("14")</f>
        <v>20</v>
      </c>
      <c r="F104" s="16" t="s">
        <v>427</v>
      </c>
      <c r="G104" s="16" t="e">
        <f t="shared" ca="1" si="79"/>
        <v>#NAME?</v>
      </c>
      <c r="H104" s="100">
        <f t="shared" si="80"/>
        <v>0.1</v>
      </c>
      <c r="I104" s="20"/>
    </row>
    <row r="105" spans="1:9" ht="12.75" x14ac:dyDescent="0.2">
      <c r="A105" s="99" t="str">
        <f t="shared" si="0"/>
        <v>67</v>
      </c>
      <c r="B105" s="20" t="s">
        <v>429</v>
      </c>
      <c r="C105" s="16">
        <f>HEX2DEC("46")</f>
        <v>70</v>
      </c>
      <c r="D105" s="16">
        <f t="shared" si="78"/>
        <v>100</v>
      </c>
      <c r="E105" s="16">
        <f>HEX2DEC("05")</f>
        <v>5</v>
      </c>
      <c r="F105" s="16" t="s">
        <v>427</v>
      </c>
      <c r="G105" s="16" t="e">
        <f ca="1">GETEFFECT(HEX2DEC("17"))</f>
        <v>#NAME?</v>
      </c>
      <c r="H105" s="100">
        <f>PRODUCT((HEX2DEC("32")),0.01)</f>
        <v>0.5</v>
      </c>
      <c r="I105" s="20"/>
    </row>
    <row r="106" spans="1:9" ht="12.75" x14ac:dyDescent="0.2">
      <c r="A106" s="99" t="str">
        <f t="shared" si="0"/>
        <v>68</v>
      </c>
      <c r="B106" s="20" t="s">
        <v>430</v>
      </c>
      <c r="C106" s="16">
        <f t="shared" ref="C106:C107" si="81">HEX2DEC("50")</f>
        <v>80</v>
      </c>
      <c r="D106" s="16">
        <f t="shared" si="78"/>
        <v>100</v>
      </c>
      <c r="E106" s="16">
        <f>HEX2DEC("1E")</f>
        <v>30</v>
      </c>
      <c r="F106" s="16" t="s">
        <v>427</v>
      </c>
      <c r="G106" s="16" t="e">
        <f ca="1">GETEFFECT(HEX2DEC("08"))</f>
        <v>#NAME?</v>
      </c>
      <c r="H106" s="100">
        <f>PRODUCT((HEX2DEC("0A")),0.01)</f>
        <v>0.1</v>
      </c>
      <c r="I106" s="20"/>
    </row>
    <row r="107" spans="1:9" ht="12.75" x14ac:dyDescent="0.2">
      <c r="A107" s="99" t="str">
        <f t="shared" si="0"/>
        <v>69</v>
      </c>
      <c r="B107" s="20" t="s">
        <v>431</v>
      </c>
      <c r="C107" s="16">
        <f t="shared" si="81"/>
        <v>80</v>
      </c>
      <c r="D107" s="16">
        <f>HEX2DEC("5A")</f>
        <v>90</v>
      </c>
      <c r="E107" s="16">
        <f>HEX2DEC("0F")</f>
        <v>15</v>
      </c>
      <c r="F107" s="16" t="s">
        <v>427</v>
      </c>
      <c r="G107" s="16" t="s">
        <v>431</v>
      </c>
      <c r="H107" s="100">
        <f>PRODUCT((HEX2DEC("64")),0.01)</f>
        <v>1</v>
      </c>
      <c r="I107" s="20" t="s">
        <v>432</v>
      </c>
    </row>
    <row r="108" spans="1:9" ht="12.75" x14ac:dyDescent="0.2">
      <c r="A108" s="99" t="str">
        <f t="shared" si="0"/>
        <v>6A</v>
      </c>
      <c r="B108" s="20" t="s">
        <v>427</v>
      </c>
      <c r="C108" s="16">
        <f>HEX2DEC("5A")</f>
        <v>90</v>
      </c>
      <c r="D108" s="16">
        <f>HEX2DEC("64")</f>
        <v>100</v>
      </c>
      <c r="E108" s="16">
        <f>HEX2DEC("0A")</f>
        <v>10</v>
      </c>
      <c r="F108" s="16" t="s">
        <v>427</v>
      </c>
      <c r="G108" s="16" t="e">
        <f ca="1">GETEFFECT(HEX2DEC("18"))</f>
        <v>#NAME?</v>
      </c>
      <c r="H108" s="100">
        <f>PRODUCT((HEX2DEC("0A")),0.01)</f>
        <v>0.1</v>
      </c>
      <c r="I108" s="20"/>
    </row>
    <row r="109" spans="1:9" ht="12.75" x14ac:dyDescent="0.2">
      <c r="A109" s="99" t="str">
        <f t="shared" si="0"/>
        <v>6B</v>
      </c>
      <c r="B109" s="20" t="s">
        <v>433</v>
      </c>
      <c r="C109" s="16">
        <f t="shared" ref="C109:D109" si="82">HEX2DEC("64")</f>
        <v>100</v>
      </c>
      <c r="D109" s="16">
        <f t="shared" si="82"/>
        <v>100</v>
      </c>
      <c r="E109" s="16">
        <f>HEX2DEC("0F")</f>
        <v>15</v>
      </c>
      <c r="F109" s="16" t="s">
        <v>427</v>
      </c>
      <c r="G109" s="16" t="s">
        <v>434</v>
      </c>
      <c r="H109" s="100">
        <f>PRODUCT((HEX2DEC("64")),0.01)</f>
        <v>1</v>
      </c>
      <c r="I109" s="20" t="s">
        <v>435</v>
      </c>
    </row>
    <row r="110" spans="1:9" ht="12.75" x14ac:dyDescent="0.2">
      <c r="A110" s="99" t="str">
        <f t="shared" si="0"/>
        <v>6C</v>
      </c>
      <c r="B110" s="20" t="s">
        <v>436</v>
      </c>
      <c r="C110" s="16">
        <f>HEX2DEC("8C")</f>
        <v>140</v>
      </c>
      <c r="D110" s="16">
        <f>HEX2DEC("5A")</f>
        <v>90</v>
      </c>
      <c r="E110" s="16">
        <f>HEX2DEC("05")</f>
        <v>5</v>
      </c>
      <c r="F110" s="16" t="s">
        <v>427</v>
      </c>
      <c r="G110" s="16" t="e">
        <f ca="1">GETEFFECT(HEX2DEC("00"))</f>
        <v>#NAME?</v>
      </c>
      <c r="H110" s="100">
        <f>PRODUCT((HEX2DEC("00")),0.01)</f>
        <v>0</v>
      </c>
      <c r="I110" s="20" t="s">
        <v>437</v>
      </c>
    </row>
    <row r="111" spans="1:9" ht="12.75" x14ac:dyDescent="0.2">
      <c r="A111" s="99" t="str">
        <f t="shared" si="0"/>
        <v>6D</v>
      </c>
      <c r="B111" s="20" t="s">
        <v>438</v>
      </c>
      <c r="C111" s="16">
        <f>HEX2DEC("00")</f>
        <v>0</v>
      </c>
      <c r="D111" s="16">
        <f>HEX2DEC("3C")</f>
        <v>60</v>
      </c>
      <c r="E111" s="16">
        <f>HEX2DEC("14")</f>
        <v>20</v>
      </c>
      <c r="F111" s="16" t="s">
        <v>427</v>
      </c>
      <c r="G111" s="16" t="e">
        <f ca="1">GETEFFECT(HEX2DEC("02"))</f>
        <v>#NAME?</v>
      </c>
      <c r="H111" s="100">
        <f t="shared" ref="H111:H115" si="83">PRODUCT((HEX2DEC("64")),0.01)</f>
        <v>1</v>
      </c>
      <c r="I111" s="20"/>
    </row>
    <row r="112" spans="1:9" ht="12.75" x14ac:dyDescent="0.2">
      <c r="A112" s="99" t="str">
        <f t="shared" si="0"/>
        <v>6E</v>
      </c>
      <c r="B112" s="20" t="s">
        <v>439</v>
      </c>
      <c r="C112" s="16">
        <f t="shared" ref="C112:C115" si="84">HEX2DEC("0")</f>
        <v>0</v>
      </c>
      <c r="D112" s="16">
        <f t="shared" ref="D112:D131" si="85">HEX2DEC("64")</f>
        <v>100</v>
      </c>
      <c r="E112" s="16">
        <f>HEX2DEC("0A")</f>
        <v>10</v>
      </c>
      <c r="F112" s="16" t="s">
        <v>427</v>
      </c>
      <c r="G112" s="16" t="e">
        <f ca="1">GETEFFECT(HEX2DEC("24"))</f>
        <v>#NAME?</v>
      </c>
      <c r="H112" s="100">
        <f t="shared" si="83"/>
        <v>1</v>
      </c>
      <c r="I112" s="20" t="s">
        <v>440</v>
      </c>
    </row>
    <row r="113" spans="1:9" ht="12.75" x14ac:dyDescent="0.2">
      <c r="A113" s="99" t="str">
        <f t="shared" si="0"/>
        <v>6F</v>
      </c>
      <c r="B113" s="20" t="s">
        <v>441</v>
      </c>
      <c r="C113" s="16">
        <f t="shared" si="84"/>
        <v>0</v>
      </c>
      <c r="D113" s="16">
        <f t="shared" si="85"/>
        <v>100</v>
      </c>
      <c r="E113" s="16">
        <f t="shared" ref="E113:E114" si="86">HEX2DEC("14")</f>
        <v>20</v>
      </c>
      <c r="F113" s="16" t="s">
        <v>427</v>
      </c>
      <c r="G113" s="16" t="e">
        <f ca="1">GETEFFECT(HEX2DEC("25"))</f>
        <v>#NAME?</v>
      </c>
      <c r="H113" s="100">
        <f t="shared" si="83"/>
        <v>1</v>
      </c>
      <c r="I113" s="20"/>
    </row>
    <row r="114" spans="1:9" ht="12.75" x14ac:dyDescent="0.2">
      <c r="A114" s="99" t="str">
        <f t="shared" si="0"/>
        <v>70</v>
      </c>
      <c r="B114" s="20" t="s">
        <v>442</v>
      </c>
      <c r="C114" s="16">
        <f t="shared" si="84"/>
        <v>0</v>
      </c>
      <c r="D114" s="16">
        <f t="shared" si="85"/>
        <v>100</v>
      </c>
      <c r="E114" s="16">
        <f t="shared" si="86"/>
        <v>20</v>
      </c>
      <c r="F114" s="16" t="s">
        <v>427</v>
      </c>
      <c r="G114" s="16" t="s">
        <v>442</v>
      </c>
      <c r="H114" s="100">
        <f t="shared" si="83"/>
        <v>1</v>
      </c>
      <c r="I114" s="20"/>
    </row>
    <row r="115" spans="1:9" ht="12.75" x14ac:dyDescent="0.2">
      <c r="A115" s="99" t="str">
        <f t="shared" si="0"/>
        <v>71</v>
      </c>
      <c r="B115" s="20" t="s">
        <v>443</v>
      </c>
      <c r="C115" s="16">
        <f t="shared" si="84"/>
        <v>0</v>
      </c>
      <c r="D115" s="16">
        <f t="shared" si="85"/>
        <v>100</v>
      </c>
      <c r="E115" s="16">
        <f t="shared" ref="E115:E116" si="87">HEX2DEC("1E")</f>
        <v>30</v>
      </c>
      <c r="F115" s="16" t="s">
        <v>427</v>
      </c>
      <c r="G115" s="16" t="e">
        <f ca="1">GETEFFECT(HEX2DEC("13"))</f>
        <v>#NAME?</v>
      </c>
      <c r="H115" s="100">
        <f t="shared" si="83"/>
        <v>1</v>
      </c>
      <c r="I115" s="20"/>
    </row>
    <row r="116" spans="1:9" ht="12.75" x14ac:dyDescent="0.2">
      <c r="A116" s="99" t="str">
        <f t="shared" si="0"/>
        <v>72</v>
      </c>
      <c r="B116" s="20" t="s">
        <v>444</v>
      </c>
      <c r="C116" s="16">
        <f>HEX2DEC("14")</f>
        <v>20</v>
      </c>
      <c r="D116" s="16">
        <f t="shared" si="85"/>
        <v>100</v>
      </c>
      <c r="E116" s="16">
        <f t="shared" si="87"/>
        <v>30</v>
      </c>
      <c r="F116" s="16" t="s">
        <v>445</v>
      </c>
      <c r="G116" s="16" t="e">
        <f ca="1">GETEFFECT(HEX2DEC("03"))</f>
        <v>#NAME?</v>
      </c>
      <c r="H116" s="100">
        <f t="shared" ref="H116:H117" si="88">PRODUCT((HEX2DEC("1E")),0.01)</f>
        <v>0.3</v>
      </c>
      <c r="I116" s="20"/>
    </row>
    <row r="117" spans="1:9" ht="12.75" x14ac:dyDescent="0.2">
      <c r="A117" s="99" t="str">
        <f t="shared" si="0"/>
        <v>73</v>
      </c>
      <c r="B117" s="20" t="s">
        <v>446</v>
      </c>
      <c r="C117" s="16">
        <f>HEX2DEC("1E")</f>
        <v>30</v>
      </c>
      <c r="D117" s="16">
        <f t="shared" si="85"/>
        <v>100</v>
      </c>
      <c r="E117" s="16">
        <f>HEX2DEC("0F")</f>
        <v>15</v>
      </c>
      <c r="F117" s="16" t="s">
        <v>445</v>
      </c>
      <c r="G117" s="16" t="e">
        <f ca="1">GETEFFECT(HEX2DEC("08"))</f>
        <v>#NAME?</v>
      </c>
      <c r="H117" s="100">
        <f t="shared" si="88"/>
        <v>0.3</v>
      </c>
      <c r="I117" s="20"/>
    </row>
    <row r="118" spans="1:9" ht="12.75" x14ac:dyDescent="0.2">
      <c r="A118" s="99" t="str">
        <f t="shared" si="0"/>
        <v>74</v>
      </c>
      <c r="B118" s="20" t="s">
        <v>447</v>
      </c>
      <c r="C118" s="16">
        <f>HEX2DEC("3C")</f>
        <v>60</v>
      </c>
      <c r="D118" s="16">
        <f t="shared" si="85"/>
        <v>100</v>
      </c>
      <c r="E118" s="16">
        <f>HEX2DEC("14")</f>
        <v>20</v>
      </c>
      <c r="F118" s="16" t="s">
        <v>445</v>
      </c>
      <c r="G118" s="16" t="e">
        <f ca="1">GETEFFECT(HEX2DEC("00"))</f>
        <v>#NAME?</v>
      </c>
      <c r="H118" s="100">
        <f>PRODUCT((HEX2DEC("00")),0.01)</f>
        <v>0</v>
      </c>
      <c r="I118" s="20" t="s">
        <v>323</v>
      </c>
    </row>
    <row r="119" spans="1:9" ht="12.75" x14ac:dyDescent="0.2">
      <c r="A119" s="99" t="str">
        <f t="shared" si="0"/>
        <v>75</v>
      </c>
      <c r="B119" s="20" t="s">
        <v>448</v>
      </c>
      <c r="C119" s="16">
        <f t="shared" ref="C119:C120" si="89">HEX2DEC("50")</f>
        <v>80</v>
      </c>
      <c r="D119" s="16">
        <f t="shared" si="85"/>
        <v>100</v>
      </c>
      <c r="E119" s="16">
        <f t="shared" ref="E119:E120" si="90">HEX2DEC("0F")</f>
        <v>15</v>
      </c>
      <c r="F119" s="16" t="s">
        <v>445</v>
      </c>
      <c r="G119" s="16" t="e">
        <f ca="1">GETEFFECT(HEX2DEC("1C"))</f>
        <v>#NAME?</v>
      </c>
      <c r="H119" s="100">
        <f>PRODUCT((HEX2DEC("1E")),0.01)</f>
        <v>0.3</v>
      </c>
      <c r="I119" s="20" t="s">
        <v>449</v>
      </c>
    </row>
    <row r="120" spans="1:9" ht="12.75" x14ac:dyDescent="0.2">
      <c r="A120" s="99" t="str">
        <f t="shared" si="0"/>
        <v>76</v>
      </c>
      <c r="B120" s="20" t="s">
        <v>450</v>
      </c>
      <c r="C120" s="16">
        <f t="shared" si="89"/>
        <v>80</v>
      </c>
      <c r="D120" s="16">
        <f t="shared" si="85"/>
        <v>100</v>
      </c>
      <c r="E120" s="16">
        <f t="shared" si="90"/>
        <v>15</v>
      </c>
      <c r="F120" s="16" t="s">
        <v>445</v>
      </c>
      <c r="G120" s="16" t="s">
        <v>434</v>
      </c>
      <c r="H120" s="100">
        <f t="shared" ref="H120:H121" si="91">PRODUCT((HEX2DEC("64")),0.01)</f>
        <v>1</v>
      </c>
      <c r="I120" s="20" t="s">
        <v>451</v>
      </c>
    </row>
    <row r="121" spans="1:9" ht="12.75" x14ac:dyDescent="0.2">
      <c r="A121" s="99" t="str">
        <f t="shared" si="0"/>
        <v>77</v>
      </c>
      <c r="B121" s="20" t="s">
        <v>452</v>
      </c>
      <c r="C121" s="16">
        <f>HEX2DEC("00")</f>
        <v>0</v>
      </c>
      <c r="D121" s="16">
        <f t="shared" si="85"/>
        <v>100</v>
      </c>
      <c r="E121" s="16">
        <f>HEX2DEC("0A")</f>
        <v>10</v>
      </c>
      <c r="F121" s="16" t="s">
        <v>445</v>
      </c>
      <c r="G121" s="16" t="e">
        <f ca="1">GETEFFECT(HEX2DEC("05"))</f>
        <v>#NAME?</v>
      </c>
      <c r="H121" s="100">
        <f t="shared" si="91"/>
        <v>1</v>
      </c>
      <c r="I121" s="20"/>
    </row>
    <row r="122" spans="1:9" ht="12.75" x14ac:dyDescent="0.2">
      <c r="A122" s="99" t="str">
        <f t="shared" si="0"/>
        <v>78</v>
      </c>
      <c r="B122" s="20" t="s">
        <v>453</v>
      </c>
      <c r="C122" s="16">
        <f t="shared" ref="C122:C123" si="92">HEX2DEC("28")</f>
        <v>40</v>
      </c>
      <c r="D122" s="16">
        <f t="shared" si="85"/>
        <v>100</v>
      </c>
      <c r="E122" s="16">
        <f>HEX2DEC("14")</f>
        <v>20</v>
      </c>
      <c r="F122" s="16" t="s">
        <v>454</v>
      </c>
      <c r="G122" s="16" t="e">
        <f ca="1">GETEFFECT(HEX2DEC("08"))</f>
        <v>#NAME?</v>
      </c>
      <c r="H122" s="100">
        <f>PRODUCT((HEX2DEC("1E")),0.01)</f>
        <v>0.3</v>
      </c>
      <c r="I122" s="20"/>
    </row>
    <row r="123" spans="1:9" ht="12.75" x14ac:dyDescent="0.2">
      <c r="A123" s="99" t="str">
        <f t="shared" si="0"/>
        <v>79</v>
      </c>
      <c r="B123" s="20" t="s">
        <v>29</v>
      </c>
      <c r="C123" s="16">
        <f t="shared" si="92"/>
        <v>40</v>
      </c>
      <c r="D123" s="16">
        <f t="shared" si="85"/>
        <v>100</v>
      </c>
      <c r="E123" s="16">
        <f>HEX2DEC("0A")</f>
        <v>10</v>
      </c>
      <c r="F123" s="16" t="s">
        <v>454</v>
      </c>
      <c r="G123" s="16" t="e">
        <f ca="1">GETEFFECT(HEX2DEC("00"))</f>
        <v>#NAME?</v>
      </c>
      <c r="H123" s="100">
        <f>PRODUCT((HEX2DEC("00")),0.01)</f>
        <v>0</v>
      </c>
      <c r="I123" s="20" t="s">
        <v>455</v>
      </c>
    </row>
    <row r="124" spans="1:9" ht="12.75" x14ac:dyDescent="0.2">
      <c r="A124" s="99" t="str">
        <f t="shared" si="0"/>
        <v>7A</v>
      </c>
      <c r="B124" s="20" t="s">
        <v>456</v>
      </c>
      <c r="C124" s="16">
        <f>HEX2DEC("3C")</f>
        <v>60</v>
      </c>
      <c r="D124" s="16">
        <f t="shared" si="85"/>
        <v>100</v>
      </c>
      <c r="E124" s="16">
        <f>HEX2DEC("14")</f>
        <v>20</v>
      </c>
      <c r="F124" s="16" t="s">
        <v>454</v>
      </c>
      <c r="G124" s="16" t="e">
        <f ca="1">GETEFFECT(HEX2DEC("03"))</f>
        <v>#NAME?</v>
      </c>
      <c r="H124" s="100">
        <f>PRODUCT((HEX2DEC("1E")),0.01)</f>
        <v>0.3</v>
      </c>
      <c r="I124" s="20"/>
    </row>
    <row r="125" spans="1:9" ht="12.75" x14ac:dyDescent="0.2">
      <c r="A125" s="99" t="str">
        <f t="shared" si="0"/>
        <v>7B</v>
      </c>
      <c r="B125" s="20" t="s">
        <v>457</v>
      </c>
      <c r="C125" s="16">
        <f>HEX2DEC("50")</f>
        <v>80</v>
      </c>
      <c r="D125" s="16">
        <f t="shared" si="85"/>
        <v>100</v>
      </c>
      <c r="E125" s="16">
        <f t="shared" ref="E125:E126" si="93">HEX2DEC("0F")</f>
        <v>15</v>
      </c>
      <c r="F125" s="16" t="s">
        <v>454</v>
      </c>
      <c r="G125" s="16" t="e">
        <f ca="1">GETEFFECT(HEX2DEC("00"))</f>
        <v>#NAME?</v>
      </c>
      <c r="H125" s="100">
        <f>PRODUCT((HEX2DEC("00")),0.01)</f>
        <v>0</v>
      </c>
      <c r="I125" s="20"/>
    </row>
    <row r="126" spans="1:9" ht="12.75" x14ac:dyDescent="0.2">
      <c r="A126" s="99" t="str">
        <f t="shared" si="0"/>
        <v>7C</v>
      </c>
      <c r="B126" s="20" t="s">
        <v>458</v>
      </c>
      <c r="C126" s="16">
        <f>HEX2DEC("5A")</f>
        <v>90</v>
      </c>
      <c r="D126" s="16">
        <f t="shared" si="85"/>
        <v>100</v>
      </c>
      <c r="E126" s="16">
        <f t="shared" si="93"/>
        <v>15</v>
      </c>
      <c r="F126" s="16" t="s">
        <v>454</v>
      </c>
      <c r="G126" s="16" t="s">
        <v>458</v>
      </c>
      <c r="H126" s="100">
        <f t="shared" ref="H126:H127" si="94">PRODUCT((HEX2DEC("64")),0.01)</f>
        <v>1</v>
      </c>
      <c r="I126" s="20" t="s">
        <v>459</v>
      </c>
    </row>
    <row r="127" spans="1:9" ht="12.75" x14ac:dyDescent="0.2">
      <c r="A127" s="99" t="str">
        <f t="shared" si="0"/>
        <v>7D</v>
      </c>
      <c r="B127" s="20" t="s">
        <v>460</v>
      </c>
      <c r="C127" s="16">
        <f>HEX2DEC("00")</f>
        <v>0</v>
      </c>
      <c r="D127" s="16">
        <f t="shared" si="85"/>
        <v>100</v>
      </c>
      <c r="E127" s="16">
        <f t="shared" ref="E127:E129" si="95">HEX2DEC("14")</f>
        <v>20</v>
      </c>
      <c r="F127" s="16" t="s">
        <v>454</v>
      </c>
      <c r="G127" s="16" t="s">
        <v>460</v>
      </c>
      <c r="H127" s="100">
        <f t="shared" si="94"/>
        <v>1</v>
      </c>
      <c r="I127" s="20"/>
    </row>
    <row r="128" spans="1:9" ht="12.75" x14ac:dyDescent="0.2">
      <c r="A128" s="99" t="str">
        <f t="shared" si="0"/>
        <v>7E</v>
      </c>
      <c r="B128" s="20" t="s">
        <v>461</v>
      </c>
      <c r="C128" s="16">
        <f>HEX2DEC("14")</f>
        <v>20</v>
      </c>
      <c r="D128" s="16">
        <f t="shared" si="85"/>
        <v>100</v>
      </c>
      <c r="E128" s="16">
        <f t="shared" si="95"/>
        <v>20</v>
      </c>
      <c r="F128" s="16" t="s">
        <v>462</v>
      </c>
      <c r="G128" s="16" t="e">
        <f t="shared" ref="G128:G129" ca="1" si="96">GETEFFECT(HEX2DEC("00"))</f>
        <v>#NAME?</v>
      </c>
      <c r="H128" s="100">
        <f t="shared" ref="H128:H129" si="97">PRODUCT((HEX2DEC("00")),0.01)</f>
        <v>0</v>
      </c>
      <c r="I128" s="20" t="s">
        <v>463</v>
      </c>
    </row>
    <row r="129" spans="1:9" ht="12.75" x14ac:dyDescent="0.2">
      <c r="A129" s="99" t="str">
        <f t="shared" si="0"/>
        <v>7F</v>
      </c>
      <c r="B129" s="20" t="s">
        <v>56</v>
      </c>
      <c r="C129" s="16">
        <f>HEX2DEC("28")</f>
        <v>40</v>
      </c>
      <c r="D129" s="16">
        <f t="shared" si="85"/>
        <v>100</v>
      </c>
      <c r="E129" s="16">
        <f t="shared" si="95"/>
        <v>20</v>
      </c>
      <c r="F129" s="16" t="s">
        <v>462</v>
      </c>
      <c r="G129" s="16" t="e">
        <f t="shared" ca="1" si="96"/>
        <v>#NAME?</v>
      </c>
      <c r="H129" s="100">
        <f t="shared" si="97"/>
        <v>0</v>
      </c>
      <c r="I129" s="20" t="s">
        <v>464</v>
      </c>
    </row>
    <row r="130" spans="1:9" ht="12.75" x14ac:dyDescent="0.2">
      <c r="A130" s="99" t="str">
        <f t="shared" si="0"/>
        <v>80</v>
      </c>
      <c r="B130" s="20" t="s">
        <v>465</v>
      </c>
      <c r="C130" s="16">
        <f>HEX2DEC("3C")</f>
        <v>60</v>
      </c>
      <c r="D130" s="16">
        <f t="shared" si="85"/>
        <v>100</v>
      </c>
      <c r="E130" s="16">
        <f>HEX2DEC("19")</f>
        <v>25</v>
      </c>
      <c r="F130" s="16" t="s">
        <v>462</v>
      </c>
      <c r="G130" s="16" t="e">
        <f ca="1">GETEFFECT(HEX2DEC("08"))</f>
        <v>#NAME?</v>
      </c>
      <c r="H130" s="100">
        <f t="shared" ref="H130:H131" si="98">PRODUCT((HEX2DEC("1E")),0.01)</f>
        <v>0.3</v>
      </c>
      <c r="I130" s="20"/>
    </row>
    <row r="131" spans="1:9" ht="12.75" x14ac:dyDescent="0.2">
      <c r="A131" s="99" t="str">
        <f t="shared" si="0"/>
        <v>81</v>
      </c>
      <c r="B131" s="20" t="s">
        <v>466</v>
      </c>
      <c r="C131" s="16">
        <f>HEX2DEC("50")</f>
        <v>80</v>
      </c>
      <c r="D131" s="16">
        <f t="shared" si="85"/>
        <v>100</v>
      </c>
      <c r="E131" s="16">
        <f>HEX2DEC("0F")</f>
        <v>15</v>
      </c>
      <c r="F131" s="16" t="s">
        <v>462</v>
      </c>
      <c r="G131" s="16" t="e">
        <f ca="1">GETEFFECT(HEX2DEC("1C"))</f>
        <v>#NAME?</v>
      </c>
      <c r="H131" s="100">
        <f t="shared" si="98"/>
        <v>0.3</v>
      </c>
      <c r="I131" s="20" t="s">
        <v>467</v>
      </c>
    </row>
    <row r="132" spans="1:9" ht="12.75" x14ac:dyDescent="0.2">
      <c r="A132" s="99" t="str">
        <f t="shared" si="0"/>
        <v>82</v>
      </c>
      <c r="B132" s="20" t="s">
        <v>468</v>
      </c>
      <c r="C132" s="16">
        <f>HEX2DEC("32")</f>
        <v>50</v>
      </c>
      <c r="D132" s="16">
        <f>HEX2DEC("5F")</f>
        <v>95</v>
      </c>
      <c r="E132" s="16">
        <f>HEX2DEC("23")</f>
        <v>35</v>
      </c>
      <c r="F132" s="16" t="s">
        <v>469</v>
      </c>
      <c r="G132" s="16" t="e">
        <f ca="1">GETEFFECT(HEX2DEC("09"))</f>
        <v>#NAME?</v>
      </c>
      <c r="H132" s="100">
        <f t="shared" ref="H132:H133" si="99">PRODUCT((HEX2DEC("0A")),0.01)</f>
        <v>0.1</v>
      </c>
      <c r="I132" s="20"/>
    </row>
    <row r="133" spans="1:9" ht="12.75" x14ac:dyDescent="0.2">
      <c r="A133" s="99" t="str">
        <f t="shared" si="0"/>
        <v>83</v>
      </c>
      <c r="B133" s="20" t="s">
        <v>470</v>
      </c>
      <c r="C133" s="16">
        <f>HEX2DEC("46")</f>
        <v>70</v>
      </c>
      <c r="D133" s="16">
        <f>HEX2DEC("5A")</f>
        <v>90</v>
      </c>
      <c r="E133" s="16">
        <f>HEX2DEC("19")</f>
        <v>25</v>
      </c>
      <c r="F133" s="16" t="s">
        <v>469</v>
      </c>
      <c r="G133" s="16" t="e">
        <f ca="1">GETEFFECT(HEX2DEC("0A"))</f>
        <v>#NAME?</v>
      </c>
      <c r="H133" s="100">
        <f t="shared" si="99"/>
        <v>0.1</v>
      </c>
      <c r="I133" s="20"/>
    </row>
    <row r="134" spans="1:9" ht="12.75" x14ac:dyDescent="0.2">
      <c r="A134" s="99" t="str">
        <f t="shared" si="0"/>
        <v>84</v>
      </c>
      <c r="B134" s="20" t="s">
        <v>471</v>
      </c>
      <c r="C134" s="16">
        <f t="shared" ref="C134:C135" si="100">HEX2DEC("64")</f>
        <v>100</v>
      </c>
      <c r="D134" s="16">
        <f>HEX2DEC("4B")</f>
        <v>75</v>
      </c>
      <c r="E134" s="16">
        <f>HEX2DEC("0F")</f>
        <v>15</v>
      </c>
      <c r="F134" s="16" t="s">
        <v>469</v>
      </c>
      <c r="G134" s="16" t="e">
        <f ca="1">GETEFFECT(HEX2DEC("16"))</f>
        <v>#NAME?</v>
      </c>
      <c r="H134" s="100">
        <f>PRODUCT((HEX2DEC("1E")),0.01)</f>
        <v>0.3</v>
      </c>
      <c r="I134" s="20"/>
    </row>
    <row r="135" spans="1:9" ht="12.75" x14ac:dyDescent="0.2">
      <c r="A135" s="99" t="str">
        <f t="shared" si="0"/>
        <v>85</v>
      </c>
      <c r="B135" s="20" t="s">
        <v>472</v>
      </c>
      <c r="C135" s="16">
        <f t="shared" si="100"/>
        <v>100</v>
      </c>
      <c r="D135" s="16">
        <f>HEX2DEC("55")</f>
        <v>85</v>
      </c>
      <c r="E135" s="16">
        <f>HEX2DEC("0A")</f>
        <v>10</v>
      </c>
      <c r="F135" s="16" t="s">
        <v>469</v>
      </c>
      <c r="G135" s="16" t="e">
        <f ca="1">GETEFFECT(HEX2DEC("09"))</f>
        <v>#NAME?</v>
      </c>
      <c r="H135" s="100">
        <f>PRODUCT((HEX2DEC("14")),0.01)</f>
        <v>0.2</v>
      </c>
      <c r="I135" s="20"/>
    </row>
    <row r="136" spans="1:9" ht="12.75" x14ac:dyDescent="0.2">
      <c r="A136" s="99" t="str">
        <f t="shared" si="0"/>
        <v>86</v>
      </c>
      <c r="B136" s="20" t="s">
        <v>473</v>
      </c>
      <c r="C136" s="16">
        <f t="shared" ref="C136:C137" si="101">HEX2DEC("00")</f>
        <v>0</v>
      </c>
      <c r="D136" s="16">
        <f t="shared" ref="D136:D137" si="102">HEX2DEC("64")</f>
        <v>100</v>
      </c>
      <c r="E136" s="16">
        <f>HEX2DEC("0F")</f>
        <v>15</v>
      </c>
      <c r="F136" s="16" t="s">
        <v>469</v>
      </c>
      <c r="G136" s="16" t="e">
        <f ca="1">GETEFFECT(HEX2DEC("10"))</f>
        <v>#NAME?</v>
      </c>
      <c r="H136" s="100">
        <f>PRODUCT((HEX2DEC("64")),0.01)</f>
        <v>1</v>
      </c>
      <c r="I136" s="20"/>
    </row>
    <row r="137" spans="1:9" ht="12.75" x14ac:dyDescent="0.2">
      <c r="A137" s="99" t="str">
        <f t="shared" si="0"/>
        <v>87</v>
      </c>
      <c r="B137" s="20" t="s">
        <v>474</v>
      </c>
      <c r="C137" s="16">
        <f t="shared" si="101"/>
        <v>0</v>
      </c>
      <c r="D137" s="16">
        <f t="shared" si="102"/>
        <v>100</v>
      </c>
      <c r="E137" s="16">
        <f>HEX2DEC("28")</f>
        <v>40</v>
      </c>
      <c r="F137" s="16" t="s">
        <v>475</v>
      </c>
      <c r="G137" s="16" t="e">
        <f t="shared" ref="G137:G139" ca="1" si="103">GETEFFECT(HEX2DEC("00"))</f>
        <v>#NAME?</v>
      </c>
      <c r="H137" s="100">
        <f t="shared" ref="H137:H139" si="104">PRODUCT((HEX2DEC("00")),0.01)</f>
        <v>0</v>
      </c>
      <c r="I137" s="20"/>
    </row>
    <row r="138" spans="1:9" ht="12.75" x14ac:dyDescent="0.2">
      <c r="A138" s="99" t="str">
        <f t="shared" si="0"/>
        <v>88</v>
      </c>
      <c r="B138" s="20" t="s">
        <v>476</v>
      </c>
      <c r="C138" s="16">
        <f>HEX2DEC("14")</f>
        <v>20</v>
      </c>
      <c r="D138" s="16">
        <f>HEX2DEC("5A")</f>
        <v>90</v>
      </c>
      <c r="E138" s="16">
        <f>HEX2DEC("14")</f>
        <v>20</v>
      </c>
      <c r="F138" s="16" t="s">
        <v>475</v>
      </c>
      <c r="G138" s="16" t="e">
        <f t="shared" ca="1" si="103"/>
        <v>#NAME?</v>
      </c>
      <c r="H138" s="100">
        <f t="shared" si="104"/>
        <v>0</v>
      </c>
      <c r="I138" s="20" t="s">
        <v>477</v>
      </c>
    </row>
    <row r="139" spans="1:9" ht="12.75" x14ac:dyDescent="0.2">
      <c r="A139" s="99" t="str">
        <f t="shared" si="0"/>
        <v>89</v>
      </c>
      <c r="B139" s="20" t="s">
        <v>195</v>
      </c>
      <c r="C139" s="16">
        <f>HEX2DEC("23")</f>
        <v>35</v>
      </c>
      <c r="D139" s="16">
        <f>HEX2DEC("5F")</f>
        <v>95</v>
      </c>
      <c r="E139" s="16">
        <f>HEX2DEC("23")</f>
        <v>35</v>
      </c>
      <c r="F139" s="16" t="s">
        <v>475</v>
      </c>
      <c r="G139" s="16" t="e">
        <f t="shared" ca="1" si="103"/>
        <v>#NAME?</v>
      </c>
      <c r="H139" s="100">
        <f t="shared" si="104"/>
        <v>0</v>
      </c>
      <c r="I139" s="20"/>
    </row>
    <row r="140" spans="1:9" ht="12.75" x14ac:dyDescent="0.2">
      <c r="A140" s="99" t="str">
        <f t="shared" si="0"/>
        <v>8A</v>
      </c>
      <c r="B140" s="20" t="s">
        <v>478</v>
      </c>
      <c r="C140" s="16">
        <f t="shared" ref="C140:C144" si="105">HEX2DEC("28")</f>
        <v>40</v>
      </c>
      <c r="D140" s="16">
        <f t="shared" ref="D140:D144" si="106">HEX2DEC("64")</f>
        <v>100</v>
      </c>
      <c r="E140" s="16">
        <f>HEX2DEC("28")</f>
        <v>40</v>
      </c>
      <c r="F140" s="16" t="s">
        <v>475</v>
      </c>
      <c r="G140" s="16" t="s">
        <v>478</v>
      </c>
      <c r="H140" s="100">
        <f>PRODUCT((HEX2DEC("64")),0.01)</f>
        <v>1</v>
      </c>
      <c r="I140" s="20"/>
    </row>
    <row r="141" spans="1:9" ht="12.75" x14ac:dyDescent="0.2">
      <c r="A141" s="99" t="str">
        <f t="shared" si="0"/>
        <v>8B</v>
      </c>
      <c r="B141" s="20" t="s">
        <v>479</v>
      </c>
      <c r="C141" s="16">
        <f t="shared" si="105"/>
        <v>40</v>
      </c>
      <c r="D141" s="16">
        <f t="shared" si="106"/>
        <v>100</v>
      </c>
      <c r="E141" s="16">
        <f>HEX2DEC("23")</f>
        <v>35</v>
      </c>
      <c r="F141" s="16" t="s">
        <v>475</v>
      </c>
      <c r="G141" s="16" t="e">
        <f t="shared" ref="G141:G142" ca="1" si="107">GETEFFECT(HEX2DEC("00"))</f>
        <v>#NAME?</v>
      </c>
      <c r="H141" s="100">
        <f t="shared" ref="H141:H142" si="108">PRODUCT((HEX2DEC("00")),0.01)</f>
        <v>0</v>
      </c>
      <c r="I141" s="20"/>
    </row>
    <row r="142" spans="1:9" ht="12.75" x14ac:dyDescent="0.2">
      <c r="A142" s="99" t="str">
        <f t="shared" si="0"/>
        <v>8C</v>
      </c>
      <c r="B142" s="20" t="s">
        <v>480</v>
      </c>
      <c r="C142" s="16">
        <f t="shared" si="105"/>
        <v>40</v>
      </c>
      <c r="D142" s="16">
        <f t="shared" si="106"/>
        <v>100</v>
      </c>
      <c r="E142" s="16">
        <f>HEX2DEC("1E")</f>
        <v>30</v>
      </c>
      <c r="F142" s="16" t="s">
        <v>475</v>
      </c>
      <c r="G142" s="16" t="e">
        <f t="shared" ca="1" si="107"/>
        <v>#NAME?</v>
      </c>
      <c r="H142" s="100">
        <f t="shared" si="108"/>
        <v>0</v>
      </c>
      <c r="I142" s="20" t="s">
        <v>394</v>
      </c>
    </row>
    <row r="143" spans="1:9" ht="12.75" x14ac:dyDescent="0.2">
      <c r="A143" s="99" t="str">
        <f t="shared" si="0"/>
        <v>8D</v>
      </c>
      <c r="B143" s="20" t="s">
        <v>481</v>
      </c>
      <c r="C143" s="16">
        <f t="shared" si="105"/>
        <v>40</v>
      </c>
      <c r="D143" s="16">
        <f t="shared" si="106"/>
        <v>100</v>
      </c>
      <c r="E143" s="16">
        <f>HEX2DEC("14")</f>
        <v>20</v>
      </c>
      <c r="F143" s="16" t="s">
        <v>475</v>
      </c>
      <c r="G143" s="16" t="s">
        <v>481</v>
      </c>
      <c r="H143" s="100">
        <f t="shared" ref="H143:H144" si="109">PRODUCT((HEX2DEC("64")),0.01)</f>
        <v>1</v>
      </c>
      <c r="I143" s="20" t="s">
        <v>482</v>
      </c>
    </row>
    <row r="144" spans="1:9" ht="12.75" x14ac:dyDescent="0.2">
      <c r="A144" s="99" t="str">
        <f t="shared" si="0"/>
        <v>8E</v>
      </c>
      <c r="B144" s="20" t="s">
        <v>483</v>
      </c>
      <c r="C144" s="16">
        <f t="shared" si="105"/>
        <v>40</v>
      </c>
      <c r="D144" s="16">
        <f t="shared" si="106"/>
        <v>100</v>
      </c>
      <c r="E144" s="16">
        <f>HEX2DEC("0F")</f>
        <v>15</v>
      </c>
      <c r="F144" s="16" t="s">
        <v>475</v>
      </c>
      <c r="G144" s="16" t="s">
        <v>483</v>
      </c>
      <c r="H144" s="100">
        <f t="shared" si="109"/>
        <v>1</v>
      </c>
      <c r="I144" s="20" t="s">
        <v>484</v>
      </c>
    </row>
    <row r="145" spans="1:9" ht="12.75" x14ac:dyDescent="0.2">
      <c r="A145" s="99" t="str">
        <f t="shared" si="0"/>
        <v>8F</v>
      </c>
      <c r="B145" s="20" t="s">
        <v>485</v>
      </c>
      <c r="C145" s="16">
        <f>HEX2DEC("32")</f>
        <v>50</v>
      </c>
      <c r="D145" s="16">
        <f>HEX2DEC("5F")</f>
        <v>95</v>
      </c>
      <c r="E145" s="16">
        <f>HEX2DEC("1E")</f>
        <v>30</v>
      </c>
      <c r="F145" s="16" t="s">
        <v>475</v>
      </c>
      <c r="G145" s="16" t="e">
        <f t="shared" ref="G145:G147" ca="1" si="110">GETEFFECT(HEX2DEC("00"))</f>
        <v>#NAME?</v>
      </c>
      <c r="H145" s="100">
        <f t="shared" ref="H145:H147" si="111">PRODUCT((HEX2DEC("00")),0.01)</f>
        <v>0</v>
      </c>
      <c r="I145" s="20"/>
    </row>
    <row r="146" spans="1:9" ht="12.75" x14ac:dyDescent="0.2">
      <c r="A146" s="99" t="str">
        <f t="shared" si="0"/>
        <v>90</v>
      </c>
      <c r="B146" s="20" t="s">
        <v>165</v>
      </c>
      <c r="C146" s="16">
        <f>HEX2DEC("3C")</f>
        <v>60</v>
      </c>
      <c r="D146" s="16">
        <f t="shared" ref="D146:D149" si="112">HEX2DEC("64")</f>
        <v>100</v>
      </c>
      <c r="E146" s="16">
        <f>HEX2DEC("14")</f>
        <v>20</v>
      </c>
      <c r="F146" s="16" t="s">
        <v>475</v>
      </c>
      <c r="G146" s="16" t="e">
        <f t="shared" ca="1" si="110"/>
        <v>#NAME?</v>
      </c>
      <c r="H146" s="100">
        <f t="shared" si="111"/>
        <v>0</v>
      </c>
      <c r="I146" s="20" t="s">
        <v>323</v>
      </c>
    </row>
    <row r="147" spans="1:9" ht="12.75" x14ac:dyDescent="0.2">
      <c r="A147" s="99" t="str">
        <f t="shared" si="0"/>
        <v>91</v>
      </c>
      <c r="B147" s="20" t="s">
        <v>486</v>
      </c>
      <c r="C147" s="16">
        <f>HEX2DEC("41")</f>
        <v>65</v>
      </c>
      <c r="D147" s="16">
        <f t="shared" si="112"/>
        <v>100</v>
      </c>
      <c r="E147" s="16">
        <f>HEX2DEC("19")</f>
        <v>25</v>
      </c>
      <c r="F147" s="16" t="s">
        <v>475</v>
      </c>
      <c r="G147" s="16" t="e">
        <f t="shared" ca="1" si="110"/>
        <v>#NAME?</v>
      </c>
      <c r="H147" s="100">
        <f t="shared" si="111"/>
        <v>0</v>
      </c>
      <c r="I147" s="20"/>
    </row>
    <row r="148" spans="1:9" ht="12.75" x14ac:dyDescent="0.2">
      <c r="A148" s="99" t="str">
        <f t="shared" si="0"/>
        <v>92</v>
      </c>
      <c r="B148" s="20" t="s">
        <v>487</v>
      </c>
      <c r="C148" s="16">
        <f>HEX2DEC("4B")</f>
        <v>75</v>
      </c>
      <c r="D148" s="16">
        <f t="shared" si="112"/>
        <v>100</v>
      </c>
      <c r="E148" s="16">
        <f t="shared" ref="E148:E149" si="113">HEX2DEC("14")</f>
        <v>20</v>
      </c>
      <c r="F148" s="16" t="s">
        <v>475</v>
      </c>
      <c r="G148" s="16" t="e">
        <f ca="1">GETEFFECT(HEX2DEC("16"))</f>
        <v>#NAME?</v>
      </c>
      <c r="H148" s="100">
        <f>PRODUCT((HEX2DEC("32")),0.01)</f>
        <v>0.5</v>
      </c>
      <c r="I148" s="20" t="s">
        <v>488</v>
      </c>
    </row>
    <row r="149" spans="1:9" ht="12.75" x14ac:dyDescent="0.2">
      <c r="A149" s="99" t="str">
        <f t="shared" si="0"/>
        <v>93</v>
      </c>
      <c r="B149" s="20" t="s">
        <v>489</v>
      </c>
      <c r="C149" s="16">
        <f>HEX2DEC("46")</f>
        <v>70</v>
      </c>
      <c r="D149" s="16">
        <f t="shared" si="112"/>
        <v>100</v>
      </c>
      <c r="E149" s="16">
        <f t="shared" si="113"/>
        <v>20</v>
      </c>
      <c r="F149" s="16" t="s">
        <v>475</v>
      </c>
      <c r="G149" s="16" t="e">
        <f ca="1">GETEFFECT(HEX2DEC("00"))</f>
        <v>#NAME?</v>
      </c>
      <c r="H149" s="100">
        <f>PRODUCT((HEX2DEC("00")),0.01)</f>
        <v>0</v>
      </c>
      <c r="I149" s="20" t="s">
        <v>490</v>
      </c>
    </row>
    <row r="150" spans="1:9" ht="12.75" x14ac:dyDescent="0.2">
      <c r="A150" s="99" t="str">
        <f t="shared" si="0"/>
        <v>94</v>
      </c>
      <c r="B150" s="20" t="s">
        <v>491</v>
      </c>
      <c r="C150" s="16">
        <f t="shared" ref="C150:C151" si="114">HEX2DEC("50")</f>
        <v>80</v>
      </c>
      <c r="D150" s="16">
        <f>HEX2DEC("5A")</f>
        <v>90</v>
      </c>
      <c r="E150" s="16">
        <f>HEX2DEC("0F")</f>
        <v>15</v>
      </c>
      <c r="F150" s="16" t="s">
        <v>475</v>
      </c>
      <c r="G150" s="16" t="e">
        <f ca="1">GETEFFECT(HEX2DEC("08"))</f>
        <v>#NAME?</v>
      </c>
      <c r="H150" s="100">
        <f t="shared" ref="H150:H151" si="115">PRODUCT((HEX2DEC("14")),0.01)</f>
        <v>0.2</v>
      </c>
      <c r="I150" s="20"/>
    </row>
    <row r="151" spans="1:9" ht="12.75" x14ac:dyDescent="0.2">
      <c r="A151" s="99" t="str">
        <f t="shared" si="0"/>
        <v>95</v>
      </c>
      <c r="B151" s="20" t="s">
        <v>492</v>
      </c>
      <c r="C151" s="16">
        <f t="shared" si="114"/>
        <v>80</v>
      </c>
      <c r="D151" s="16">
        <f t="shared" ref="D151:D152" si="116">HEX2DEC("64")</f>
        <v>100</v>
      </c>
      <c r="E151" s="16">
        <f>HEX2DEC("0A")</f>
        <v>10</v>
      </c>
      <c r="F151" s="16" t="s">
        <v>475</v>
      </c>
      <c r="G151" s="16" t="s">
        <v>492</v>
      </c>
      <c r="H151" s="100">
        <f t="shared" si="115"/>
        <v>0.2</v>
      </c>
      <c r="I151" s="20"/>
    </row>
    <row r="152" spans="1:9" ht="12.75" x14ac:dyDescent="0.2">
      <c r="A152" s="99" t="str">
        <f t="shared" si="0"/>
        <v>96</v>
      </c>
      <c r="B152" s="20" t="s">
        <v>493</v>
      </c>
      <c r="C152" s="16">
        <f>HEX2DEC("78")</f>
        <v>120</v>
      </c>
      <c r="D152" s="16">
        <f t="shared" si="116"/>
        <v>100</v>
      </c>
      <c r="E152" s="16">
        <f>HEX2DEC("0F")</f>
        <v>15</v>
      </c>
      <c r="F152" s="16" t="s">
        <v>475</v>
      </c>
      <c r="G152" s="16" t="s">
        <v>494</v>
      </c>
      <c r="H152" s="100">
        <f t="shared" ref="H152:H176" si="117">PRODUCT((HEX2DEC("64")),0.01)</f>
        <v>1</v>
      </c>
      <c r="I152" s="20"/>
    </row>
    <row r="153" spans="1:9" ht="12.75" x14ac:dyDescent="0.2">
      <c r="A153" s="99" t="str">
        <f t="shared" si="0"/>
        <v>97</v>
      </c>
      <c r="B153" s="20" t="s">
        <v>495</v>
      </c>
      <c r="C153" s="16">
        <f>HEX2DEC("96")</f>
        <v>150</v>
      </c>
      <c r="D153" s="16">
        <f>HEX2DEC("5A")</f>
        <v>90</v>
      </c>
      <c r="E153" s="16">
        <f t="shared" ref="E153:E157" si="118">HEX2DEC("05")</f>
        <v>5</v>
      </c>
      <c r="F153" s="16" t="s">
        <v>475</v>
      </c>
      <c r="G153" s="16" t="e">
        <f ca="1">GETEFFECT(HEX2DEC("22"))</f>
        <v>#NAME?</v>
      </c>
      <c r="H153" s="100">
        <f t="shared" si="117"/>
        <v>1</v>
      </c>
      <c r="I153" s="20"/>
    </row>
    <row r="154" spans="1:9" ht="12.75" x14ac:dyDescent="0.2">
      <c r="A154" s="99" t="str">
        <f t="shared" si="0"/>
        <v>98</v>
      </c>
      <c r="B154" s="20" t="s">
        <v>496</v>
      </c>
      <c r="C154" s="16">
        <f>HEX2DEC("C8")</f>
        <v>200</v>
      </c>
      <c r="D154" s="16">
        <f t="shared" ref="D154:D155" si="119">HEX2DEC("64")</f>
        <v>100</v>
      </c>
      <c r="E154" s="16">
        <f t="shared" si="118"/>
        <v>5</v>
      </c>
      <c r="F154" s="16" t="s">
        <v>475</v>
      </c>
      <c r="G154" s="16" t="s">
        <v>497</v>
      </c>
      <c r="H154" s="100">
        <f t="shared" si="117"/>
        <v>1</v>
      </c>
      <c r="I154" s="20" t="s">
        <v>498</v>
      </c>
    </row>
    <row r="155" spans="1:9" ht="12.75" x14ac:dyDescent="0.2">
      <c r="A155" s="99" t="str">
        <f t="shared" si="0"/>
        <v>99</v>
      </c>
      <c r="B155" s="20" t="s">
        <v>499</v>
      </c>
      <c r="C155" s="16">
        <f>HEX2DEC("FA")</f>
        <v>250</v>
      </c>
      <c r="D155" s="16">
        <f t="shared" si="119"/>
        <v>100</v>
      </c>
      <c r="E155" s="16">
        <f t="shared" si="118"/>
        <v>5</v>
      </c>
      <c r="F155" s="16" t="s">
        <v>475</v>
      </c>
      <c r="G155" s="16" t="s">
        <v>497</v>
      </c>
      <c r="H155" s="100">
        <f t="shared" si="117"/>
        <v>1</v>
      </c>
      <c r="I155" s="20" t="s">
        <v>498</v>
      </c>
    </row>
    <row r="156" spans="1:9" ht="12.75" x14ac:dyDescent="0.2">
      <c r="A156" s="99" t="str">
        <f t="shared" si="0"/>
        <v>9A</v>
      </c>
      <c r="B156" s="20" t="s">
        <v>79</v>
      </c>
      <c r="C156" s="16">
        <f t="shared" ref="C156:C157" si="120">HEX2DEC("FF")</f>
        <v>255</v>
      </c>
      <c r="D156" s="16">
        <f t="shared" ref="D156:D157" si="121">HEX2DEC("1E")</f>
        <v>30</v>
      </c>
      <c r="E156" s="16">
        <f t="shared" si="118"/>
        <v>5</v>
      </c>
      <c r="F156" s="16" t="s">
        <v>475</v>
      </c>
      <c r="G156" s="16" t="e">
        <f t="shared" ref="G156:G157" ca="1" si="122">GETEFFECT(HEX2DEC("23"))</f>
        <v>#NAME?</v>
      </c>
      <c r="H156" s="100">
        <f t="shared" si="117"/>
        <v>1</v>
      </c>
      <c r="I156" s="20" t="s">
        <v>500</v>
      </c>
    </row>
    <row r="157" spans="1:9" ht="12.75" x14ac:dyDescent="0.2">
      <c r="A157" s="99" t="str">
        <f t="shared" si="0"/>
        <v>9B</v>
      </c>
      <c r="B157" s="20" t="s">
        <v>501</v>
      </c>
      <c r="C157" s="16">
        <f t="shared" si="120"/>
        <v>255</v>
      </c>
      <c r="D157" s="16">
        <f t="shared" si="121"/>
        <v>30</v>
      </c>
      <c r="E157" s="16">
        <f t="shared" si="118"/>
        <v>5</v>
      </c>
      <c r="F157" s="16" t="s">
        <v>475</v>
      </c>
      <c r="G157" s="16" t="e">
        <f t="shared" ca="1" si="122"/>
        <v>#NAME?</v>
      </c>
      <c r="H157" s="100">
        <f t="shared" si="117"/>
        <v>1</v>
      </c>
      <c r="I157" s="20" t="s">
        <v>502</v>
      </c>
    </row>
    <row r="158" spans="1:9" ht="12.75" x14ac:dyDescent="0.2">
      <c r="A158" s="99" t="str">
        <f t="shared" si="0"/>
        <v>9C</v>
      </c>
      <c r="B158" s="20" t="s">
        <v>90</v>
      </c>
      <c r="C158" s="16">
        <f t="shared" ref="C158:C176" si="123">HEX2DEC("00")</f>
        <v>0</v>
      </c>
      <c r="D158" s="16">
        <f>HEX2DEC("37")</f>
        <v>55</v>
      </c>
      <c r="E158" s="16">
        <f>HEX2DEC("0F")</f>
        <v>15</v>
      </c>
      <c r="F158" s="16" t="s">
        <v>475</v>
      </c>
      <c r="G158" s="16" t="e">
        <f t="shared" ref="G158:G159" ca="1" si="124">GETEFFECT(HEX2DEC("02"))</f>
        <v>#NAME?</v>
      </c>
      <c r="H158" s="100">
        <f t="shared" si="117"/>
        <v>1</v>
      </c>
      <c r="I158" s="20"/>
    </row>
    <row r="159" spans="1:9" ht="12.75" x14ac:dyDescent="0.2">
      <c r="A159" s="99" t="str">
        <f t="shared" si="0"/>
        <v>9D</v>
      </c>
      <c r="B159" s="20" t="s">
        <v>503</v>
      </c>
      <c r="C159" s="16">
        <f t="shared" si="123"/>
        <v>0</v>
      </c>
      <c r="D159" s="16">
        <f>HEX2DEC("4B")</f>
        <v>75</v>
      </c>
      <c r="E159" s="16">
        <f>HEX2DEC("0A")</f>
        <v>10</v>
      </c>
      <c r="F159" s="16" t="s">
        <v>475</v>
      </c>
      <c r="G159" s="16" t="e">
        <f t="shared" ca="1" si="124"/>
        <v>#NAME?</v>
      </c>
      <c r="H159" s="100">
        <f t="shared" si="117"/>
        <v>1</v>
      </c>
      <c r="I159" s="20"/>
    </row>
    <row r="160" spans="1:9" ht="12.75" x14ac:dyDescent="0.2">
      <c r="A160" s="99" t="str">
        <f t="shared" si="0"/>
        <v>9E</v>
      </c>
      <c r="B160" s="20" t="s">
        <v>504</v>
      </c>
      <c r="C160" s="16">
        <f t="shared" si="123"/>
        <v>0</v>
      </c>
      <c r="D160" s="16">
        <f>HEX2DEC("37")</f>
        <v>55</v>
      </c>
      <c r="E160" s="16">
        <f>HEX2DEC("14")</f>
        <v>20</v>
      </c>
      <c r="F160" s="16" t="s">
        <v>475</v>
      </c>
      <c r="G160" s="16" t="e">
        <f ca="1">GETEFFECT(HEX2DEC("05"))</f>
        <v>#NAME?</v>
      </c>
      <c r="H160" s="100">
        <f t="shared" si="117"/>
        <v>1</v>
      </c>
      <c r="I160" s="20"/>
    </row>
    <row r="161" spans="1:9" ht="12.75" x14ac:dyDescent="0.2">
      <c r="A161" s="99" t="str">
        <f t="shared" si="0"/>
        <v>9F</v>
      </c>
      <c r="B161" s="20" t="s">
        <v>505</v>
      </c>
      <c r="C161" s="16">
        <f t="shared" si="123"/>
        <v>0</v>
      </c>
      <c r="D161" s="16">
        <f>HEX2DEC("64")</f>
        <v>100</v>
      </c>
      <c r="E161" s="16">
        <f>HEX2DEC("1E")</f>
        <v>30</v>
      </c>
      <c r="F161" s="16" t="s">
        <v>475</v>
      </c>
      <c r="G161" s="16" t="e">
        <f ca="1">GETEFFECT(HEX2DEC("0F"))</f>
        <v>#NAME?</v>
      </c>
      <c r="H161" s="100">
        <f t="shared" si="117"/>
        <v>1</v>
      </c>
      <c r="I161" s="20"/>
    </row>
    <row r="162" spans="1:9" ht="12.75" x14ac:dyDescent="0.2">
      <c r="A162" s="99" t="str">
        <f t="shared" si="0"/>
        <v>A0</v>
      </c>
      <c r="B162" s="20" t="s">
        <v>22</v>
      </c>
      <c r="C162" s="16">
        <f t="shared" si="123"/>
        <v>0</v>
      </c>
      <c r="D162" s="16">
        <f>HEX2DEC("5F")</f>
        <v>95</v>
      </c>
      <c r="E162" s="16">
        <f>HEX2DEC("28")</f>
        <v>40</v>
      </c>
      <c r="F162" s="16" t="s">
        <v>475</v>
      </c>
      <c r="G162" s="16" t="e">
        <f ca="1">GETEFFECT(HEX2DEC("15"))</f>
        <v>#NAME?</v>
      </c>
      <c r="H162" s="100">
        <f t="shared" si="117"/>
        <v>1</v>
      </c>
      <c r="I162" s="20" t="s">
        <v>506</v>
      </c>
    </row>
    <row r="163" spans="1:9" ht="12.75" x14ac:dyDescent="0.2">
      <c r="A163" s="99" t="str">
        <f t="shared" si="0"/>
        <v>A1</v>
      </c>
      <c r="B163" s="20" t="s">
        <v>507</v>
      </c>
      <c r="C163" s="16">
        <f t="shared" si="123"/>
        <v>0</v>
      </c>
      <c r="D163" s="16">
        <f t="shared" ref="D163:D168" si="125">HEX2DEC("64")</f>
        <v>100</v>
      </c>
      <c r="E163" s="16">
        <f>HEX2DEC("14")</f>
        <v>20</v>
      </c>
      <c r="F163" s="16" t="s">
        <v>475</v>
      </c>
      <c r="G163" s="16" t="e">
        <f ca="1">GETEFFECT(HEX2DEC("1B"))</f>
        <v>#NAME?</v>
      </c>
      <c r="H163" s="100">
        <f t="shared" si="117"/>
        <v>1</v>
      </c>
      <c r="I163" s="20"/>
    </row>
    <row r="164" spans="1:9" ht="12.75" x14ac:dyDescent="0.2">
      <c r="A164" s="99" t="str">
        <f t="shared" si="0"/>
        <v>A2</v>
      </c>
      <c r="B164" s="20" t="s">
        <v>222</v>
      </c>
      <c r="C164" s="16">
        <f t="shared" si="123"/>
        <v>0</v>
      </c>
      <c r="D164" s="16">
        <f t="shared" si="125"/>
        <v>100</v>
      </c>
      <c r="E164" s="16">
        <f>HEX2DEC("28")</f>
        <v>40</v>
      </c>
      <c r="F164" s="16" t="s">
        <v>475</v>
      </c>
      <c r="G164" s="16" t="e">
        <f t="shared" ref="G164:G165" ca="1" si="126">GETEFFECT(HEX2DEC("0A"))</f>
        <v>#NAME?</v>
      </c>
      <c r="H164" s="100">
        <f t="shared" si="117"/>
        <v>1</v>
      </c>
      <c r="I164" s="20"/>
    </row>
    <row r="165" spans="1:9" ht="12.75" x14ac:dyDescent="0.2">
      <c r="A165" s="99" t="str">
        <f t="shared" si="0"/>
        <v>A3</v>
      </c>
      <c r="B165" s="20" t="s">
        <v>186</v>
      </c>
      <c r="C165" s="16">
        <f t="shared" si="123"/>
        <v>0</v>
      </c>
      <c r="D165" s="16">
        <f t="shared" si="125"/>
        <v>100</v>
      </c>
      <c r="E165" s="16">
        <f t="shared" ref="E165:E166" si="127">HEX2DEC("1E")</f>
        <v>30</v>
      </c>
      <c r="F165" s="16" t="s">
        <v>475</v>
      </c>
      <c r="G165" s="16" t="e">
        <f t="shared" ca="1" si="126"/>
        <v>#NAME?</v>
      </c>
      <c r="H165" s="100">
        <f t="shared" si="117"/>
        <v>1</v>
      </c>
      <c r="I165" s="20"/>
    </row>
    <row r="166" spans="1:9" ht="12.75" x14ac:dyDescent="0.2">
      <c r="A166" s="99" t="str">
        <f t="shared" si="0"/>
        <v>A4</v>
      </c>
      <c r="B166" s="20" t="s">
        <v>508</v>
      </c>
      <c r="C166" s="16">
        <f t="shared" si="123"/>
        <v>0</v>
      </c>
      <c r="D166" s="16">
        <f t="shared" si="125"/>
        <v>100</v>
      </c>
      <c r="E166" s="16">
        <f t="shared" si="127"/>
        <v>30</v>
      </c>
      <c r="F166" s="16" t="s">
        <v>475</v>
      </c>
      <c r="G166" s="16" t="e">
        <f ca="1">GETEFFECT(HEX2DEC("16"))</f>
        <v>#NAME?</v>
      </c>
      <c r="H166" s="100">
        <f t="shared" si="117"/>
        <v>1</v>
      </c>
      <c r="I166" s="20"/>
    </row>
    <row r="167" spans="1:9" ht="12.75" x14ac:dyDescent="0.2">
      <c r="A167" s="99" t="str">
        <f t="shared" si="0"/>
        <v>A5</v>
      </c>
      <c r="B167" s="20" t="s">
        <v>509</v>
      </c>
      <c r="C167" s="16">
        <f t="shared" si="123"/>
        <v>0</v>
      </c>
      <c r="D167" s="16">
        <f t="shared" si="125"/>
        <v>100</v>
      </c>
      <c r="E167" s="16">
        <f t="shared" ref="E167:E169" si="128">HEX2DEC("14")</f>
        <v>20</v>
      </c>
      <c r="F167" s="16" t="s">
        <v>475</v>
      </c>
      <c r="G167" s="16" t="s">
        <v>509</v>
      </c>
      <c r="H167" s="100">
        <f t="shared" si="117"/>
        <v>1</v>
      </c>
      <c r="I167" s="20"/>
    </row>
    <row r="168" spans="1:9" ht="12.75" x14ac:dyDescent="0.2">
      <c r="A168" s="99" t="str">
        <f t="shared" si="0"/>
        <v>A6</v>
      </c>
      <c r="B168" s="20" t="s">
        <v>228</v>
      </c>
      <c r="C168" s="16">
        <f t="shared" si="123"/>
        <v>0</v>
      </c>
      <c r="D168" s="16">
        <f t="shared" si="125"/>
        <v>100</v>
      </c>
      <c r="E168" s="16">
        <f t="shared" si="128"/>
        <v>20</v>
      </c>
      <c r="F168" s="16" t="s">
        <v>475</v>
      </c>
      <c r="G168" s="16" t="e">
        <f t="shared" ref="G168:G170" ca="1" si="129">GETEFFECT(HEX2DEC("1A"))</f>
        <v>#NAME?</v>
      </c>
      <c r="H168" s="100">
        <f t="shared" si="117"/>
        <v>1</v>
      </c>
      <c r="I168" s="20"/>
    </row>
    <row r="169" spans="1:9" ht="12.75" x14ac:dyDescent="0.2">
      <c r="A169" s="99" t="str">
        <f t="shared" si="0"/>
        <v>A7</v>
      </c>
      <c r="B169" s="20" t="s">
        <v>510</v>
      </c>
      <c r="C169" s="16">
        <f t="shared" si="123"/>
        <v>0</v>
      </c>
      <c r="D169" s="16">
        <f>HEX2DEC("46")</f>
        <v>70</v>
      </c>
      <c r="E169" s="16">
        <f t="shared" si="128"/>
        <v>20</v>
      </c>
      <c r="F169" s="16" t="s">
        <v>475</v>
      </c>
      <c r="G169" s="16" t="e">
        <f t="shared" ca="1" si="129"/>
        <v>#NAME?</v>
      </c>
      <c r="H169" s="100">
        <f t="shared" si="117"/>
        <v>1</v>
      </c>
      <c r="I169" s="20"/>
    </row>
    <row r="170" spans="1:9" ht="12.75" x14ac:dyDescent="0.2">
      <c r="A170" s="99" t="str">
        <f t="shared" si="0"/>
        <v>A8</v>
      </c>
      <c r="B170" s="20" t="s">
        <v>511</v>
      </c>
      <c r="C170" s="16">
        <f t="shared" si="123"/>
        <v>0</v>
      </c>
      <c r="D170" s="16">
        <f t="shared" ref="D170:D177" si="130">HEX2DEC("64")</f>
        <v>100</v>
      </c>
      <c r="E170" s="16">
        <f>HEX2DEC("0F")</f>
        <v>15</v>
      </c>
      <c r="F170" s="16" t="s">
        <v>475</v>
      </c>
      <c r="G170" s="16" t="e">
        <f t="shared" ca="1" si="129"/>
        <v>#NAME?</v>
      </c>
      <c r="H170" s="100">
        <f t="shared" si="117"/>
        <v>1</v>
      </c>
      <c r="I170" s="20" t="s">
        <v>512</v>
      </c>
    </row>
    <row r="171" spans="1:9" ht="12.75" x14ac:dyDescent="0.2">
      <c r="A171" s="99" t="str">
        <f t="shared" si="0"/>
        <v>A9</v>
      </c>
      <c r="B171" s="20" t="s">
        <v>513</v>
      </c>
      <c r="C171" s="16">
        <f t="shared" si="123"/>
        <v>0</v>
      </c>
      <c r="D171" s="16">
        <f t="shared" si="130"/>
        <v>100</v>
      </c>
      <c r="E171" s="16">
        <f>HEX2DEC("14")</f>
        <v>20</v>
      </c>
      <c r="F171" s="16" t="s">
        <v>475</v>
      </c>
      <c r="G171" s="16" t="s">
        <v>513</v>
      </c>
      <c r="H171" s="100">
        <f t="shared" si="117"/>
        <v>1</v>
      </c>
      <c r="I171" s="20" t="s">
        <v>514</v>
      </c>
    </row>
    <row r="172" spans="1:9" ht="12.75" x14ac:dyDescent="0.2">
      <c r="A172" s="99" t="str">
        <f t="shared" si="0"/>
        <v>AA</v>
      </c>
      <c r="B172" s="20" t="s">
        <v>239</v>
      </c>
      <c r="C172" s="16">
        <f t="shared" si="123"/>
        <v>0</v>
      </c>
      <c r="D172" s="16">
        <f t="shared" si="130"/>
        <v>100</v>
      </c>
      <c r="E172" s="16">
        <f>HEX2DEC("05")</f>
        <v>5</v>
      </c>
      <c r="F172" s="16" t="s">
        <v>475</v>
      </c>
      <c r="G172" s="16" t="s">
        <v>239</v>
      </c>
      <c r="H172" s="100">
        <f t="shared" si="117"/>
        <v>1</v>
      </c>
      <c r="I172" s="20" t="s">
        <v>515</v>
      </c>
    </row>
    <row r="173" spans="1:9" ht="12.75" x14ac:dyDescent="0.2">
      <c r="A173" s="99" t="str">
        <f t="shared" si="0"/>
        <v>AB</v>
      </c>
      <c r="B173" s="20" t="s">
        <v>516</v>
      </c>
      <c r="C173" s="16">
        <f t="shared" si="123"/>
        <v>0</v>
      </c>
      <c r="D173" s="16">
        <f t="shared" si="130"/>
        <v>100</v>
      </c>
      <c r="E173" s="16">
        <f t="shared" ref="E173:E174" si="131">HEX2DEC("14")</f>
        <v>20</v>
      </c>
      <c r="F173" s="16" t="s">
        <v>475</v>
      </c>
      <c r="G173" s="16" t="e">
        <f t="shared" ref="G173:G174" ca="1" si="132">GETEFFECT(HEX2DEC("25"))</f>
        <v>#NAME?</v>
      </c>
      <c r="H173" s="100">
        <f t="shared" si="117"/>
        <v>1</v>
      </c>
      <c r="I173" s="20" t="s">
        <v>517</v>
      </c>
    </row>
    <row r="174" spans="1:9" ht="12.75" x14ac:dyDescent="0.2">
      <c r="A174" s="99" t="str">
        <f t="shared" si="0"/>
        <v>AC</v>
      </c>
      <c r="B174" s="20" t="s">
        <v>518</v>
      </c>
      <c r="C174" s="16">
        <f t="shared" si="123"/>
        <v>0</v>
      </c>
      <c r="D174" s="16">
        <f t="shared" si="130"/>
        <v>100</v>
      </c>
      <c r="E174" s="16">
        <f t="shared" si="131"/>
        <v>20</v>
      </c>
      <c r="F174" s="16" t="s">
        <v>475</v>
      </c>
      <c r="G174" s="16" t="e">
        <f t="shared" ca="1" si="132"/>
        <v>#NAME?</v>
      </c>
      <c r="H174" s="100">
        <f t="shared" si="117"/>
        <v>1</v>
      </c>
      <c r="I174" s="20" t="s">
        <v>517</v>
      </c>
    </row>
    <row r="175" spans="1:9" ht="12.75" x14ac:dyDescent="0.2">
      <c r="A175" s="99" t="str">
        <f t="shared" si="0"/>
        <v>AD</v>
      </c>
      <c r="B175" s="20" t="s">
        <v>519</v>
      </c>
      <c r="C175" s="16">
        <f t="shared" si="123"/>
        <v>0</v>
      </c>
      <c r="D175" s="16">
        <f t="shared" si="130"/>
        <v>100</v>
      </c>
      <c r="E175" s="16">
        <f t="shared" ref="E175:E176" si="133">HEX2DEC("0A")</f>
        <v>10</v>
      </c>
      <c r="F175" s="16" t="s">
        <v>475</v>
      </c>
      <c r="G175" s="16" t="s">
        <v>519</v>
      </c>
      <c r="H175" s="100">
        <f t="shared" si="117"/>
        <v>1</v>
      </c>
      <c r="I175" s="20" t="s">
        <v>520</v>
      </c>
    </row>
    <row r="176" spans="1:9" ht="12.75" x14ac:dyDescent="0.2">
      <c r="A176" s="99" t="str">
        <f t="shared" si="0"/>
        <v>AE</v>
      </c>
      <c r="B176" s="20" t="s">
        <v>158</v>
      </c>
      <c r="C176" s="16">
        <f t="shared" si="123"/>
        <v>0</v>
      </c>
      <c r="D176" s="16">
        <f t="shared" si="130"/>
        <v>100</v>
      </c>
      <c r="E176" s="16">
        <f t="shared" si="133"/>
        <v>10</v>
      </c>
      <c r="F176" s="16" t="s">
        <v>475</v>
      </c>
      <c r="G176" s="16" t="s">
        <v>158</v>
      </c>
      <c r="H176" s="100">
        <f t="shared" si="117"/>
        <v>1</v>
      </c>
      <c r="I176" s="20" t="s">
        <v>521</v>
      </c>
    </row>
    <row r="177" spans="1:9" ht="12.75" x14ac:dyDescent="0.2">
      <c r="A177" s="99" t="str">
        <f t="shared" si="0"/>
        <v>AF</v>
      </c>
      <c r="B177" s="20" t="s">
        <v>117</v>
      </c>
      <c r="C177" s="16">
        <f>HEX2DEC("50")</f>
        <v>80</v>
      </c>
      <c r="D177" s="16">
        <f t="shared" si="130"/>
        <v>100</v>
      </c>
      <c r="E177" s="16">
        <f>HEX2DEC("0F")</f>
        <v>15</v>
      </c>
      <c r="F177" s="16" t="s">
        <v>475</v>
      </c>
      <c r="G177" s="16" t="e">
        <f ca="1">GETEFFECT(HEX2DEC("00"))</f>
        <v>#NAME?</v>
      </c>
      <c r="H177" s="100">
        <f>PRODUCT((HEX2DEC("0")),0.01)</f>
        <v>0</v>
      </c>
      <c r="I177" s="20"/>
    </row>
    <row r="178" spans="1:9" ht="184.5" customHeight="1" x14ac:dyDescent="0.2">
      <c r="A178" s="102" t="s">
        <v>522</v>
      </c>
      <c r="B178" s="103"/>
      <c r="C178" s="103"/>
      <c r="D178" s="104"/>
      <c r="E178" s="104"/>
      <c r="F178" s="104"/>
      <c r="G178" s="104"/>
      <c r="H178" s="105"/>
      <c r="I178" s="10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50"/>
  <sheetViews>
    <sheetView workbookViewId="0">
      <selection sqref="A1:C1"/>
    </sheetView>
  </sheetViews>
  <sheetFormatPr defaultColWidth="12.5703125" defaultRowHeight="15.75" customHeight="1" x14ac:dyDescent="0.2"/>
  <sheetData>
    <row r="1" spans="1:26" x14ac:dyDescent="0.2">
      <c r="A1" s="119" t="s">
        <v>523</v>
      </c>
      <c r="B1" s="113"/>
      <c r="C1" s="113"/>
    </row>
    <row r="2" spans="1:26" x14ac:dyDescent="0.2">
      <c r="A2" s="1" t="s">
        <v>524</v>
      </c>
      <c r="B2" s="1" t="s">
        <v>8</v>
      </c>
      <c r="C2" s="1" t="s">
        <v>7</v>
      </c>
      <c r="D2" s="106"/>
      <c r="E2" s="106"/>
      <c r="F2" s="106"/>
      <c r="G2" s="106"/>
      <c r="H2" s="106"/>
      <c r="I2" s="106"/>
      <c r="J2" s="106"/>
      <c r="K2" s="106"/>
      <c r="L2" s="106"/>
      <c r="M2" s="106"/>
      <c r="N2" s="106"/>
      <c r="O2" s="106"/>
      <c r="P2" s="106"/>
      <c r="Q2" s="106"/>
      <c r="R2" s="106"/>
      <c r="S2" s="106"/>
      <c r="T2" s="106"/>
      <c r="U2" s="106"/>
      <c r="V2" s="106"/>
      <c r="W2" s="106"/>
      <c r="X2" s="106"/>
      <c r="Y2" s="106"/>
      <c r="Z2" s="106"/>
    </row>
    <row r="3" spans="1:26" x14ac:dyDescent="0.2">
      <c r="A3" s="107" t="str">
        <f t="shared" ref="A3:A7" si="0">DEC2HEX(ROW()-3,2)</f>
        <v>00</v>
      </c>
      <c r="B3" s="21">
        <v>1</v>
      </c>
      <c r="C3" s="20" t="str">
        <f t="array" ref="C3">INDEX(Moves!$B$2:'Moves'!$B$177, SUM(HEX2DEC("8F"),1), 1)</f>
        <v>Cut</v>
      </c>
    </row>
    <row r="4" spans="1:26" x14ac:dyDescent="0.2">
      <c r="A4" s="107" t="str">
        <f t="shared" si="0"/>
        <v>01</v>
      </c>
      <c r="B4" s="21">
        <v>2</v>
      </c>
      <c r="C4" s="20" t="str">
        <f t="array" ref="C4">INDEX(Moves!$B$2:'Moves'!$B$177, SUM(HEX2DEC("60"),1), 1)</f>
        <v>Fly</v>
      </c>
    </row>
    <row r="5" spans="1:26" x14ac:dyDescent="0.2">
      <c r="A5" s="107" t="str">
        <f t="shared" si="0"/>
        <v>02</v>
      </c>
      <c r="B5" s="21">
        <v>3</v>
      </c>
      <c r="C5" s="20" t="str">
        <f t="array" ref="C5">INDEX(Moves!$B$2:'Moves'!$B$177, SUM(HEX2DEC("0E"),1), 1)</f>
        <v>Surf</v>
      </c>
    </row>
    <row r="6" spans="1:26" x14ac:dyDescent="0.2">
      <c r="A6" s="107" t="str">
        <f t="shared" si="0"/>
        <v>03</v>
      </c>
      <c r="B6" s="21">
        <v>4</v>
      </c>
      <c r="C6" s="20" t="str">
        <f t="array" ref="C6">INDEX(Moves!$B$2:'Moves'!$B$177, SUM(HEX2DEC("AF"),1), 1)</f>
        <v>Strength</v>
      </c>
    </row>
    <row r="7" spans="1:26" x14ac:dyDescent="0.2">
      <c r="A7" s="107" t="str">
        <f t="shared" si="0"/>
        <v>04</v>
      </c>
      <c r="B7" s="21">
        <v>5</v>
      </c>
      <c r="C7" s="20" t="str">
        <f t="array" ref="C7">INDEX(Moves!$B$2:'Moves'!$B$177, SUM(HEX2DEC("A7"),1), 1)</f>
        <v>Flash</v>
      </c>
    </row>
    <row r="8" spans="1:26" x14ac:dyDescent="0.2">
      <c r="A8" s="119" t="s">
        <v>525</v>
      </c>
      <c r="B8" s="113"/>
      <c r="C8" s="113"/>
    </row>
    <row r="9" spans="1:26" x14ac:dyDescent="0.2">
      <c r="A9" s="1" t="s">
        <v>524</v>
      </c>
      <c r="B9" s="1" t="s">
        <v>8</v>
      </c>
      <c r="C9" s="1" t="s">
        <v>7</v>
      </c>
    </row>
    <row r="10" spans="1:26" x14ac:dyDescent="0.2">
      <c r="A10" s="107" t="str">
        <f t="shared" ref="A10:A49" si="1">DEC2HEX(ROW()-5,2)</f>
        <v>05</v>
      </c>
      <c r="B10" s="21">
        <v>1</v>
      </c>
      <c r="C10" s="20" t="str">
        <f t="array" ref="C10">INDEX(Moves!$B$2:'Moves'!$B$177, SUM(HEX2DEC("5A"),1), 1)</f>
        <v>Focus Punch</v>
      </c>
    </row>
    <row r="11" spans="1:26" x14ac:dyDescent="0.2">
      <c r="A11" s="107" t="str">
        <f t="shared" si="1"/>
        <v>06</v>
      </c>
      <c r="B11" s="21">
        <v>2</v>
      </c>
      <c r="C11" s="20" t="str">
        <f t="array" ref="C11">INDEX(Moves!$B$2:'Moves'!$B$177, SUM(HEX2DEC("7B"),1), 1)</f>
        <v>Dragon Claw</v>
      </c>
    </row>
    <row r="12" spans="1:26" x14ac:dyDescent="0.2">
      <c r="A12" s="107" t="str">
        <f t="shared" si="1"/>
        <v>07</v>
      </c>
      <c r="B12" s="21">
        <v>3</v>
      </c>
      <c r="C12" s="20" t="str">
        <f t="array" ref="C12">INDEX(Moves!$B$2:'Moves'!$B$177, SUM(HEX2DEC("0A"),1), 1)</f>
        <v>Water Pulse</v>
      </c>
    </row>
    <row r="13" spans="1:26" x14ac:dyDescent="0.2">
      <c r="A13" s="107" t="str">
        <f t="shared" si="1"/>
        <v>08</v>
      </c>
      <c r="B13" s="21">
        <v>4</v>
      </c>
      <c r="C13" s="20" t="str">
        <f t="array" ref="C13">INDEX(Moves!$B$2:'Moves'!$B$177, SUM(HEX2DEC("70"),1), 1)</f>
        <v>Calm Mind</v>
      </c>
    </row>
    <row r="14" spans="1:26" x14ac:dyDescent="0.2">
      <c r="A14" s="107" t="str">
        <f t="shared" si="1"/>
        <v>09</v>
      </c>
      <c r="B14" s="21">
        <v>5</v>
      </c>
      <c r="C14" s="20" t="str">
        <f t="array" ref="C14">INDEX(Moves!$B$2:'Moves'!$B$177, SUM(HEX2DEC("AB"),1), 1)</f>
        <v>Roar</v>
      </c>
    </row>
    <row r="15" spans="1:26" x14ac:dyDescent="0.2">
      <c r="A15" s="107" t="str">
        <f t="shared" si="1"/>
        <v>0A</v>
      </c>
      <c r="B15" s="21">
        <v>6</v>
      </c>
      <c r="C15" s="20" t="str">
        <f t="array" ref="C15">INDEX(Moves!$B$2:'Moves'!$B$177, SUM(HEX2DEC("4C"),1), 1)</f>
        <v>Toxic</v>
      </c>
    </row>
    <row r="16" spans="1:26" x14ac:dyDescent="0.2">
      <c r="A16" s="107" t="str">
        <f t="shared" si="1"/>
        <v>0B</v>
      </c>
      <c r="B16" s="21">
        <v>7</v>
      </c>
      <c r="C16" s="20" t="str">
        <f t="array" ref="C16">INDEX(Moves!$B$2:'Moves'!$B$177, SUM(HEX2DEC("93"),1), 1)</f>
        <v>Secret Power</v>
      </c>
    </row>
    <row r="17" spans="1:3" x14ac:dyDescent="0.2">
      <c r="A17" s="107" t="str">
        <f t="shared" si="1"/>
        <v>0C</v>
      </c>
      <c r="B17" s="21">
        <v>8</v>
      </c>
      <c r="C17" s="20" t="str">
        <f t="array" ref="C17">INDEX(Moves!$B$2:'Moves'!$B$177, SUM(HEX2DEC("A1"),1), 1)</f>
        <v>Charm</v>
      </c>
    </row>
    <row r="18" spans="1:3" x14ac:dyDescent="0.2">
      <c r="A18" s="107" t="str">
        <f t="shared" si="1"/>
        <v>0D</v>
      </c>
      <c r="B18" s="21">
        <v>9</v>
      </c>
      <c r="C18" s="20" t="str">
        <f t="array" ref="C18">INDEX(Moves!$B$2:'Moves'!$B$177, SUM(HEX2DEC("8E"),1), 1)</f>
        <v>Snore</v>
      </c>
    </row>
    <row r="19" spans="1:3" x14ac:dyDescent="0.2">
      <c r="A19" s="107" t="str">
        <f t="shared" si="1"/>
        <v>0E</v>
      </c>
      <c r="B19" s="21">
        <v>10</v>
      </c>
      <c r="C19" s="20" t="str">
        <f t="array" ref="C19">INDEX(Moves!$B$2:'Moves'!$B$177, SUM(HEX2DEC("80"),1), 1)</f>
        <v>Bite</v>
      </c>
    </row>
    <row r="20" spans="1:3" x14ac:dyDescent="0.2">
      <c r="A20" s="107" t="str">
        <f t="shared" si="1"/>
        <v>0F</v>
      </c>
      <c r="B20" s="21">
        <v>11</v>
      </c>
      <c r="C20" s="20" t="str">
        <f t="array" ref="C20">INDEX(Moves!$B$2:'Moves'!$B$177, SUM(HEX2DEC("0B"),1), 1)</f>
        <v>Bubblebeam</v>
      </c>
    </row>
    <row r="21" spans="1:3" x14ac:dyDescent="0.2">
      <c r="A21" s="107" t="str">
        <f t="shared" si="1"/>
        <v>10</v>
      </c>
      <c r="B21" s="21">
        <v>12</v>
      </c>
      <c r="C21" s="20" t="str">
        <f t="array" ref="C21">INDEX(Moves!$B$2:'Moves'!$B$177, SUM(HEX2DEC("83"),1), 1)</f>
        <v>Steel Wing</v>
      </c>
    </row>
    <row r="22" spans="1:3" x14ac:dyDescent="0.2">
      <c r="A22" s="107" t="str">
        <f t="shared" si="1"/>
        <v>11</v>
      </c>
      <c r="B22" s="21">
        <v>13</v>
      </c>
      <c r="C22" s="20" t="str">
        <f t="array" ref="C22">INDEX(Moves!$B$2:'Moves'!$B$177, SUM(HEX2DEC("2D"),1), 1)</f>
        <v>Ice Beam</v>
      </c>
    </row>
    <row r="23" spans="1:3" x14ac:dyDescent="0.2">
      <c r="A23" s="107" t="str">
        <f t="shared" si="1"/>
        <v>12</v>
      </c>
      <c r="B23" s="21">
        <v>14</v>
      </c>
      <c r="C23" s="20" t="str">
        <f t="array" ref="C23">INDEX(Moves!$B$2:'Moves'!$B$177, SUM(HEX2DEC("2E"),1), 1)</f>
        <v>Blizzard</v>
      </c>
    </row>
    <row r="24" spans="1:3" x14ac:dyDescent="0.2">
      <c r="A24" s="107" t="str">
        <f t="shared" si="1"/>
        <v>13</v>
      </c>
      <c r="B24" s="21">
        <v>15</v>
      </c>
      <c r="C24" s="20" t="str">
        <f t="array" ref="C24">INDEX(Moves!$B$2:'Moves'!$B$177, SUM(HEX2DEC("97"),1), 1)</f>
        <v>Hyper Beam</v>
      </c>
    </row>
    <row r="25" spans="1:3" x14ac:dyDescent="0.2">
      <c r="A25" s="107" t="str">
        <f t="shared" si="1"/>
        <v>14</v>
      </c>
      <c r="B25" s="21">
        <v>16</v>
      </c>
      <c r="C25" s="20" t="str">
        <f t="array" ref="C25">INDEX(Moves!$B$2:'Moves'!$B$177, SUM(HEX2DEC("6E"),1), 1)</f>
        <v>Rest</v>
      </c>
    </row>
    <row r="26" spans="1:3" x14ac:dyDescent="0.2">
      <c r="A26" s="107" t="str">
        <f t="shared" si="1"/>
        <v>15</v>
      </c>
      <c r="B26" s="21">
        <v>17</v>
      </c>
      <c r="C26" s="20" t="str">
        <f t="array" ref="C26">INDEX(Moves!$B$2:'Moves'!$B$177, SUM(HEX2DEC("A6"),1), 1)</f>
        <v>SmokeScreen</v>
      </c>
    </row>
    <row r="27" spans="1:3" x14ac:dyDescent="0.2">
      <c r="A27" s="107" t="str">
        <f t="shared" si="1"/>
        <v>16</v>
      </c>
      <c r="B27" s="21">
        <v>18</v>
      </c>
      <c r="C27" s="20" t="str">
        <f t="array" ref="C27">INDEX(Moves!$B$2:'Moves'!$B$177, SUM(HEX2DEC("3A"),1), 1)</f>
        <v>AncientPower</v>
      </c>
    </row>
    <row r="28" spans="1:3" x14ac:dyDescent="0.2">
      <c r="A28" s="107" t="str">
        <f t="shared" si="1"/>
        <v>17</v>
      </c>
      <c r="B28" s="21">
        <v>19</v>
      </c>
      <c r="C28" s="20" t="str">
        <f t="array" ref="C28">INDEX(Moves!$B$2:'Moves'!$B$177, SUM(HEX2DEC("1E"),1), 1)</f>
        <v>Giga Drain</v>
      </c>
    </row>
    <row r="29" spans="1:3" x14ac:dyDescent="0.2">
      <c r="A29" s="107" t="str">
        <f t="shared" si="1"/>
        <v>18</v>
      </c>
      <c r="B29" s="21">
        <v>20</v>
      </c>
      <c r="C29" s="20" t="str">
        <f t="array" ref="C29">INDEX(Moves!$B$2:'Moves'!$B$177, SUM(HEX2DEC("86"),1), 1)</f>
        <v>Iron Defense</v>
      </c>
    </row>
    <row r="30" spans="1:3" x14ac:dyDescent="0.2">
      <c r="A30" s="107" t="str">
        <f t="shared" si="1"/>
        <v>19</v>
      </c>
      <c r="B30" s="21">
        <v>21</v>
      </c>
      <c r="C30" s="20" t="str">
        <f t="array" ref="C30">INDEX(Moves!$B$2:'Moves'!$B$177, SUM(HEX2DEC("A9"),1), 1)</f>
        <v>Recover</v>
      </c>
    </row>
    <row r="31" spans="1:3" x14ac:dyDescent="0.2">
      <c r="A31" s="107" t="str">
        <f t="shared" si="1"/>
        <v>1A</v>
      </c>
      <c r="B31" s="21">
        <v>22</v>
      </c>
      <c r="C31" s="20" t="str">
        <f t="array" ref="C31">INDEX(Moves!$B$2:'Moves'!$B$177, SUM(HEX2DEC("23"),1), 1)</f>
        <v>SolarBeam</v>
      </c>
    </row>
    <row r="32" spans="1:3" x14ac:dyDescent="0.2">
      <c r="A32" s="107" t="str">
        <f t="shared" si="1"/>
        <v>1B</v>
      </c>
      <c r="B32" s="21">
        <v>23</v>
      </c>
      <c r="C32" s="20" t="str">
        <f t="array" ref="C32">INDEX(Moves!$B$2:'Moves'!$B$177, SUM(HEX2DEC("84"),1), 1)</f>
        <v>Iron Tail</v>
      </c>
    </row>
    <row r="33" spans="1:3" x14ac:dyDescent="0.2">
      <c r="A33" s="107" t="str">
        <f t="shared" si="1"/>
        <v>1C</v>
      </c>
      <c r="B33" s="21">
        <v>24</v>
      </c>
      <c r="C33" s="20" t="str">
        <f t="array" ref="C33">INDEX(Moves!$B$2:'Moves'!$B$177, SUM(HEX2DEC("17"),1), 1)</f>
        <v>Thunderbolt</v>
      </c>
    </row>
    <row r="34" spans="1:3" x14ac:dyDescent="0.2">
      <c r="A34" s="107" t="str">
        <f t="shared" si="1"/>
        <v>1D</v>
      </c>
      <c r="B34" s="21">
        <v>25</v>
      </c>
      <c r="C34" s="20" t="str">
        <f t="array" ref="C34">INDEX(Moves!$B$2:'Moves'!$B$177, SUM(HEX2DEC("1A"),1), 1)</f>
        <v>Thunder</v>
      </c>
    </row>
    <row r="35" spans="1:3" x14ac:dyDescent="0.2">
      <c r="A35" s="107" t="str">
        <f t="shared" si="1"/>
        <v>1E</v>
      </c>
      <c r="B35" s="21">
        <v>26</v>
      </c>
      <c r="C35" s="20" t="str">
        <f t="array" ref="C35">INDEX(Moves!$B$2:'Moves'!$B$177, SUM(HEX2DEC("34"),1), 1)</f>
        <v>Earthquake</v>
      </c>
    </row>
    <row r="36" spans="1:3" x14ac:dyDescent="0.2">
      <c r="A36" s="107" t="str">
        <f t="shared" si="1"/>
        <v>1F</v>
      </c>
      <c r="B36" s="21">
        <v>27</v>
      </c>
      <c r="C36" s="20" t="str">
        <f t="array" ref="C36">INDEX(Moves!$B$2:'Moves'!$B$177, SUM(HEX2DEC("02"),1), 1)</f>
        <v>Fire Punch</v>
      </c>
    </row>
    <row r="37" spans="1:3" x14ac:dyDescent="0.2">
      <c r="A37" s="107" t="str">
        <f t="shared" si="1"/>
        <v>20</v>
      </c>
      <c r="B37" s="21">
        <v>28</v>
      </c>
      <c r="C37" s="20" t="str">
        <f t="array" ref="C37">INDEX(Moves!$B$2:'Moves'!$B$177, SUM(HEX2DEC("32"),1), 1)</f>
        <v>Dig</v>
      </c>
    </row>
    <row r="38" spans="1:3" x14ac:dyDescent="0.2">
      <c r="A38" s="107" t="str">
        <f t="shared" si="1"/>
        <v>21</v>
      </c>
      <c r="B38" s="21">
        <v>29</v>
      </c>
      <c r="C38" s="20" t="str">
        <f t="array" ref="C38">INDEX(Moves!$B$2:'Moves'!$B$177, SUM(HEX2DEC("6A"),1), 1)</f>
        <v>Psychic</v>
      </c>
    </row>
    <row r="39" spans="1:3" x14ac:dyDescent="0.2">
      <c r="A39" s="107" t="str">
        <f t="shared" si="1"/>
        <v>22</v>
      </c>
      <c r="B39" s="21">
        <v>30</v>
      </c>
      <c r="C39" s="20" t="str">
        <f t="array" ref="C39">INDEX(Moves!$B$2:'Moves'!$B$177, SUM(HEX2DEC("75"),1), 1)</f>
        <v>Shadow Ball</v>
      </c>
    </row>
    <row r="40" spans="1:3" x14ac:dyDescent="0.2">
      <c r="A40" s="107" t="str">
        <f t="shared" si="1"/>
        <v>23</v>
      </c>
      <c r="B40" s="21">
        <v>31</v>
      </c>
      <c r="C40" s="20" t="str">
        <f t="array" ref="C40">INDEX(Moves!$B$2:'Moves'!$B$177, SUM(HEX2DEC("55"),1), 1)</f>
        <v>Brick Break</v>
      </c>
    </row>
    <row r="41" spans="1:3" x14ac:dyDescent="0.2">
      <c r="A41" s="107" t="str">
        <f t="shared" si="1"/>
        <v>24</v>
      </c>
      <c r="B41" s="21">
        <v>32</v>
      </c>
      <c r="C41" s="20" t="str">
        <f t="array" ref="C41">INDEX(Moves!$B$2:'Moves'!$B$177, SUM(HEX2DEC("A8"),1), 1)</f>
        <v>Double Team</v>
      </c>
    </row>
    <row r="42" spans="1:3" x14ac:dyDescent="0.2">
      <c r="A42" s="107" t="str">
        <f t="shared" si="1"/>
        <v>25</v>
      </c>
      <c r="B42" s="21">
        <v>33</v>
      </c>
      <c r="C42" s="20" t="str">
        <f t="array" ref="C42">INDEX(Moves!$B$2:'Moves'!$B$177, SUM(HEX2DEC("20"),1), 1)</f>
        <v>Razor Leaf</v>
      </c>
    </row>
    <row r="43" spans="1:3" x14ac:dyDescent="0.2">
      <c r="A43" s="107" t="str">
        <f t="shared" si="1"/>
        <v>26</v>
      </c>
      <c r="B43" s="21">
        <v>34</v>
      </c>
      <c r="C43" s="20" t="str">
        <f t="array" ref="C43">INDEX(Moves!$B$2:'Moves'!$B$177, SUM(HEX2DEC("14"),1), 1)</f>
        <v>Shock Wave</v>
      </c>
    </row>
    <row r="44" spans="1:3" x14ac:dyDescent="0.2">
      <c r="A44" s="107" t="str">
        <f t="shared" si="1"/>
        <v>27</v>
      </c>
      <c r="B44" s="21">
        <v>35</v>
      </c>
      <c r="C44" s="20" t="str">
        <f t="array" ref="C44">INDEX(Moves!$B$2:'Moves'!$B$177, SUM(HEX2DEC("A3"),1), 1)</f>
        <v>Harden</v>
      </c>
    </row>
    <row r="45" spans="1:3" x14ac:dyDescent="0.2">
      <c r="A45" s="107" t="str">
        <f t="shared" si="1"/>
        <v>28</v>
      </c>
      <c r="B45" s="21">
        <v>36</v>
      </c>
      <c r="C45" s="20" t="str">
        <f t="array" ref="C45">INDEX(Moves!$B$2:'Moves'!$B$177, SUM(HEX2DEC("49"),1), 1)</f>
        <v>Sludge Bomb</v>
      </c>
    </row>
    <row r="46" spans="1:3" x14ac:dyDescent="0.2">
      <c r="A46" s="107" t="str">
        <f t="shared" si="1"/>
        <v>29</v>
      </c>
      <c r="B46" s="21">
        <v>37</v>
      </c>
      <c r="C46" s="20" t="str">
        <f t="array" ref="C46">INDEX(Moves!$B$2:'Moves'!$B$177, SUM(HEX2DEC("5F"),1), 1)</f>
        <v>Aerial Ace</v>
      </c>
    </row>
    <row r="47" spans="1:3" x14ac:dyDescent="0.2">
      <c r="A47" s="107" t="str">
        <f t="shared" si="1"/>
        <v>2A</v>
      </c>
      <c r="B47" s="21">
        <v>38</v>
      </c>
      <c r="C47" s="20" t="str">
        <f t="array" ref="C47">INDEX(Moves!$B$2:'Moves'!$B$177, SUM(HEX2DEC("05"),1), 1)</f>
        <v>Fire Blast</v>
      </c>
    </row>
    <row r="48" spans="1:3" x14ac:dyDescent="0.2">
      <c r="A48" s="107" t="str">
        <f t="shared" si="1"/>
        <v>2B</v>
      </c>
      <c r="B48" s="21">
        <v>39</v>
      </c>
      <c r="C48" s="20" t="str">
        <f t="array" ref="C48">INDEX(Moves!$B$2:'Moves'!$B$177, SUM(HEX2DEC("39"),1), 1)</f>
        <v>Rock Tomb</v>
      </c>
    </row>
    <row r="49" spans="1:3" x14ac:dyDescent="0.2">
      <c r="A49" s="107" t="str">
        <f t="shared" si="1"/>
        <v>2C</v>
      </c>
      <c r="B49" s="21">
        <v>40</v>
      </c>
      <c r="C49" s="20" t="str">
        <f t="array" ref="C49">INDEX(Moves!$B$2:'Moves'!$B$177, SUM(HEX2DEC("6A"),1), 1)</f>
        <v>Psychic</v>
      </c>
    </row>
    <row r="50" spans="1:3" x14ac:dyDescent="0.2">
      <c r="A50" s="107"/>
      <c r="B50" s="21"/>
    </row>
  </sheetData>
  <mergeCells count="2">
    <mergeCell ref="A1:C1"/>
    <mergeCell ref="A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9"/>
  <sheetViews>
    <sheetView workbookViewId="0"/>
  </sheetViews>
  <sheetFormatPr defaultColWidth="12.5703125" defaultRowHeight="15.75" customHeight="1" x14ac:dyDescent="0.2"/>
  <cols>
    <col min="2" max="3" width="6.140625" customWidth="1"/>
    <col min="4" max="4" width="7.140625" customWidth="1"/>
    <col min="5" max="5" width="12.140625" customWidth="1"/>
    <col min="6" max="6" width="13.140625" customWidth="1"/>
    <col min="7" max="7" width="8.140625" customWidth="1"/>
    <col min="8" max="11" width="9.140625" customWidth="1"/>
  </cols>
  <sheetData>
    <row r="1" spans="1:26" x14ac:dyDescent="0.2">
      <c r="A1" s="108" t="s">
        <v>526</v>
      </c>
      <c r="B1" s="1" t="s">
        <v>527</v>
      </c>
      <c r="C1" s="1" t="s">
        <v>528</v>
      </c>
      <c r="D1" s="1" t="s">
        <v>529</v>
      </c>
      <c r="E1" s="1" t="s">
        <v>530</v>
      </c>
      <c r="F1" s="1" t="s">
        <v>531</v>
      </c>
      <c r="G1" s="1" t="s">
        <v>532</v>
      </c>
      <c r="H1" s="1" t="s">
        <v>533</v>
      </c>
      <c r="I1" s="1" t="s">
        <v>534</v>
      </c>
      <c r="J1" s="1" t="s">
        <v>535</v>
      </c>
      <c r="K1" s="1" t="s">
        <v>536</v>
      </c>
      <c r="L1" s="106"/>
      <c r="M1" s="106"/>
      <c r="N1" s="106"/>
      <c r="O1" s="106"/>
      <c r="P1" s="106"/>
      <c r="Q1" s="106"/>
      <c r="R1" s="106"/>
      <c r="S1" s="106"/>
      <c r="T1" s="106"/>
      <c r="U1" s="106"/>
      <c r="V1" s="106"/>
      <c r="W1" s="106"/>
      <c r="X1" s="106"/>
      <c r="Y1" s="106"/>
      <c r="Z1" s="106"/>
    </row>
    <row r="2" spans="1:26" x14ac:dyDescent="0.2">
      <c r="A2" s="20" t="s">
        <v>9</v>
      </c>
      <c r="B2" s="16">
        <f>HEX2DEC("2D")</f>
        <v>45</v>
      </c>
      <c r="C2" s="16">
        <f t="shared" ref="C2:D2" si="0">HEX2DEC("31")</f>
        <v>49</v>
      </c>
      <c r="D2" s="16">
        <f t="shared" si="0"/>
        <v>49</v>
      </c>
      <c r="E2" s="16">
        <f t="shared" ref="E2:F2" si="1">HEX2DEC("41")</f>
        <v>65</v>
      </c>
      <c r="F2" s="16">
        <f t="shared" si="1"/>
        <v>65</v>
      </c>
      <c r="G2" s="16">
        <f>HEX2DEC("2D")</f>
        <v>45</v>
      </c>
      <c r="H2" s="16" t="str">
        <f t="array" ref="H2">INDEX(Types!$B$2:'Types'!$B$19, HEX2DEC("04"), 1)</f>
        <v>Grass</v>
      </c>
      <c r="I2" s="16" t="str">
        <f t="array" ref="I2">INDEX(Types!$B$2:'Types'!$B$19, HEX2DEC("0D"), 1)</f>
        <v>Poison</v>
      </c>
      <c r="J2" s="16">
        <f>HEX2DEC("36")</f>
        <v>54</v>
      </c>
      <c r="K2" s="21">
        <f t="shared" ref="K2:K4" si="2">HEX2DEC("01")</f>
        <v>1</v>
      </c>
    </row>
    <row r="3" spans="1:26" x14ac:dyDescent="0.2">
      <c r="A3" s="20" t="s">
        <v>21</v>
      </c>
      <c r="B3" s="16">
        <f>HEX2DEC("3C")</f>
        <v>60</v>
      </c>
      <c r="C3" s="16">
        <f>HEX2DEC("31")</f>
        <v>49</v>
      </c>
      <c r="D3" s="16">
        <f>HEX2DEC("3E")</f>
        <v>62</v>
      </c>
      <c r="E3" s="16">
        <f t="shared" ref="E3:F3" si="3">HEX2DEC("50")</f>
        <v>80</v>
      </c>
      <c r="F3" s="16">
        <f t="shared" si="3"/>
        <v>80</v>
      </c>
      <c r="G3" s="16">
        <f>HEX2DEC("3C")</f>
        <v>60</v>
      </c>
      <c r="H3" s="16" t="str">
        <f t="array" ref="H3">INDEX(Types!$B$2:'Types'!$B$19, HEX2DEC("04"), 1)</f>
        <v>Grass</v>
      </c>
      <c r="I3" s="16" t="str">
        <f t="array" ref="I3">INDEX(Types!$B$2:'Types'!$B$19, HEX2DEC("0D"), 1)</f>
        <v>Poison</v>
      </c>
      <c r="J3" s="16">
        <f>HEX2DEC("79")</f>
        <v>121</v>
      </c>
      <c r="K3" s="21">
        <f t="shared" si="2"/>
        <v>1</v>
      </c>
    </row>
    <row r="4" spans="1:26" x14ac:dyDescent="0.2">
      <c r="A4" s="20" t="s">
        <v>23</v>
      </c>
      <c r="B4" s="16">
        <f>HEX2DEC("50")</f>
        <v>80</v>
      </c>
      <c r="C4" s="16">
        <f>HEX2DEC("52")</f>
        <v>82</v>
      </c>
      <c r="D4" s="16">
        <f>HEX2DEC("53")</f>
        <v>83</v>
      </c>
      <c r="E4" s="16">
        <f t="shared" ref="E4:F4" si="4">HEX2DEC("64")</f>
        <v>100</v>
      </c>
      <c r="F4" s="16">
        <f t="shared" si="4"/>
        <v>100</v>
      </c>
      <c r="G4" s="16">
        <f>HEX2DEC("50")</f>
        <v>80</v>
      </c>
      <c r="H4" s="16" t="str">
        <f t="array" ref="H4">INDEX(Types!$B$2:'Types'!$B$19, HEX2DEC("04"), 1)</f>
        <v>Grass</v>
      </c>
      <c r="I4" s="16" t="str">
        <f t="array" ref="I4">INDEX(Types!$B$2:'Types'!$B$19, HEX2DEC("0D"), 1)</f>
        <v>Poison</v>
      </c>
      <c r="J4" s="16">
        <f>HEX2DEC("BC")</f>
        <v>188</v>
      </c>
      <c r="K4" s="21">
        <f t="shared" si="2"/>
        <v>1</v>
      </c>
    </row>
    <row r="5" spans="1:26" x14ac:dyDescent="0.2">
      <c r="A5" s="20" t="s">
        <v>25</v>
      </c>
      <c r="B5" s="16">
        <f>HEX2DEC("27")</f>
        <v>39</v>
      </c>
      <c r="C5" s="16">
        <f>HEX2DEC("34")</f>
        <v>52</v>
      </c>
      <c r="D5" s="16">
        <f>HEX2DEC("2B")</f>
        <v>43</v>
      </c>
      <c r="E5" s="16">
        <f>HEX2DEC("3C")</f>
        <v>60</v>
      </c>
      <c r="F5" s="16">
        <f>HEX2DEC("32")</f>
        <v>50</v>
      </c>
      <c r="G5" s="16">
        <f>HEX2DEC("41")</f>
        <v>65</v>
      </c>
      <c r="H5" s="16" t="str">
        <f t="array" ref="H5">INDEX(Types!$B$2:'Types'!$B$19, HEX2DEC("01"), 1)</f>
        <v>Fire</v>
      </c>
      <c r="I5" s="16" t="str">
        <f t="array" ref="I5">INDEX(Types!$B$2:'Types'!$B$19, HEX2DEC("12"), 1)</f>
        <v>N/A</v>
      </c>
      <c r="J5" s="16">
        <f>HEX2DEC("37")</f>
        <v>55</v>
      </c>
      <c r="K5" s="21">
        <f t="shared" ref="K5:K6" si="5">HEX2DEC("02")</f>
        <v>2</v>
      </c>
    </row>
    <row r="6" spans="1:26" x14ac:dyDescent="0.2">
      <c r="A6" s="20" t="s">
        <v>31</v>
      </c>
      <c r="B6" s="16">
        <f>HEX2DEC("3A")</f>
        <v>58</v>
      </c>
      <c r="C6" s="16">
        <f>HEX2DEC("40")</f>
        <v>64</v>
      </c>
      <c r="D6" s="16">
        <f>HEX2DEC("3A")</f>
        <v>58</v>
      </c>
      <c r="E6" s="16">
        <f>HEX2DEC("50")</f>
        <v>80</v>
      </c>
      <c r="F6" s="16">
        <f>HEX2DEC("41")</f>
        <v>65</v>
      </c>
      <c r="G6" s="16">
        <f>HEX2DEC("50")</f>
        <v>80</v>
      </c>
      <c r="H6" s="16" t="str">
        <f t="array" ref="H6">INDEX(Types!$B$2:'Types'!$B$19, HEX2DEC("01"), 1)</f>
        <v>Fire</v>
      </c>
      <c r="I6" s="16" t="str">
        <f t="array" ref="I6">INDEX(Types!$B$2:'Types'!$B$19, HEX2DEC("12"), 1)</f>
        <v>N/A</v>
      </c>
      <c r="J6" s="16">
        <f>HEX2DEC("7A")</f>
        <v>122</v>
      </c>
      <c r="K6" s="21">
        <f t="shared" si="5"/>
        <v>2</v>
      </c>
    </row>
    <row r="7" spans="1:26" x14ac:dyDescent="0.2">
      <c r="A7" s="20" t="s">
        <v>32</v>
      </c>
      <c r="B7" s="16">
        <f>HEX2DEC("4E")</f>
        <v>78</v>
      </c>
      <c r="C7" s="16">
        <f>HEX2DEC("54")</f>
        <v>84</v>
      </c>
      <c r="D7" s="16">
        <f>HEX2DEC("4E")</f>
        <v>78</v>
      </c>
      <c r="E7" s="16">
        <f>HEX2DEC("6D")</f>
        <v>109</v>
      </c>
      <c r="F7" s="16">
        <f>HEX2DEC("55")</f>
        <v>85</v>
      </c>
      <c r="G7" s="16">
        <f>HEX2DEC("64")</f>
        <v>100</v>
      </c>
      <c r="H7" s="16" t="str">
        <f t="array" ref="H7">INDEX(Types!$B$2:'Types'!$B$19, HEX2DEC("01"), 1)</f>
        <v>Fire</v>
      </c>
      <c r="I7" s="16" t="str">
        <f t="array" ref="I7">INDEX(Types!$B$2:'Types'!$B$19, HEX2DEC("0B"), 1)</f>
        <v>Flying</v>
      </c>
      <c r="J7" s="16">
        <f>HEX2DEC("BD")</f>
        <v>189</v>
      </c>
      <c r="K7" s="21">
        <f>HEX2DEC("2A")</f>
        <v>42</v>
      </c>
    </row>
    <row r="8" spans="1:26" x14ac:dyDescent="0.2">
      <c r="A8" s="20" t="s">
        <v>33</v>
      </c>
      <c r="B8" s="16">
        <f>HEX2DEC("2C")</f>
        <v>44</v>
      </c>
      <c r="C8" s="16">
        <f>HEX2DEC("30")</f>
        <v>48</v>
      </c>
      <c r="D8" s="16">
        <f>HEX2DEC("41")</f>
        <v>65</v>
      </c>
      <c r="E8" s="16">
        <f>HEX2DEC("32")</f>
        <v>50</v>
      </c>
      <c r="F8" s="16">
        <f>HEX2DEC("40")</f>
        <v>64</v>
      </c>
      <c r="G8" s="16">
        <f>HEX2DEC("2B")</f>
        <v>43</v>
      </c>
      <c r="H8" s="16" t="str">
        <f t="array" ref="H8">INDEX(Types!$B$2:'Types'!$B$19, HEX2DEC("02"), 1)</f>
        <v>Water</v>
      </c>
      <c r="I8" s="16" t="str">
        <f t="array" ref="I8">INDEX(Types!$B$2:'Types'!$B$19, HEX2DEC("12"), 1)</f>
        <v>N/A</v>
      </c>
      <c r="J8" s="16">
        <f>HEX2DEC("42")</f>
        <v>66</v>
      </c>
      <c r="K8" s="21">
        <f t="shared" ref="K8:K9" si="6">HEX2DEC("03")</f>
        <v>3</v>
      </c>
    </row>
    <row r="9" spans="1:26" x14ac:dyDescent="0.2">
      <c r="A9" s="20" t="s">
        <v>38</v>
      </c>
      <c r="B9" s="16">
        <f>HEX2DEC("3B")</f>
        <v>59</v>
      </c>
      <c r="C9" s="16">
        <f>HEX2DEC("3F")</f>
        <v>63</v>
      </c>
      <c r="D9" s="16">
        <f>HEX2DEC("50")</f>
        <v>80</v>
      </c>
      <c r="E9" s="16">
        <f>HEX2DEC("41")</f>
        <v>65</v>
      </c>
      <c r="F9" s="16">
        <f>HEX2DEC("50")</f>
        <v>80</v>
      </c>
      <c r="G9" s="16">
        <f>HEX2DEC("3A")</f>
        <v>58</v>
      </c>
      <c r="H9" s="16" t="str">
        <f t="array" ref="H9">INDEX(Types!$B$2:'Types'!$B$19, HEX2DEC("02"), 1)</f>
        <v>Water</v>
      </c>
      <c r="I9" s="16" t="str">
        <f t="array" ref="I9">INDEX(Types!$B$2:'Types'!$B$19, HEX2DEC("12"), 1)</f>
        <v>N/A</v>
      </c>
      <c r="J9" s="16">
        <f>HEX2DEC("7B")</f>
        <v>123</v>
      </c>
      <c r="K9" s="21">
        <f t="shared" si="6"/>
        <v>3</v>
      </c>
    </row>
    <row r="10" spans="1:26" x14ac:dyDescent="0.2">
      <c r="A10" s="20" t="s">
        <v>40</v>
      </c>
      <c r="B10" s="16">
        <f>HEX2DEC("4F")</f>
        <v>79</v>
      </c>
      <c r="C10" s="16">
        <f>HEX2DEC("53")</f>
        <v>83</v>
      </c>
      <c r="D10" s="16">
        <f>HEX2DEC("64")</f>
        <v>100</v>
      </c>
      <c r="E10" s="16">
        <f>HEX2DEC("55")</f>
        <v>85</v>
      </c>
      <c r="F10" s="16">
        <f>HEX2DEC("69")</f>
        <v>105</v>
      </c>
      <c r="G10" s="16">
        <f>HEX2DEC("4E")</f>
        <v>78</v>
      </c>
      <c r="H10" s="16" t="str">
        <f t="array" ref="H10">INDEX(Types!$B$2:'Types'!$B$19, HEX2DEC("02"), 1)</f>
        <v>Water</v>
      </c>
      <c r="I10" s="16" t="str">
        <f t="array" ref="I10">INDEX(Types!$B$2:'Types'!$B$19, HEX2DEC("12"), 1)</f>
        <v>N/A</v>
      </c>
      <c r="J10" s="16">
        <f>HEX2DEC("B4")</f>
        <v>180</v>
      </c>
      <c r="K10" s="21">
        <f>HEX2DEC("29")</f>
        <v>41</v>
      </c>
    </row>
    <row r="11" spans="1:26" x14ac:dyDescent="0.2">
      <c r="A11" s="20" t="s">
        <v>41</v>
      </c>
      <c r="B11" s="16">
        <f>HEX2DEC("2D")</f>
        <v>45</v>
      </c>
      <c r="C11" s="16">
        <f>HEX2DEC("1E")</f>
        <v>30</v>
      </c>
      <c r="D11" s="16">
        <f>HEX2DEC("23")</f>
        <v>35</v>
      </c>
      <c r="E11" s="16">
        <f t="shared" ref="E11:F11" si="7">HEX2DEC("14")</f>
        <v>20</v>
      </c>
      <c r="F11" s="16">
        <f t="shared" si="7"/>
        <v>20</v>
      </c>
      <c r="G11" s="16">
        <f>HEX2DEC("2D")</f>
        <v>45</v>
      </c>
      <c r="H11" s="16" t="str">
        <f t="array" ref="H11">INDEX(Types!$B$2:'Types'!$B$19, HEX2DEC("0C"), 1)</f>
        <v>Bug</v>
      </c>
      <c r="I11" s="16" t="str">
        <f t="array" ref="I11">INDEX(Types!$B$2:'Types'!$B$19, HEX2DEC("12"), 1)</f>
        <v>N/A</v>
      </c>
      <c r="J11" s="16">
        <f>HEX2DEC("2B")</f>
        <v>43</v>
      </c>
      <c r="K11" s="21">
        <f t="shared" ref="K11:K12" si="8">HEX2DEC("2C")</f>
        <v>44</v>
      </c>
    </row>
    <row r="12" spans="1:26" x14ac:dyDescent="0.2">
      <c r="A12" s="20" t="s">
        <v>42</v>
      </c>
      <c r="B12" s="16">
        <f>HEX2DEC("32")</f>
        <v>50</v>
      </c>
      <c r="C12" s="16">
        <f>HEX2DEC("14")</f>
        <v>20</v>
      </c>
      <c r="D12" s="16">
        <f>HEX2DEC("37")</f>
        <v>55</v>
      </c>
      <c r="E12" s="16">
        <f t="shared" ref="E12:F12" si="9">HEX2DEC("19")</f>
        <v>25</v>
      </c>
      <c r="F12" s="16">
        <f t="shared" si="9"/>
        <v>25</v>
      </c>
      <c r="G12" s="16">
        <f>HEX2DEC("1E")</f>
        <v>30</v>
      </c>
      <c r="H12" s="16" t="str">
        <f t="array" ref="H12">INDEX(Types!$B$2:'Types'!$B$19, HEX2DEC("0C"), 1)</f>
        <v>Bug</v>
      </c>
      <c r="I12" s="16" t="str">
        <f t="array" ref="I12">INDEX(Types!$B$2:'Types'!$B$19, HEX2DEC("12"), 1)</f>
        <v>N/A</v>
      </c>
      <c r="J12" s="16">
        <f>HEX2DEC("3E")</f>
        <v>62</v>
      </c>
      <c r="K12" s="21">
        <f t="shared" si="8"/>
        <v>44</v>
      </c>
    </row>
    <row r="13" spans="1:26" x14ac:dyDescent="0.2">
      <c r="A13" s="20" t="s">
        <v>43</v>
      </c>
      <c r="B13" s="16">
        <f>HEX2DEC("3C")</f>
        <v>60</v>
      </c>
      <c r="C13" s="16">
        <f>HEX2DEC("2D")</f>
        <v>45</v>
      </c>
      <c r="D13" s="16">
        <f>HEX2DEC("32")</f>
        <v>50</v>
      </c>
      <c r="E13" s="16">
        <f t="shared" ref="E13:F13" si="10">HEX2DEC("50")</f>
        <v>80</v>
      </c>
      <c r="F13" s="16">
        <f t="shared" si="10"/>
        <v>80</v>
      </c>
      <c r="G13" s="16">
        <f>HEX2DEC("46")</f>
        <v>70</v>
      </c>
      <c r="H13" s="16" t="str">
        <f t="array" ref="H13">INDEX(Types!$B$2:'Types'!$B$19, HEX2DEC("0C"), 1)</f>
        <v>Bug</v>
      </c>
      <c r="I13" s="16" t="str">
        <f t="array" ref="I13">INDEX(Types!$B$2:'Types'!$B$19, HEX2DEC("0B"), 1)</f>
        <v>Flying</v>
      </c>
      <c r="J13" s="16">
        <f>HEX2DEC("8C")</f>
        <v>140</v>
      </c>
      <c r="K13" s="21">
        <f>HEX2DEC("19")</f>
        <v>25</v>
      </c>
    </row>
    <row r="14" spans="1:26" x14ac:dyDescent="0.2">
      <c r="A14" s="20" t="s">
        <v>45</v>
      </c>
      <c r="B14" s="16">
        <f>HEX2DEC("28")</f>
        <v>40</v>
      </c>
      <c r="C14" s="16">
        <f>HEX2DEC("23")</f>
        <v>35</v>
      </c>
      <c r="D14" s="16">
        <f>HEX2DEC("1E")</f>
        <v>30</v>
      </c>
      <c r="E14" s="16">
        <f t="shared" ref="E14:F14" si="11">HEX2DEC("14")</f>
        <v>20</v>
      </c>
      <c r="F14" s="16">
        <f t="shared" si="11"/>
        <v>20</v>
      </c>
      <c r="G14" s="16">
        <f>HEX2DEC("32")</f>
        <v>50</v>
      </c>
      <c r="H14" s="16" t="str">
        <f t="array" ref="H14">INDEX(Types!$B$2:'Types'!$B$19, HEX2DEC("0C"), 1)</f>
        <v>Bug</v>
      </c>
      <c r="I14" s="16" t="str">
        <f t="array" ref="I14">INDEX(Types!$B$2:'Types'!$B$19, HEX2DEC("0D"), 1)</f>
        <v>Poison</v>
      </c>
      <c r="J14" s="16">
        <f>HEX2DEC("2A")</f>
        <v>42</v>
      </c>
      <c r="K14" s="21">
        <f t="shared" ref="K14:K15" si="12">HEX2DEC("2D")</f>
        <v>45</v>
      </c>
    </row>
    <row r="15" spans="1:26" x14ac:dyDescent="0.2">
      <c r="A15" s="20" t="s">
        <v>46</v>
      </c>
      <c r="B15" s="16">
        <f>HEX2DEC("2D")</f>
        <v>45</v>
      </c>
      <c r="C15" s="16">
        <f>HEX2DEC("19")</f>
        <v>25</v>
      </c>
      <c r="D15" s="16">
        <f>HEX2DEC("32")</f>
        <v>50</v>
      </c>
      <c r="E15" s="16">
        <f t="shared" ref="E15:F15" si="13">HEX2DEC("19")</f>
        <v>25</v>
      </c>
      <c r="F15" s="16">
        <f t="shared" si="13"/>
        <v>25</v>
      </c>
      <c r="G15" s="16">
        <f>HEX2DEC("23")</f>
        <v>35</v>
      </c>
      <c r="H15" s="16" t="str">
        <f t="array" ref="H15">INDEX(Types!$B$2:'Types'!$B$19, HEX2DEC("0C"), 1)</f>
        <v>Bug</v>
      </c>
      <c r="I15" s="16" t="str">
        <f t="array" ref="I15">INDEX(Types!$B$2:'Types'!$B$19, HEX2DEC("0D"), 1)</f>
        <v>Poison</v>
      </c>
      <c r="J15" s="16">
        <f>HEX2DEC("33")</f>
        <v>51</v>
      </c>
      <c r="K15" s="21">
        <f t="shared" si="12"/>
        <v>45</v>
      </c>
    </row>
    <row r="16" spans="1:26" x14ac:dyDescent="0.2">
      <c r="A16" s="20" t="s">
        <v>47</v>
      </c>
      <c r="B16" s="16">
        <f>HEX2DEC("41")</f>
        <v>65</v>
      </c>
      <c r="C16" s="16">
        <f>HEX2DEC("50")</f>
        <v>80</v>
      </c>
      <c r="D16" s="16">
        <f>HEX2DEC("2B")</f>
        <v>43</v>
      </c>
      <c r="E16" s="16">
        <f>HEX2DEC("2D")</f>
        <v>45</v>
      </c>
      <c r="F16" s="16">
        <f>HEX2DEC("50")</f>
        <v>80</v>
      </c>
      <c r="G16" s="16">
        <f>HEX2DEC("4B")</f>
        <v>75</v>
      </c>
      <c r="H16" s="16" t="str">
        <f t="array" ref="H16">INDEX(Types!$B$2:'Types'!$B$19, HEX2DEC("0C"), 1)</f>
        <v>Bug</v>
      </c>
      <c r="I16" s="16" t="str">
        <f t="array" ref="I16">INDEX(Types!$B$2:'Types'!$B$19, HEX2DEC("0D"), 1)</f>
        <v>Poison</v>
      </c>
      <c r="J16" s="16">
        <f>HEX2DEC("81")</f>
        <v>129</v>
      </c>
      <c r="K16" s="21">
        <f>HEX2DEC("19")</f>
        <v>25</v>
      </c>
    </row>
    <row r="17" spans="1:11" x14ac:dyDescent="0.2">
      <c r="A17" s="20" t="s">
        <v>51</v>
      </c>
      <c r="B17" s="16">
        <f>HEX2DEC("28")</f>
        <v>40</v>
      </c>
      <c r="C17" s="16">
        <f>HEX2DEC("2D")</f>
        <v>45</v>
      </c>
      <c r="D17" s="16">
        <f>HEX2DEC("28")</f>
        <v>40</v>
      </c>
      <c r="E17" s="16">
        <f t="shared" ref="E17:F17" si="14">HEX2DEC("23")</f>
        <v>35</v>
      </c>
      <c r="F17" s="16">
        <f t="shared" si="14"/>
        <v>35</v>
      </c>
      <c r="G17" s="16">
        <f>HEX2DEC("38")</f>
        <v>56</v>
      </c>
      <c r="H17" s="16" t="str">
        <f t="array" ref="H17">INDEX(Types!$B$2:'Types'!$B$19, HEX2DEC("09"), 1)</f>
        <v>Normal</v>
      </c>
      <c r="I17" s="16" t="str">
        <f t="array" ref="I17">INDEX(Types!$B$2:'Types'!$B$19, HEX2DEC("0B"), 1)</f>
        <v>Flying</v>
      </c>
      <c r="J17" s="16">
        <f>HEX2DEC("2D")</f>
        <v>45</v>
      </c>
      <c r="K17" s="21">
        <f t="shared" ref="K17:K19" si="15">HEX2DEC("16")</f>
        <v>22</v>
      </c>
    </row>
    <row r="18" spans="1:11" x14ac:dyDescent="0.2">
      <c r="A18" s="20" t="s">
        <v>53</v>
      </c>
      <c r="B18" s="16">
        <f>HEX2DEC("3F")</f>
        <v>63</v>
      </c>
      <c r="C18" s="16">
        <f>HEX2DEC("3C")</f>
        <v>60</v>
      </c>
      <c r="D18" s="16">
        <f>HEX2DEC("37")</f>
        <v>55</v>
      </c>
      <c r="E18" s="16">
        <f t="shared" ref="E18:F18" si="16">HEX2DEC("32")</f>
        <v>50</v>
      </c>
      <c r="F18" s="16">
        <f t="shared" si="16"/>
        <v>50</v>
      </c>
      <c r="G18" s="16">
        <f>HEX2DEC("47")</f>
        <v>71</v>
      </c>
      <c r="H18" s="16" t="str">
        <f t="array" ref="H18">INDEX(Types!$B$2:'Types'!$B$19, HEX2DEC("09"), 1)</f>
        <v>Normal</v>
      </c>
      <c r="I18" s="16" t="str">
        <f t="array" ref="I18">INDEX(Types!$B$2:'Types'!$B$19, HEX2DEC("0B"), 1)</f>
        <v>Flying</v>
      </c>
      <c r="J18" s="16">
        <f>HEX2DEC("67")</f>
        <v>103</v>
      </c>
      <c r="K18" s="21">
        <f t="shared" si="15"/>
        <v>22</v>
      </c>
    </row>
    <row r="19" spans="1:11" x14ac:dyDescent="0.2">
      <c r="A19" s="20" t="s">
        <v>54</v>
      </c>
      <c r="B19" s="16">
        <f>HEX2DEC("53")</f>
        <v>83</v>
      </c>
      <c r="C19" s="16">
        <f>HEX2DEC("50")</f>
        <v>80</v>
      </c>
      <c r="D19" s="16">
        <f>HEX2DEC("4B")</f>
        <v>75</v>
      </c>
      <c r="E19" s="16">
        <f t="shared" ref="E19:F19" si="17">HEX2DEC("46")</f>
        <v>70</v>
      </c>
      <c r="F19" s="16">
        <f t="shared" si="17"/>
        <v>70</v>
      </c>
      <c r="G19" s="16">
        <f>HEX2DEC("5B")</f>
        <v>91</v>
      </c>
      <c r="H19" s="16" t="str">
        <f t="array" ref="H19">INDEX(Types!$B$2:'Types'!$B$19, HEX2DEC("09"), 1)</f>
        <v>Normal</v>
      </c>
      <c r="I19" s="16" t="str">
        <f t="array" ref="I19">INDEX(Types!$B$2:'Types'!$B$19, HEX2DEC("0B"), 1)</f>
        <v>Flying</v>
      </c>
      <c r="J19" s="16">
        <f>HEX2DEC("98")</f>
        <v>152</v>
      </c>
      <c r="K19" s="21">
        <f t="shared" si="15"/>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defaultColWidth="12.5703125" defaultRowHeight="15.75" customHeight="1" x14ac:dyDescent="0.2"/>
  <cols>
    <col min="1" max="1" width="14.42578125" customWidth="1"/>
  </cols>
  <sheetData>
    <row r="1" spans="1:3" x14ac:dyDescent="0.2">
      <c r="A1" s="3" t="s">
        <v>537</v>
      </c>
      <c r="B1" s="1" t="s">
        <v>292</v>
      </c>
      <c r="C1" s="1" t="s">
        <v>538</v>
      </c>
    </row>
    <row r="2" spans="1:3" x14ac:dyDescent="0.2">
      <c r="A2" s="21" t="str">
        <f t="shared" ref="A2:A19" si="0">DEC2HEX(ROW()-2,2)</f>
        <v>00</v>
      </c>
      <c r="B2" s="16" t="s">
        <v>296</v>
      </c>
      <c r="C2" s="16" t="s">
        <v>539</v>
      </c>
    </row>
    <row r="3" spans="1:3" x14ac:dyDescent="0.2">
      <c r="A3" s="21" t="str">
        <f t="shared" si="0"/>
        <v>01</v>
      </c>
      <c r="B3" s="16" t="s">
        <v>307</v>
      </c>
      <c r="C3" s="16" t="s">
        <v>539</v>
      </c>
    </row>
    <row r="4" spans="1:3" x14ac:dyDescent="0.2">
      <c r="A4" s="21" t="str">
        <f t="shared" si="0"/>
        <v>02</v>
      </c>
      <c r="B4" s="16" t="s">
        <v>321</v>
      </c>
      <c r="C4" s="16" t="s">
        <v>539</v>
      </c>
    </row>
    <row r="5" spans="1:3" x14ac:dyDescent="0.2">
      <c r="A5" s="21" t="str">
        <f t="shared" si="0"/>
        <v>03</v>
      </c>
      <c r="B5" s="16" t="s">
        <v>333</v>
      </c>
      <c r="C5" s="16" t="s">
        <v>539</v>
      </c>
    </row>
    <row r="6" spans="1:3" x14ac:dyDescent="0.2">
      <c r="A6" s="21" t="str">
        <f t="shared" si="0"/>
        <v>04</v>
      </c>
      <c r="B6" s="16" t="s">
        <v>347</v>
      </c>
      <c r="C6" s="16" t="s">
        <v>539</v>
      </c>
    </row>
    <row r="7" spans="1:3" x14ac:dyDescent="0.2">
      <c r="A7" s="21" t="str">
        <f t="shared" si="0"/>
        <v>05</v>
      </c>
      <c r="B7" s="16" t="s">
        <v>427</v>
      </c>
      <c r="C7" s="16" t="s">
        <v>539</v>
      </c>
    </row>
    <row r="8" spans="1:3" x14ac:dyDescent="0.2">
      <c r="A8" s="21" t="str">
        <f t="shared" si="0"/>
        <v>06</v>
      </c>
      <c r="B8" s="16" t="s">
        <v>454</v>
      </c>
      <c r="C8" s="16" t="s">
        <v>539</v>
      </c>
    </row>
    <row r="9" spans="1:3" x14ac:dyDescent="0.2">
      <c r="A9" s="21" t="str">
        <f t="shared" si="0"/>
        <v>07</v>
      </c>
      <c r="B9" s="16" t="s">
        <v>462</v>
      </c>
      <c r="C9" s="16" t="s">
        <v>539</v>
      </c>
    </row>
    <row r="10" spans="1:3" x14ac:dyDescent="0.2">
      <c r="A10" s="21" t="str">
        <f t="shared" si="0"/>
        <v>08</v>
      </c>
      <c r="B10" s="16" t="s">
        <v>475</v>
      </c>
      <c r="C10" s="16" t="s">
        <v>540</v>
      </c>
    </row>
    <row r="11" spans="1:3" x14ac:dyDescent="0.2">
      <c r="A11" s="21" t="str">
        <f t="shared" si="0"/>
        <v>09</v>
      </c>
      <c r="B11" s="16" t="s">
        <v>392</v>
      </c>
      <c r="C11" s="16" t="s">
        <v>540</v>
      </c>
    </row>
    <row r="12" spans="1:3" x14ac:dyDescent="0.2">
      <c r="A12" s="21" t="str">
        <f t="shared" si="0"/>
        <v>0A</v>
      </c>
      <c r="B12" s="16" t="s">
        <v>413</v>
      </c>
      <c r="C12" s="16" t="s">
        <v>540</v>
      </c>
    </row>
    <row r="13" spans="1:3" x14ac:dyDescent="0.2">
      <c r="A13" s="21" t="str">
        <f t="shared" si="0"/>
        <v>0B</v>
      </c>
      <c r="B13" s="16" t="s">
        <v>374</v>
      </c>
      <c r="C13" s="16" t="s">
        <v>540</v>
      </c>
    </row>
    <row r="14" spans="1:3" x14ac:dyDescent="0.2">
      <c r="A14" s="21" t="str">
        <f t="shared" si="0"/>
        <v>0C</v>
      </c>
      <c r="B14" s="16" t="s">
        <v>382</v>
      </c>
      <c r="C14" s="16" t="s">
        <v>540</v>
      </c>
    </row>
    <row r="15" spans="1:3" x14ac:dyDescent="0.2">
      <c r="A15" s="21" t="str">
        <f t="shared" si="0"/>
        <v>0D</v>
      </c>
      <c r="B15" s="16" t="s">
        <v>355</v>
      </c>
      <c r="C15" s="16" t="s">
        <v>540</v>
      </c>
    </row>
    <row r="16" spans="1:3" x14ac:dyDescent="0.2">
      <c r="A16" s="21" t="str">
        <f t="shared" si="0"/>
        <v>0E</v>
      </c>
      <c r="B16" s="16" t="s">
        <v>368</v>
      </c>
      <c r="C16" s="16" t="s">
        <v>540</v>
      </c>
    </row>
    <row r="17" spans="1:3" x14ac:dyDescent="0.2">
      <c r="A17" s="21" t="str">
        <f t="shared" si="0"/>
        <v>0F</v>
      </c>
      <c r="B17" s="16" t="s">
        <v>469</v>
      </c>
      <c r="C17" s="16" t="s">
        <v>540</v>
      </c>
    </row>
    <row r="18" spans="1:3" x14ac:dyDescent="0.2">
      <c r="A18" s="21" t="str">
        <f t="shared" si="0"/>
        <v>10</v>
      </c>
      <c r="B18" s="16" t="s">
        <v>445</v>
      </c>
      <c r="C18" s="16" t="s">
        <v>539</v>
      </c>
    </row>
    <row r="19" spans="1:3" x14ac:dyDescent="0.2">
      <c r="A19" s="21" t="str">
        <f t="shared" si="0"/>
        <v>11</v>
      </c>
      <c r="B19" s="16" t="s">
        <v>541</v>
      </c>
      <c r="C19" s="16" t="s">
        <v>541</v>
      </c>
    </row>
    <row r="20" spans="1:3" x14ac:dyDescent="0.2">
      <c r="A20" s="109"/>
      <c r="B20" s="16"/>
      <c r="C20" s="16"/>
    </row>
    <row r="21" spans="1:3" x14ac:dyDescent="0.2">
      <c r="A21" s="109"/>
      <c r="B21" s="16"/>
      <c r="C21" s="16"/>
    </row>
    <row r="22" spans="1:3" x14ac:dyDescent="0.2">
      <c r="A22" s="109"/>
      <c r="B22" s="16"/>
      <c r="C22" s="16"/>
    </row>
    <row r="23" spans="1:3" x14ac:dyDescent="0.2">
      <c r="A23" s="109"/>
      <c r="B23" s="16"/>
      <c r="C23" s="16"/>
    </row>
    <row r="24" spans="1:3" x14ac:dyDescent="0.2">
      <c r="A24" s="109"/>
      <c r="B24" s="16"/>
      <c r="C24" s="16"/>
    </row>
    <row r="25" spans="1:3" x14ac:dyDescent="0.2">
      <c r="A25" s="109"/>
      <c r="B25" s="16"/>
      <c r="C25" s="16"/>
    </row>
    <row r="26" spans="1:3" x14ac:dyDescent="0.2">
      <c r="A26" s="109"/>
      <c r="B26" s="16"/>
      <c r="C26" s="16"/>
    </row>
    <row r="27" spans="1:3" x14ac:dyDescent="0.2">
      <c r="A27" s="109"/>
      <c r="B27" s="16"/>
      <c r="C27" s="16"/>
    </row>
    <row r="28" spans="1:3" x14ac:dyDescent="0.2">
      <c r="A28" s="109"/>
      <c r="B28" s="16"/>
      <c r="C28" s="16"/>
    </row>
    <row r="29" spans="1:3" x14ac:dyDescent="0.2">
      <c r="A29" s="109"/>
      <c r="B29" s="16"/>
      <c r="C29" s="16"/>
    </row>
    <row r="30" spans="1:3" x14ac:dyDescent="0.2">
      <c r="A30" s="109"/>
      <c r="B30" s="16"/>
      <c r="C30" s="16"/>
    </row>
    <row r="31" spans="1:3" x14ac:dyDescent="0.2">
      <c r="A31" s="109"/>
      <c r="B31" s="16"/>
      <c r="C31" s="16"/>
    </row>
    <row r="32" spans="1:3" x14ac:dyDescent="0.2">
      <c r="A32" s="109"/>
      <c r="B32" s="16"/>
      <c r="C32" s="16"/>
    </row>
    <row r="33" spans="1:3" x14ac:dyDescent="0.2">
      <c r="A33" s="109"/>
      <c r="B33" s="16"/>
      <c r="C33" s="16"/>
    </row>
    <row r="34" spans="1:3" x14ac:dyDescent="0.2">
      <c r="A34" s="109"/>
      <c r="B34" s="16"/>
      <c r="C34" s="16"/>
    </row>
    <row r="35" spans="1:3" x14ac:dyDescent="0.2">
      <c r="A35" s="109"/>
      <c r="B35" s="16"/>
      <c r="C35" s="16"/>
    </row>
    <row r="36" spans="1:3" x14ac:dyDescent="0.2">
      <c r="A36" s="109"/>
      <c r="B36" s="16"/>
      <c r="C36" s="16"/>
    </row>
    <row r="37" spans="1:3" x14ac:dyDescent="0.2">
      <c r="A37" s="109"/>
      <c r="B37" s="16"/>
      <c r="C37" s="16"/>
    </row>
    <row r="38" spans="1:3" x14ac:dyDescent="0.2">
      <c r="A38" s="109"/>
      <c r="B38" s="16"/>
      <c r="C38" s="16"/>
    </row>
    <row r="39" spans="1:3" x14ac:dyDescent="0.2">
      <c r="A39" s="109"/>
      <c r="B39" s="16"/>
      <c r="C39" s="16"/>
    </row>
    <row r="40" spans="1:3" x14ac:dyDescent="0.2">
      <c r="A40" s="109"/>
      <c r="B40" s="16"/>
      <c r="C40" s="16"/>
    </row>
    <row r="41" spans="1:3" x14ac:dyDescent="0.2">
      <c r="A41" s="109"/>
      <c r="B41" s="16"/>
      <c r="C41" s="16"/>
    </row>
    <row r="42" spans="1:3" x14ac:dyDescent="0.2">
      <c r="A42" s="109"/>
      <c r="B42" s="16"/>
      <c r="C42" s="16"/>
    </row>
    <row r="43" spans="1:3" x14ac:dyDescent="0.2">
      <c r="A43" s="109"/>
      <c r="B43" s="16"/>
      <c r="C43" s="16"/>
    </row>
    <row r="44" spans="1:3" x14ac:dyDescent="0.2">
      <c r="A44" s="109"/>
      <c r="B44" s="16"/>
      <c r="C44" s="16"/>
    </row>
    <row r="45" spans="1:3" x14ac:dyDescent="0.2">
      <c r="A45" s="109"/>
      <c r="B45" s="16"/>
      <c r="C45" s="16"/>
    </row>
    <row r="46" spans="1:3" x14ac:dyDescent="0.2">
      <c r="A46" s="109"/>
      <c r="B46" s="16"/>
      <c r="C46" s="16"/>
    </row>
    <row r="47" spans="1:3" x14ac:dyDescent="0.2">
      <c r="A47" s="109"/>
      <c r="B47" s="16"/>
      <c r="C47" s="16"/>
    </row>
    <row r="48" spans="1:3" x14ac:dyDescent="0.2">
      <c r="A48" s="109"/>
      <c r="B48" s="16"/>
      <c r="C48" s="16"/>
    </row>
    <row r="49" spans="1:3" x14ac:dyDescent="0.2">
      <c r="A49" s="109"/>
      <c r="B49" s="16"/>
      <c r="C49" s="16"/>
    </row>
    <row r="50" spans="1:3" x14ac:dyDescent="0.2">
      <c r="A50" s="109"/>
      <c r="B50" s="16"/>
      <c r="C50" s="16"/>
    </row>
    <row r="51" spans="1:3" x14ac:dyDescent="0.2">
      <c r="A51" s="109"/>
      <c r="B51" s="16"/>
      <c r="C51" s="16"/>
    </row>
    <row r="52" spans="1:3" x14ac:dyDescent="0.2">
      <c r="A52" s="109"/>
      <c r="B52" s="16"/>
      <c r="C52" s="16"/>
    </row>
    <row r="53" spans="1:3" x14ac:dyDescent="0.2">
      <c r="A53" s="109"/>
      <c r="B53" s="16"/>
      <c r="C53" s="16"/>
    </row>
    <row r="54" spans="1:3" x14ac:dyDescent="0.2">
      <c r="A54" s="109"/>
      <c r="B54" s="16"/>
      <c r="C54" s="16"/>
    </row>
    <row r="55" spans="1:3" x14ac:dyDescent="0.2">
      <c r="A55" s="109"/>
      <c r="B55" s="16"/>
      <c r="C55" s="16"/>
    </row>
    <row r="56" spans="1:3" x14ac:dyDescent="0.2">
      <c r="A56" s="109"/>
      <c r="B56" s="16"/>
      <c r="C56" s="16"/>
    </row>
    <row r="57" spans="1:3" x14ac:dyDescent="0.2">
      <c r="A57" s="109"/>
      <c r="B57" s="16"/>
      <c r="C57" s="16"/>
    </row>
    <row r="58" spans="1:3" x14ac:dyDescent="0.2">
      <c r="A58" s="109"/>
      <c r="B58" s="16"/>
      <c r="C58" s="16"/>
    </row>
    <row r="59" spans="1:3" x14ac:dyDescent="0.2">
      <c r="A59" s="109"/>
      <c r="B59" s="16"/>
      <c r="C59" s="16"/>
    </row>
    <row r="60" spans="1:3" x14ac:dyDescent="0.2">
      <c r="A60" s="109"/>
      <c r="B60" s="16"/>
      <c r="C60" s="16"/>
    </row>
    <row r="61" spans="1:3" x14ac:dyDescent="0.2">
      <c r="A61" s="109"/>
      <c r="B61" s="16"/>
      <c r="C61" s="16"/>
    </row>
    <row r="62" spans="1:3" x14ac:dyDescent="0.2">
      <c r="A62" s="109"/>
      <c r="B62" s="16"/>
      <c r="C62" s="16"/>
    </row>
    <row r="63" spans="1:3" x14ac:dyDescent="0.2">
      <c r="A63" s="109"/>
      <c r="B63" s="16"/>
      <c r="C63" s="16"/>
    </row>
    <row r="64" spans="1:3" x14ac:dyDescent="0.2">
      <c r="A64" s="109"/>
      <c r="B64" s="16"/>
      <c r="C64" s="16"/>
    </row>
    <row r="65" spans="1:3" x14ac:dyDescent="0.2">
      <c r="A65" s="109"/>
      <c r="B65" s="16"/>
      <c r="C65" s="16"/>
    </row>
    <row r="66" spans="1:3" x14ac:dyDescent="0.2">
      <c r="A66" s="109"/>
      <c r="B66" s="16"/>
      <c r="C66" s="16"/>
    </row>
    <row r="67" spans="1:3" x14ac:dyDescent="0.2">
      <c r="A67" s="109"/>
      <c r="B67" s="16"/>
      <c r="C67" s="16"/>
    </row>
    <row r="68" spans="1:3" x14ac:dyDescent="0.2">
      <c r="A68" s="109"/>
      <c r="B68" s="16"/>
      <c r="C68" s="16"/>
    </row>
    <row r="69" spans="1:3" x14ac:dyDescent="0.2">
      <c r="A69" s="109"/>
      <c r="B69" s="16"/>
      <c r="C69" s="16"/>
    </row>
    <row r="70" spans="1:3" x14ac:dyDescent="0.2">
      <c r="A70" s="109"/>
      <c r="B70" s="16"/>
      <c r="C70" s="16"/>
    </row>
    <row r="71" spans="1:3" x14ac:dyDescent="0.2">
      <c r="A71" s="109"/>
      <c r="B71" s="16"/>
      <c r="C71" s="16"/>
    </row>
    <row r="72" spans="1:3" x14ac:dyDescent="0.2">
      <c r="A72" s="109"/>
      <c r="B72" s="16"/>
      <c r="C72" s="16"/>
    </row>
    <row r="73" spans="1:3" x14ac:dyDescent="0.2">
      <c r="A73" s="109"/>
      <c r="B73" s="16"/>
      <c r="C73" s="16"/>
    </row>
    <row r="74" spans="1:3" x14ac:dyDescent="0.2">
      <c r="A74" s="109"/>
      <c r="B74" s="16"/>
      <c r="C74" s="16"/>
    </row>
    <row r="75" spans="1:3" x14ac:dyDescent="0.2">
      <c r="A75" s="109"/>
      <c r="B75" s="16"/>
      <c r="C75" s="16"/>
    </row>
    <row r="76" spans="1:3" x14ac:dyDescent="0.2">
      <c r="A76" s="109"/>
      <c r="B76" s="16"/>
      <c r="C76" s="16"/>
    </row>
    <row r="77" spans="1:3" x14ac:dyDescent="0.2">
      <c r="A77" s="109"/>
      <c r="B77" s="16"/>
      <c r="C77" s="16"/>
    </row>
    <row r="78" spans="1:3" x14ac:dyDescent="0.2">
      <c r="A78" s="109"/>
      <c r="B78" s="16"/>
      <c r="C78" s="16"/>
    </row>
    <row r="79" spans="1:3" x14ac:dyDescent="0.2">
      <c r="A79" s="109"/>
      <c r="B79" s="16"/>
      <c r="C79" s="16"/>
    </row>
    <row r="80" spans="1:3" x14ac:dyDescent="0.2">
      <c r="A80" s="109"/>
      <c r="B80" s="16"/>
      <c r="C80" s="16"/>
    </row>
    <row r="81" spans="1:3" x14ac:dyDescent="0.2">
      <c r="A81" s="109"/>
      <c r="B81" s="16"/>
      <c r="C81" s="16"/>
    </row>
    <row r="82" spans="1:3" x14ac:dyDescent="0.2">
      <c r="A82" s="109"/>
      <c r="B82" s="16"/>
      <c r="C82" s="16"/>
    </row>
    <row r="83" spans="1:3" x14ac:dyDescent="0.2">
      <c r="A83" s="109"/>
      <c r="B83" s="16"/>
      <c r="C83" s="16"/>
    </row>
    <row r="84" spans="1:3" x14ac:dyDescent="0.2">
      <c r="A84" s="109"/>
      <c r="B84" s="16"/>
      <c r="C84" s="16"/>
    </row>
    <row r="85" spans="1:3" x14ac:dyDescent="0.2">
      <c r="A85" s="109"/>
      <c r="B85" s="16"/>
      <c r="C85" s="16"/>
    </row>
    <row r="86" spans="1:3" x14ac:dyDescent="0.2">
      <c r="A86" s="109"/>
      <c r="B86" s="16"/>
      <c r="C86" s="16"/>
    </row>
    <row r="87" spans="1:3" x14ac:dyDescent="0.2">
      <c r="A87" s="109"/>
      <c r="B87" s="16"/>
      <c r="C87" s="16"/>
    </row>
    <row r="88" spans="1:3" x14ac:dyDescent="0.2">
      <c r="A88" s="109"/>
      <c r="B88" s="16"/>
      <c r="C88" s="16"/>
    </row>
    <row r="89" spans="1:3" x14ac:dyDescent="0.2">
      <c r="A89" s="109"/>
      <c r="B89" s="16"/>
      <c r="C89" s="16"/>
    </row>
    <row r="90" spans="1:3" x14ac:dyDescent="0.2">
      <c r="A90" s="109"/>
      <c r="B90" s="16"/>
      <c r="C90" s="16"/>
    </row>
    <row r="91" spans="1:3" x14ac:dyDescent="0.2">
      <c r="A91" s="109"/>
      <c r="B91" s="16"/>
      <c r="C91" s="16"/>
    </row>
    <row r="92" spans="1:3" x14ac:dyDescent="0.2">
      <c r="A92" s="109"/>
      <c r="B92" s="16"/>
      <c r="C92" s="16"/>
    </row>
    <row r="93" spans="1:3" x14ac:dyDescent="0.2">
      <c r="A93" s="109"/>
      <c r="B93" s="16"/>
      <c r="C93" s="16"/>
    </row>
    <row r="94" spans="1:3" x14ac:dyDescent="0.2">
      <c r="A94" s="109"/>
      <c r="B94" s="16"/>
      <c r="C94" s="16"/>
    </row>
    <row r="95" spans="1:3" x14ac:dyDescent="0.2">
      <c r="A95" s="109"/>
      <c r="B95" s="16"/>
      <c r="C95" s="16"/>
    </row>
    <row r="96" spans="1:3" x14ac:dyDescent="0.2">
      <c r="A96" s="109"/>
      <c r="B96" s="16"/>
      <c r="C96" s="16"/>
    </row>
    <row r="97" spans="1:3" x14ac:dyDescent="0.2">
      <c r="A97" s="109"/>
      <c r="B97" s="16"/>
      <c r="C97" s="16"/>
    </row>
    <row r="98" spans="1:3" x14ac:dyDescent="0.2">
      <c r="A98" s="109"/>
      <c r="B98" s="16"/>
      <c r="C98" s="16"/>
    </row>
    <row r="99" spans="1:3" x14ac:dyDescent="0.2">
      <c r="A99" s="109"/>
      <c r="B99" s="16"/>
      <c r="C99" s="16"/>
    </row>
    <row r="100" spans="1:3" x14ac:dyDescent="0.2">
      <c r="A100" s="109"/>
      <c r="B100" s="16"/>
      <c r="C100" s="16"/>
    </row>
    <row r="101" spans="1:3" x14ac:dyDescent="0.2">
      <c r="A101" s="109"/>
      <c r="B101" s="16"/>
      <c r="C101" s="16"/>
    </row>
    <row r="102" spans="1:3" x14ac:dyDescent="0.2">
      <c r="A102" s="109"/>
      <c r="B102" s="16"/>
      <c r="C102" s="16"/>
    </row>
    <row r="103" spans="1:3" x14ac:dyDescent="0.2">
      <c r="A103" s="109"/>
      <c r="B103" s="16"/>
      <c r="C103" s="16"/>
    </row>
    <row r="104" spans="1:3" x14ac:dyDescent="0.2">
      <c r="A104" s="109"/>
      <c r="B104" s="16"/>
      <c r="C104" s="16"/>
    </row>
    <row r="105" spans="1:3" x14ac:dyDescent="0.2">
      <c r="A105" s="109"/>
      <c r="B105" s="16"/>
      <c r="C105" s="16"/>
    </row>
    <row r="106" spans="1:3" x14ac:dyDescent="0.2">
      <c r="A106" s="109"/>
      <c r="B106" s="16"/>
      <c r="C106" s="16"/>
    </row>
    <row r="107" spans="1:3" x14ac:dyDescent="0.2">
      <c r="A107" s="109"/>
      <c r="B107" s="16"/>
      <c r="C107" s="16"/>
    </row>
    <row r="108" spans="1:3" x14ac:dyDescent="0.2">
      <c r="A108" s="109"/>
      <c r="B108" s="16"/>
      <c r="C108" s="16"/>
    </row>
    <row r="109" spans="1:3" x14ac:dyDescent="0.2">
      <c r="A109" s="109"/>
      <c r="B109" s="16"/>
      <c r="C109" s="16"/>
    </row>
    <row r="110" spans="1:3" x14ac:dyDescent="0.2">
      <c r="A110" s="109"/>
      <c r="B110" s="16"/>
      <c r="C110" s="16"/>
    </row>
    <row r="111" spans="1:3" x14ac:dyDescent="0.2">
      <c r="A111" s="109"/>
      <c r="B111" s="16"/>
      <c r="C111" s="16"/>
    </row>
    <row r="112" spans="1:3" x14ac:dyDescent="0.2">
      <c r="A112" s="109"/>
      <c r="B112" s="16"/>
      <c r="C112" s="16"/>
    </row>
    <row r="113" spans="1:3" x14ac:dyDescent="0.2">
      <c r="A113" s="109"/>
      <c r="B113" s="16"/>
      <c r="C113" s="16"/>
    </row>
    <row r="114" spans="1:3" x14ac:dyDescent="0.2">
      <c r="A114" s="109"/>
      <c r="B114" s="16"/>
      <c r="C114" s="16"/>
    </row>
    <row r="115" spans="1:3" x14ac:dyDescent="0.2">
      <c r="A115" s="109"/>
      <c r="B115" s="16"/>
      <c r="C115" s="16"/>
    </row>
    <row r="116" spans="1:3" x14ac:dyDescent="0.2">
      <c r="A116" s="109"/>
      <c r="B116" s="16"/>
      <c r="C116" s="16"/>
    </row>
    <row r="117" spans="1:3" x14ac:dyDescent="0.2">
      <c r="A117" s="109"/>
      <c r="B117" s="16"/>
      <c r="C117" s="16"/>
    </row>
    <row r="118" spans="1:3" x14ac:dyDescent="0.2">
      <c r="A118" s="109"/>
      <c r="B118" s="16"/>
      <c r="C118" s="16"/>
    </row>
    <row r="119" spans="1:3" x14ac:dyDescent="0.2">
      <c r="A119" s="109"/>
      <c r="B119" s="16"/>
      <c r="C119" s="16"/>
    </row>
    <row r="120" spans="1:3" x14ac:dyDescent="0.2">
      <c r="A120" s="109"/>
      <c r="B120" s="16"/>
      <c r="C120" s="16"/>
    </row>
    <row r="121" spans="1:3" x14ac:dyDescent="0.2">
      <c r="A121" s="109"/>
      <c r="B121" s="16"/>
      <c r="C121" s="16"/>
    </row>
    <row r="122" spans="1:3" x14ac:dyDescent="0.2">
      <c r="A122" s="109"/>
      <c r="B122" s="16"/>
      <c r="C122" s="16"/>
    </row>
    <row r="123" spans="1:3" x14ac:dyDescent="0.2">
      <c r="A123" s="109"/>
      <c r="B123" s="16"/>
      <c r="C123" s="16"/>
    </row>
    <row r="124" spans="1:3" x14ac:dyDescent="0.2">
      <c r="A124" s="109"/>
      <c r="B124" s="16"/>
      <c r="C124" s="16"/>
    </row>
    <row r="125" spans="1:3" x14ac:dyDescent="0.2">
      <c r="A125" s="109"/>
      <c r="B125" s="16"/>
      <c r="C125" s="16"/>
    </row>
    <row r="126" spans="1:3" x14ac:dyDescent="0.2">
      <c r="A126" s="109"/>
      <c r="B126" s="16"/>
      <c r="C126" s="16"/>
    </row>
    <row r="127" spans="1:3" x14ac:dyDescent="0.2">
      <c r="A127" s="109"/>
      <c r="B127" s="16"/>
      <c r="C127" s="16"/>
    </row>
    <row r="128" spans="1:3" x14ac:dyDescent="0.2">
      <c r="A128" s="109"/>
      <c r="B128" s="16"/>
      <c r="C128" s="16"/>
    </row>
    <row r="129" spans="1:3" x14ac:dyDescent="0.2">
      <c r="A129" s="109"/>
      <c r="B129" s="16"/>
      <c r="C129" s="16"/>
    </row>
    <row r="130" spans="1:3" x14ac:dyDescent="0.2">
      <c r="A130" s="109"/>
      <c r="B130" s="16"/>
      <c r="C130" s="16"/>
    </row>
    <row r="131" spans="1:3" x14ac:dyDescent="0.2">
      <c r="A131" s="109"/>
      <c r="B131" s="16"/>
      <c r="C131" s="16"/>
    </row>
    <row r="132" spans="1:3" x14ac:dyDescent="0.2">
      <c r="A132" s="109"/>
      <c r="B132" s="16"/>
      <c r="C132" s="16"/>
    </row>
    <row r="133" spans="1:3" x14ac:dyDescent="0.2">
      <c r="A133" s="109"/>
      <c r="B133" s="16"/>
      <c r="C133" s="16"/>
    </row>
    <row r="134" spans="1:3" x14ac:dyDescent="0.2">
      <c r="A134" s="109"/>
      <c r="B134" s="16"/>
      <c r="C134" s="16"/>
    </row>
    <row r="135" spans="1:3" x14ac:dyDescent="0.2">
      <c r="A135" s="109"/>
      <c r="B135" s="16"/>
      <c r="C135" s="16"/>
    </row>
    <row r="136" spans="1:3" x14ac:dyDescent="0.2">
      <c r="A136" s="109"/>
      <c r="B136" s="16"/>
      <c r="C136" s="16"/>
    </row>
    <row r="137" spans="1:3" x14ac:dyDescent="0.2">
      <c r="A137" s="109"/>
      <c r="B137" s="16"/>
      <c r="C137" s="16"/>
    </row>
    <row r="138" spans="1:3" x14ac:dyDescent="0.2">
      <c r="A138" s="109"/>
      <c r="B138" s="16"/>
      <c r="C138" s="16"/>
    </row>
    <row r="139" spans="1:3" x14ac:dyDescent="0.2">
      <c r="A139" s="109"/>
      <c r="B139" s="16"/>
      <c r="C139" s="16"/>
    </row>
    <row r="140" spans="1:3" x14ac:dyDescent="0.2">
      <c r="A140" s="109"/>
      <c r="B140" s="16"/>
      <c r="C140" s="16"/>
    </row>
    <row r="141" spans="1:3" x14ac:dyDescent="0.2">
      <c r="A141" s="109"/>
      <c r="B141" s="16"/>
      <c r="C141" s="16"/>
    </row>
    <row r="142" spans="1:3" x14ac:dyDescent="0.2">
      <c r="A142" s="109"/>
      <c r="B142" s="16"/>
      <c r="C142" s="16"/>
    </row>
    <row r="143" spans="1:3" x14ac:dyDescent="0.2">
      <c r="A143" s="109"/>
      <c r="B143" s="16"/>
      <c r="C143" s="16"/>
    </row>
    <row r="144" spans="1:3" x14ac:dyDescent="0.2">
      <c r="A144" s="109"/>
      <c r="B144" s="16"/>
      <c r="C144" s="16"/>
    </row>
    <row r="145" spans="1:3" x14ac:dyDescent="0.2">
      <c r="A145" s="109"/>
      <c r="B145" s="16"/>
      <c r="C145" s="16"/>
    </row>
    <row r="146" spans="1:3" x14ac:dyDescent="0.2">
      <c r="A146" s="109"/>
      <c r="B146" s="16"/>
      <c r="C146" s="16"/>
    </row>
    <row r="147" spans="1:3" x14ac:dyDescent="0.2">
      <c r="A147" s="109"/>
      <c r="B147" s="16"/>
      <c r="C147" s="16"/>
    </row>
    <row r="148" spans="1:3" x14ac:dyDescent="0.2">
      <c r="A148" s="109"/>
      <c r="B148" s="16"/>
      <c r="C148" s="16"/>
    </row>
    <row r="149" spans="1:3" x14ac:dyDescent="0.2">
      <c r="A149" s="109"/>
      <c r="B149" s="16"/>
      <c r="C149" s="16"/>
    </row>
    <row r="150" spans="1:3" x14ac:dyDescent="0.2">
      <c r="A150" s="109"/>
      <c r="B150" s="16"/>
      <c r="C150" s="16"/>
    </row>
    <row r="151" spans="1:3" x14ac:dyDescent="0.2">
      <c r="A151" s="109"/>
      <c r="B151" s="16"/>
      <c r="C151" s="16"/>
    </row>
    <row r="152" spans="1:3" x14ac:dyDescent="0.2">
      <c r="A152" s="109"/>
      <c r="B152" s="16"/>
      <c r="C152" s="16"/>
    </row>
    <row r="153" spans="1:3" x14ac:dyDescent="0.2">
      <c r="A153" s="109"/>
      <c r="B153" s="16"/>
      <c r="C153" s="16"/>
    </row>
    <row r="154" spans="1:3" x14ac:dyDescent="0.2">
      <c r="A154" s="109"/>
      <c r="B154" s="16"/>
      <c r="C154" s="16"/>
    </row>
    <row r="155" spans="1:3" x14ac:dyDescent="0.2">
      <c r="A155" s="109"/>
      <c r="B155" s="16"/>
      <c r="C155" s="16"/>
    </row>
    <row r="156" spans="1:3" x14ac:dyDescent="0.2">
      <c r="A156" s="109"/>
      <c r="B156" s="16"/>
      <c r="C156" s="16"/>
    </row>
    <row r="157" spans="1:3" x14ac:dyDescent="0.2">
      <c r="A157" s="109"/>
      <c r="B157" s="16"/>
      <c r="C157" s="16"/>
    </row>
    <row r="158" spans="1:3" x14ac:dyDescent="0.2">
      <c r="A158" s="109"/>
      <c r="B158" s="16"/>
      <c r="C158" s="16"/>
    </row>
    <row r="159" spans="1:3" x14ac:dyDescent="0.2">
      <c r="A159" s="109"/>
      <c r="B159" s="16"/>
      <c r="C159" s="16"/>
    </row>
    <row r="160" spans="1:3" x14ac:dyDescent="0.2">
      <c r="A160" s="109"/>
      <c r="B160" s="16"/>
      <c r="C160" s="16"/>
    </row>
    <row r="161" spans="1:3" x14ac:dyDescent="0.2">
      <c r="A161" s="109"/>
      <c r="B161" s="16"/>
      <c r="C161" s="16"/>
    </row>
    <row r="162" spans="1:3" x14ac:dyDescent="0.2">
      <c r="A162" s="109"/>
      <c r="B162" s="16"/>
      <c r="C162" s="16"/>
    </row>
    <row r="163" spans="1:3" x14ac:dyDescent="0.2">
      <c r="A163" s="109"/>
      <c r="B163" s="16"/>
      <c r="C163" s="16"/>
    </row>
    <row r="164" spans="1:3" x14ac:dyDescent="0.2">
      <c r="A164" s="109"/>
      <c r="B164" s="16"/>
      <c r="C164" s="16"/>
    </row>
    <row r="165" spans="1:3" x14ac:dyDescent="0.2">
      <c r="A165" s="109"/>
      <c r="B165" s="16"/>
      <c r="C165" s="16"/>
    </row>
    <row r="166" spans="1:3" x14ac:dyDescent="0.2">
      <c r="A166" s="109"/>
      <c r="B166" s="16"/>
      <c r="C166" s="16"/>
    </row>
    <row r="167" spans="1:3" x14ac:dyDescent="0.2">
      <c r="A167" s="109"/>
      <c r="B167" s="16"/>
      <c r="C167" s="16"/>
    </row>
    <row r="168" spans="1:3" x14ac:dyDescent="0.2">
      <c r="A168" s="109"/>
      <c r="B168" s="16"/>
      <c r="C168" s="16"/>
    </row>
    <row r="169" spans="1:3" x14ac:dyDescent="0.2">
      <c r="A169" s="109"/>
      <c r="B169" s="16"/>
      <c r="C169" s="16"/>
    </row>
    <row r="170" spans="1:3" x14ac:dyDescent="0.2">
      <c r="A170" s="109"/>
      <c r="B170" s="16"/>
      <c r="C170" s="16"/>
    </row>
    <row r="171" spans="1:3" x14ac:dyDescent="0.2">
      <c r="A171" s="109"/>
      <c r="B171" s="16"/>
      <c r="C171" s="16"/>
    </row>
    <row r="172" spans="1:3" x14ac:dyDescent="0.2">
      <c r="A172" s="109"/>
      <c r="B172" s="16"/>
      <c r="C172" s="16"/>
    </row>
    <row r="173" spans="1:3" x14ac:dyDescent="0.2">
      <c r="A173" s="109"/>
      <c r="B173" s="16"/>
      <c r="C173" s="16"/>
    </row>
    <row r="174" spans="1:3" x14ac:dyDescent="0.2">
      <c r="A174" s="109"/>
      <c r="B174" s="16"/>
      <c r="C174" s="16"/>
    </row>
    <row r="175" spans="1:3" x14ac:dyDescent="0.2">
      <c r="A175" s="109"/>
      <c r="B175" s="16"/>
      <c r="C175" s="16"/>
    </row>
    <row r="176" spans="1:3" x14ac:dyDescent="0.2">
      <c r="A176" s="109"/>
      <c r="B176" s="16"/>
      <c r="C176" s="16"/>
    </row>
    <row r="177" spans="1:3" x14ac:dyDescent="0.2">
      <c r="A177" s="109"/>
      <c r="B177" s="16"/>
      <c r="C177" s="16"/>
    </row>
    <row r="178" spans="1:3" x14ac:dyDescent="0.2">
      <c r="A178" s="109"/>
      <c r="B178" s="16"/>
      <c r="C178" s="16"/>
    </row>
    <row r="179" spans="1:3" x14ac:dyDescent="0.2">
      <c r="A179" s="109"/>
      <c r="B179" s="16"/>
      <c r="C179" s="16"/>
    </row>
    <row r="180" spans="1:3" x14ac:dyDescent="0.2">
      <c r="A180" s="109"/>
      <c r="B180" s="16"/>
      <c r="C180" s="16"/>
    </row>
    <row r="181" spans="1:3" x14ac:dyDescent="0.2">
      <c r="A181" s="109"/>
      <c r="B181" s="16"/>
      <c r="C181" s="16"/>
    </row>
    <row r="182" spans="1:3" x14ac:dyDescent="0.2">
      <c r="A182" s="109"/>
      <c r="B182" s="16"/>
      <c r="C182" s="16"/>
    </row>
    <row r="183" spans="1:3" x14ac:dyDescent="0.2">
      <c r="A183" s="109"/>
      <c r="B183" s="16"/>
      <c r="C183" s="16"/>
    </row>
    <row r="184" spans="1:3" x14ac:dyDescent="0.2">
      <c r="A184" s="109"/>
      <c r="B184" s="16"/>
      <c r="C184" s="16"/>
    </row>
    <row r="185" spans="1:3" x14ac:dyDescent="0.2">
      <c r="A185" s="109"/>
      <c r="B185" s="16"/>
      <c r="C185" s="16"/>
    </row>
    <row r="186" spans="1:3" x14ac:dyDescent="0.2">
      <c r="A186" s="109"/>
      <c r="B186" s="16"/>
      <c r="C186" s="16"/>
    </row>
    <row r="187" spans="1:3" x14ac:dyDescent="0.2">
      <c r="A187" s="109"/>
      <c r="B187" s="16"/>
      <c r="C187" s="16"/>
    </row>
    <row r="188" spans="1:3" x14ac:dyDescent="0.2">
      <c r="A188" s="109"/>
      <c r="B188" s="16"/>
      <c r="C188" s="16"/>
    </row>
    <row r="189" spans="1:3" x14ac:dyDescent="0.2">
      <c r="A189" s="109"/>
      <c r="B189" s="16"/>
      <c r="C189" s="16"/>
    </row>
    <row r="190" spans="1:3" x14ac:dyDescent="0.2">
      <c r="A190" s="109"/>
      <c r="B190" s="16"/>
      <c r="C190" s="16"/>
    </row>
    <row r="191" spans="1:3" x14ac:dyDescent="0.2">
      <c r="A191" s="109"/>
      <c r="B191" s="16"/>
      <c r="C191" s="16"/>
    </row>
    <row r="192" spans="1:3" x14ac:dyDescent="0.2">
      <c r="A192" s="109"/>
      <c r="B192" s="16"/>
      <c r="C192" s="16"/>
    </row>
    <row r="193" spans="1:3" x14ac:dyDescent="0.2">
      <c r="A193" s="109"/>
      <c r="B193" s="16"/>
      <c r="C193" s="16"/>
    </row>
    <row r="194" spans="1:3" x14ac:dyDescent="0.2">
      <c r="A194" s="109"/>
      <c r="B194" s="16"/>
      <c r="C194" s="16"/>
    </row>
    <row r="195" spans="1:3" x14ac:dyDescent="0.2">
      <c r="A195" s="109"/>
      <c r="B195" s="16"/>
      <c r="C195" s="16"/>
    </row>
    <row r="196" spans="1:3" x14ac:dyDescent="0.2">
      <c r="A196" s="109"/>
      <c r="B196" s="16"/>
      <c r="C196" s="16"/>
    </row>
    <row r="197" spans="1:3" x14ac:dyDescent="0.2">
      <c r="A197" s="109"/>
      <c r="B197" s="16"/>
      <c r="C197" s="16"/>
    </row>
    <row r="198" spans="1:3" x14ac:dyDescent="0.2">
      <c r="A198" s="109"/>
      <c r="B198" s="16"/>
      <c r="C198" s="16"/>
    </row>
    <row r="199" spans="1:3" x14ac:dyDescent="0.2">
      <c r="A199" s="109"/>
      <c r="B199" s="16"/>
      <c r="C199" s="16"/>
    </row>
    <row r="200" spans="1:3" x14ac:dyDescent="0.2">
      <c r="A200" s="109"/>
      <c r="B200" s="16"/>
      <c r="C200" s="16"/>
    </row>
    <row r="201" spans="1:3" x14ac:dyDescent="0.2">
      <c r="A201" s="109"/>
      <c r="B201" s="16"/>
      <c r="C201" s="16"/>
    </row>
    <row r="202" spans="1:3" x14ac:dyDescent="0.2">
      <c r="A202" s="109"/>
      <c r="B202" s="16"/>
      <c r="C202" s="16"/>
    </row>
    <row r="203" spans="1:3" x14ac:dyDescent="0.2">
      <c r="A203" s="109"/>
      <c r="B203" s="16"/>
      <c r="C203" s="16"/>
    </row>
    <row r="204" spans="1:3" x14ac:dyDescent="0.2">
      <c r="A204" s="109"/>
      <c r="B204" s="16"/>
      <c r="C204" s="16"/>
    </row>
    <row r="205" spans="1:3" x14ac:dyDescent="0.2">
      <c r="A205" s="109"/>
      <c r="B205" s="16"/>
      <c r="C205" s="16"/>
    </row>
    <row r="206" spans="1:3" x14ac:dyDescent="0.2">
      <c r="A206" s="109"/>
      <c r="B206" s="16"/>
      <c r="C206" s="16"/>
    </row>
    <row r="207" spans="1:3" x14ac:dyDescent="0.2">
      <c r="A207" s="109"/>
      <c r="B207" s="16"/>
      <c r="C207" s="16"/>
    </row>
    <row r="208" spans="1:3" x14ac:dyDescent="0.2">
      <c r="A208" s="109"/>
      <c r="B208" s="16"/>
      <c r="C208" s="16"/>
    </row>
    <row r="209" spans="1:3" x14ac:dyDescent="0.2">
      <c r="A209" s="109"/>
      <c r="B209" s="16"/>
      <c r="C209" s="16"/>
    </row>
    <row r="210" spans="1:3" x14ac:dyDescent="0.2">
      <c r="A210" s="109"/>
      <c r="B210" s="16"/>
      <c r="C210" s="16"/>
    </row>
    <row r="211" spans="1:3" x14ac:dyDescent="0.2">
      <c r="A211" s="109"/>
      <c r="B211" s="16"/>
      <c r="C211" s="16"/>
    </row>
    <row r="212" spans="1:3" x14ac:dyDescent="0.2">
      <c r="A212" s="109"/>
      <c r="B212" s="16"/>
      <c r="C212" s="16"/>
    </row>
    <row r="213" spans="1:3" x14ac:dyDescent="0.2">
      <c r="A213" s="109"/>
      <c r="B213" s="16"/>
      <c r="C213" s="16"/>
    </row>
    <row r="214" spans="1:3" x14ac:dyDescent="0.2">
      <c r="A214" s="109"/>
      <c r="B214" s="16"/>
      <c r="C214" s="16"/>
    </row>
    <row r="215" spans="1:3" x14ac:dyDescent="0.2">
      <c r="A215" s="109"/>
      <c r="B215" s="16"/>
      <c r="C215" s="16"/>
    </row>
    <row r="216" spans="1:3" x14ac:dyDescent="0.2">
      <c r="A216" s="109"/>
      <c r="B216" s="16"/>
      <c r="C216" s="16"/>
    </row>
    <row r="217" spans="1:3" x14ac:dyDescent="0.2">
      <c r="A217" s="109"/>
      <c r="B217" s="16"/>
      <c r="C217" s="16"/>
    </row>
    <row r="218" spans="1:3" x14ac:dyDescent="0.2">
      <c r="A218" s="109"/>
      <c r="B218" s="16"/>
      <c r="C218" s="16"/>
    </row>
    <row r="219" spans="1:3" x14ac:dyDescent="0.2">
      <c r="A219" s="109"/>
      <c r="B219" s="16"/>
      <c r="C219" s="16"/>
    </row>
    <row r="220" spans="1:3" x14ac:dyDescent="0.2">
      <c r="A220" s="109"/>
      <c r="B220" s="16"/>
      <c r="C220" s="16"/>
    </row>
    <row r="221" spans="1:3" x14ac:dyDescent="0.2">
      <c r="A221" s="109"/>
      <c r="B221" s="16"/>
      <c r="C221" s="16"/>
    </row>
    <row r="222" spans="1:3" x14ac:dyDescent="0.2">
      <c r="A222" s="109"/>
      <c r="B222" s="16"/>
      <c r="C222" s="16"/>
    </row>
    <row r="223" spans="1:3" x14ac:dyDescent="0.2">
      <c r="A223" s="109"/>
      <c r="B223" s="16"/>
      <c r="C223" s="16"/>
    </row>
    <row r="224" spans="1:3" x14ac:dyDescent="0.2">
      <c r="A224" s="109"/>
      <c r="B224" s="16"/>
      <c r="C224" s="16"/>
    </row>
    <row r="225" spans="1:3" x14ac:dyDescent="0.2">
      <c r="A225" s="109"/>
      <c r="B225" s="16"/>
      <c r="C225" s="16"/>
    </row>
    <row r="226" spans="1:3" x14ac:dyDescent="0.2">
      <c r="A226" s="109"/>
      <c r="B226" s="16"/>
      <c r="C226" s="16"/>
    </row>
    <row r="227" spans="1:3" x14ac:dyDescent="0.2">
      <c r="A227" s="109"/>
      <c r="B227" s="16"/>
      <c r="C227" s="16"/>
    </row>
    <row r="228" spans="1:3" x14ac:dyDescent="0.2">
      <c r="A228" s="109"/>
      <c r="B228" s="16"/>
      <c r="C228" s="16"/>
    </row>
    <row r="229" spans="1:3" x14ac:dyDescent="0.2">
      <c r="A229" s="109"/>
      <c r="B229" s="16"/>
      <c r="C229" s="16"/>
    </row>
    <row r="230" spans="1:3" x14ac:dyDescent="0.2">
      <c r="A230" s="109"/>
      <c r="B230" s="16"/>
      <c r="C230" s="16"/>
    </row>
    <row r="231" spans="1:3" x14ac:dyDescent="0.2">
      <c r="A231" s="109"/>
      <c r="B231" s="16"/>
      <c r="C231" s="16"/>
    </row>
    <row r="232" spans="1:3" x14ac:dyDescent="0.2">
      <c r="A232" s="109"/>
      <c r="B232" s="16"/>
      <c r="C232" s="16"/>
    </row>
    <row r="233" spans="1:3" x14ac:dyDescent="0.2">
      <c r="A233" s="109"/>
      <c r="B233" s="16"/>
      <c r="C233" s="16"/>
    </row>
    <row r="234" spans="1:3" x14ac:dyDescent="0.2">
      <c r="A234" s="109"/>
      <c r="B234" s="16"/>
      <c r="C234" s="16"/>
    </row>
    <row r="235" spans="1:3" x14ac:dyDescent="0.2">
      <c r="A235" s="109"/>
      <c r="B235" s="16"/>
      <c r="C235" s="16"/>
    </row>
    <row r="236" spans="1:3" x14ac:dyDescent="0.2">
      <c r="A236" s="109"/>
      <c r="B236" s="16"/>
      <c r="C236" s="16"/>
    </row>
    <row r="237" spans="1:3" x14ac:dyDescent="0.2">
      <c r="A237" s="109"/>
      <c r="B237" s="16"/>
      <c r="C237" s="16"/>
    </row>
    <row r="238" spans="1:3" x14ac:dyDescent="0.2">
      <c r="A238" s="109"/>
      <c r="B238" s="16"/>
      <c r="C238" s="16"/>
    </row>
    <row r="239" spans="1:3" x14ac:dyDescent="0.2">
      <c r="A239" s="109"/>
      <c r="B239" s="16"/>
      <c r="C239" s="16"/>
    </row>
    <row r="240" spans="1:3" x14ac:dyDescent="0.2">
      <c r="A240" s="109"/>
      <c r="B240" s="16"/>
      <c r="C240" s="16"/>
    </row>
    <row r="241" spans="1:3" x14ac:dyDescent="0.2">
      <c r="A241" s="109"/>
      <c r="B241" s="16"/>
      <c r="C241" s="16"/>
    </row>
    <row r="242" spans="1:3" x14ac:dyDescent="0.2">
      <c r="A242" s="109"/>
      <c r="B242" s="16"/>
      <c r="C242" s="16"/>
    </row>
    <row r="243" spans="1:3" x14ac:dyDescent="0.2">
      <c r="A243" s="109"/>
      <c r="B243" s="16"/>
      <c r="C243" s="16"/>
    </row>
    <row r="244" spans="1:3" x14ac:dyDescent="0.2">
      <c r="A244" s="109"/>
      <c r="B244" s="16"/>
      <c r="C244" s="16"/>
    </row>
    <row r="245" spans="1:3" x14ac:dyDescent="0.2">
      <c r="A245" s="109"/>
      <c r="B245" s="16"/>
      <c r="C245" s="16"/>
    </row>
    <row r="246" spans="1:3" x14ac:dyDescent="0.2">
      <c r="A246" s="109"/>
      <c r="B246" s="16"/>
      <c r="C246" s="16"/>
    </row>
    <row r="247" spans="1:3" x14ac:dyDescent="0.2">
      <c r="A247" s="109"/>
      <c r="B247" s="16"/>
      <c r="C247" s="16"/>
    </row>
    <row r="248" spans="1:3" x14ac:dyDescent="0.2">
      <c r="A248" s="109"/>
      <c r="B248" s="16"/>
      <c r="C248" s="16"/>
    </row>
    <row r="249" spans="1:3" x14ac:dyDescent="0.2">
      <c r="A249" s="109"/>
      <c r="B249" s="16"/>
      <c r="C249" s="16"/>
    </row>
    <row r="250" spans="1:3" x14ac:dyDescent="0.2">
      <c r="A250" s="109"/>
      <c r="B250" s="16"/>
      <c r="C250" s="16"/>
    </row>
    <row r="251" spans="1:3" x14ac:dyDescent="0.2">
      <c r="A251" s="109"/>
      <c r="B251" s="16"/>
      <c r="C251" s="16"/>
    </row>
    <row r="252" spans="1:3" x14ac:dyDescent="0.2">
      <c r="A252" s="109"/>
      <c r="B252" s="16"/>
      <c r="C252" s="16"/>
    </row>
    <row r="253" spans="1:3" x14ac:dyDescent="0.2">
      <c r="A253" s="109"/>
      <c r="B253" s="16"/>
      <c r="C253" s="16"/>
    </row>
    <row r="254" spans="1:3" x14ac:dyDescent="0.2">
      <c r="A254" s="109"/>
      <c r="B254" s="16"/>
      <c r="C254" s="16"/>
    </row>
    <row r="255" spans="1:3" x14ac:dyDescent="0.2">
      <c r="A255" s="109"/>
      <c r="B255" s="16"/>
      <c r="C255" s="16"/>
    </row>
    <row r="256" spans="1:3" x14ac:dyDescent="0.2">
      <c r="A256" s="109"/>
      <c r="B256" s="16"/>
      <c r="C256" s="16"/>
    </row>
    <row r="257" spans="1:3" x14ac:dyDescent="0.2">
      <c r="A257" s="109"/>
      <c r="B257" s="16"/>
      <c r="C257" s="16"/>
    </row>
    <row r="258" spans="1:3" x14ac:dyDescent="0.2">
      <c r="A258" s="109"/>
      <c r="B258" s="16"/>
      <c r="C258" s="16"/>
    </row>
    <row r="259" spans="1:3" x14ac:dyDescent="0.2">
      <c r="A259" s="109"/>
      <c r="B259" s="16"/>
      <c r="C259" s="16"/>
    </row>
    <row r="260" spans="1:3" x14ac:dyDescent="0.2">
      <c r="A260" s="109"/>
      <c r="B260" s="16"/>
      <c r="C260" s="16"/>
    </row>
    <row r="261" spans="1:3" x14ac:dyDescent="0.2">
      <c r="A261" s="109"/>
      <c r="B261" s="16"/>
      <c r="C261" s="16"/>
    </row>
    <row r="262" spans="1:3" x14ac:dyDescent="0.2">
      <c r="A262" s="109"/>
      <c r="B262" s="16"/>
      <c r="C262" s="16"/>
    </row>
    <row r="263" spans="1:3" x14ac:dyDescent="0.2">
      <c r="A263" s="109"/>
      <c r="B263" s="16"/>
      <c r="C263" s="16"/>
    </row>
    <row r="264" spans="1:3" x14ac:dyDescent="0.2">
      <c r="A264" s="109"/>
      <c r="B264" s="16"/>
      <c r="C264" s="16"/>
    </row>
    <row r="265" spans="1:3" x14ac:dyDescent="0.2">
      <c r="A265" s="109"/>
      <c r="B265" s="16"/>
      <c r="C265" s="16"/>
    </row>
    <row r="266" spans="1:3" x14ac:dyDescent="0.2">
      <c r="A266" s="109"/>
      <c r="B266" s="16"/>
      <c r="C266" s="16"/>
    </row>
    <row r="267" spans="1:3" x14ac:dyDescent="0.2">
      <c r="A267" s="109"/>
      <c r="B267" s="16"/>
      <c r="C267" s="16"/>
    </row>
    <row r="268" spans="1:3" x14ac:dyDescent="0.2">
      <c r="A268" s="109"/>
      <c r="B268" s="16"/>
      <c r="C268" s="16"/>
    </row>
    <row r="269" spans="1:3" x14ac:dyDescent="0.2">
      <c r="A269" s="109"/>
      <c r="B269" s="16"/>
      <c r="C269" s="16"/>
    </row>
    <row r="270" spans="1:3" x14ac:dyDescent="0.2">
      <c r="A270" s="109"/>
      <c r="B270" s="16"/>
      <c r="C270" s="16"/>
    </row>
    <row r="271" spans="1:3" x14ac:dyDescent="0.2">
      <c r="A271" s="109"/>
      <c r="B271" s="16"/>
      <c r="C271" s="16"/>
    </row>
    <row r="272" spans="1:3" x14ac:dyDescent="0.2">
      <c r="A272" s="109"/>
      <c r="B272" s="16"/>
      <c r="C272" s="16"/>
    </row>
    <row r="273" spans="1:3" x14ac:dyDescent="0.2">
      <c r="A273" s="109"/>
      <c r="B273" s="16"/>
      <c r="C273" s="16"/>
    </row>
    <row r="274" spans="1:3" x14ac:dyDescent="0.2">
      <c r="A274" s="109"/>
      <c r="B274" s="16"/>
      <c r="C274" s="16"/>
    </row>
    <row r="275" spans="1:3" x14ac:dyDescent="0.2">
      <c r="A275" s="109"/>
      <c r="B275" s="16"/>
      <c r="C275" s="16"/>
    </row>
    <row r="276" spans="1:3" x14ac:dyDescent="0.2">
      <c r="A276" s="109"/>
      <c r="B276" s="16"/>
      <c r="C276" s="16"/>
    </row>
    <row r="277" spans="1:3" x14ac:dyDescent="0.2">
      <c r="A277" s="109"/>
      <c r="B277" s="16"/>
      <c r="C277" s="16"/>
    </row>
    <row r="278" spans="1:3" x14ac:dyDescent="0.2">
      <c r="A278" s="109"/>
      <c r="B278" s="16"/>
      <c r="C278" s="16"/>
    </row>
    <row r="279" spans="1:3" x14ac:dyDescent="0.2">
      <c r="A279" s="109"/>
      <c r="B279" s="16"/>
      <c r="C279" s="16"/>
    </row>
    <row r="280" spans="1:3" x14ac:dyDescent="0.2">
      <c r="A280" s="109"/>
      <c r="B280" s="16"/>
      <c r="C280" s="16"/>
    </row>
    <row r="281" spans="1:3" x14ac:dyDescent="0.2">
      <c r="A281" s="109"/>
      <c r="B281" s="16"/>
      <c r="C281" s="16"/>
    </row>
    <row r="282" spans="1:3" x14ac:dyDescent="0.2">
      <c r="A282" s="109"/>
      <c r="B282" s="16"/>
      <c r="C282" s="16"/>
    </row>
    <row r="283" spans="1:3" x14ac:dyDescent="0.2">
      <c r="A283" s="109"/>
      <c r="B283" s="16"/>
      <c r="C283" s="16"/>
    </row>
    <row r="284" spans="1:3" x14ac:dyDescent="0.2">
      <c r="A284" s="109"/>
      <c r="B284" s="16"/>
      <c r="C284" s="16"/>
    </row>
    <row r="285" spans="1:3" x14ac:dyDescent="0.2">
      <c r="A285" s="109"/>
      <c r="B285" s="16"/>
      <c r="C285" s="16"/>
    </row>
    <row r="286" spans="1:3" x14ac:dyDescent="0.2">
      <c r="A286" s="109"/>
      <c r="B286" s="16"/>
      <c r="C286" s="16"/>
    </row>
    <row r="287" spans="1:3" x14ac:dyDescent="0.2">
      <c r="A287" s="109"/>
      <c r="B287" s="16"/>
      <c r="C287" s="16"/>
    </row>
    <row r="288" spans="1:3" x14ac:dyDescent="0.2">
      <c r="A288" s="109"/>
      <c r="B288" s="16"/>
      <c r="C288" s="16"/>
    </row>
    <row r="289" spans="1:3" x14ac:dyDescent="0.2">
      <c r="A289" s="109"/>
      <c r="B289" s="16"/>
      <c r="C289" s="16"/>
    </row>
    <row r="290" spans="1:3" x14ac:dyDescent="0.2">
      <c r="A290" s="109"/>
      <c r="B290" s="16"/>
      <c r="C290" s="16"/>
    </row>
    <row r="291" spans="1:3" x14ac:dyDescent="0.2">
      <c r="A291" s="109"/>
      <c r="B291" s="16"/>
      <c r="C291" s="16"/>
    </row>
    <row r="292" spans="1:3" x14ac:dyDescent="0.2">
      <c r="A292" s="109"/>
      <c r="B292" s="16"/>
      <c r="C292" s="16"/>
    </row>
    <row r="293" spans="1:3" x14ac:dyDescent="0.2">
      <c r="A293" s="109"/>
      <c r="B293" s="16"/>
      <c r="C293" s="16"/>
    </row>
    <row r="294" spans="1:3" x14ac:dyDescent="0.2">
      <c r="A294" s="109"/>
      <c r="B294" s="16"/>
      <c r="C294" s="16"/>
    </row>
    <row r="295" spans="1:3" x14ac:dyDescent="0.2">
      <c r="A295" s="109"/>
      <c r="B295" s="16"/>
      <c r="C295" s="16"/>
    </row>
    <row r="296" spans="1:3" x14ac:dyDescent="0.2">
      <c r="A296" s="109"/>
      <c r="B296" s="16"/>
      <c r="C296" s="16"/>
    </row>
    <row r="297" spans="1:3" x14ac:dyDescent="0.2">
      <c r="A297" s="109"/>
      <c r="B297" s="16"/>
      <c r="C297" s="16"/>
    </row>
    <row r="298" spans="1:3" x14ac:dyDescent="0.2">
      <c r="A298" s="109"/>
      <c r="B298" s="16"/>
      <c r="C298" s="16"/>
    </row>
    <row r="299" spans="1:3" x14ac:dyDescent="0.2">
      <c r="A299" s="109"/>
      <c r="B299" s="16"/>
      <c r="C299" s="16"/>
    </row>
    <row r="300" spans="1:3" x14ac:dyDescent="0.2">
      <c r="A300" s="109"/>
      <c r="B300" s="16"/>
      <c r="C300" s="16"/>
    </row>
    <row r="301" spans="1:3" x14ac:dyDescent="0.2">
      <c r="A301" s="109"/>
      <c r="B301" s="16"/>
      <c r="C301" s="16"/>
    </row>
    <row r="302" spans="1:3" x14ac:dyDescent="0.2">
      <c r="A302" s="109"/>
      <c r="B302" s="16"/>
      <c r="C302" s="16"/>
    </row>
    <row r="303" spans="1:3" x14ac:dyDescent="0.2">
      <c r="A303" s="109"/>
      <c r="B303" s="16"/>
      <c r="C303" s="16"/>
    </row>
    <row r="304" spans="1:3" x14ac:dyDescent="0.2">
      <c r="A304" s="109"/>
      <c r="B304" s="16"/>
      <c r="C304" s="16"/>
    </row>
    <row r="305" spans="1:3" x14ac:dyDescent="0.2">
      <c r="A305" s="109"/>
      <c r="B305" s="16"/>
      <c r="C305" s="16"/>
    </row>
    <row r="306" spans="1:3" x14ac:dyDescent="0.2">
      <c r="A306" s="109"/>
      <c r="B306" s="16"/>
      <c r="C306" s="16"/>
    </row>
    <row r="307" spans="1:3" x14ac:dyDescent="0.2">
      <c r="A307" s="109"/>
      <c r="B307" s="16"/>
      <c r="C307" s="16"/>
    </row>
    <row r="308" spans="1:3" x14ac:dyDescent="0.2">
      <c r="A308" s="109"/>
      <c r="B308" s="16"/>
      <c r="C308" s="16"/>
    </row>
    <row r="309" spans="1:3" x14ac:dyDescent="0.2">
      <c r="A309" s="109"/>
      <c r="B309" s="16"/>
      <c r="C309" s="16"/>
    </row>
    <row r="310" spans="1:3" x14ac:dyDescent="0.2">
      <c r="A310" s="109"/>
      <c r="B310" s="16"/>
      <c r="C310" s="16"/>
    </row>
    <row r="311" spans="1:3" x14ac:dyDescent="0.2">
      <c r="A311" s="109"/>
      <c r="B311" s="16"/>
      <c r="C311" s="16"/>
    </row>
    <row r="312" spans="1:3" x14ac:dyDescent="0.2">
      <c r="A312" s="109"/>
      <c r="B312" s="16"/>
      <c r="C312" s="16"/>
    </row>
    <row r="313" spans="1:3" x14ac:dyDescent="0.2">
      <c r="A313" s="109"/>
      <c r="B313" s="16"/>
      <c r="C313" s="16"/>
    </row>
    <row r="314" spans="1:3" x14ac:dyDescent="0.2">
      <c r="A314" s="109"/>
      <c r="B314" s="16"/>
      <c r="C314" s="16"/>
    </row>
    <row r="315" spans="1:3" x14ac:dyDescent="0.2">
      <c r="A315" s="109"/>
      <c r="B315" s="16"/>
      <c r="C315" s="16"/>
    </row>
    <row r="316" spans="1:3" x14ac:dyDescent="0.2">
      <c r="A316" s="109"/>
      <c r="B316" s="16"/>
      <c r="C316" s="16"/>
    </row>
    <row r="317" spans="1:3" x14ac:dyDescent="0.2">
      <c r="A317" s="109"/>
      <c r="B317" s="16"/>
      <c r="C317" s="16"/>
    </row>
    <row r="318" spans="1:3" x14ac:dyDescent="0.2">
      <c r="A318" s="109"/>
      <c r="B318" s="16"/>
      <c r="C318" s="16"/>
    </row>
    <row r="319" spans="1:3" x14ac:dyDescent="0.2">
      <c r="A319" s="109"/>
      <c r="B319" s="16"/>
      <c r="C319" s="16"/>
    </row>
    <row r="320" spans="1:3" x14ac:dyDescent="0.2">
      <c r="A320" s="109"/>
      <c r="B320" s="16"/>
      <c r="C320" s="16"/>
    </row>
    <row r="321" spans="1:3" x14ac:dyDescent="0.2">
      <c r="A321" s="109"/>
      <c r="B321" s="16"/>
      <c r="C321" s="16"/>
    </row>
    <row r="322" spans="1:3" x14ac:dyDescent="0.2">
      <c r="A322" s="109"/>
      <c r="B322" s="16"/>
      <c r="C322" s="16"/>
    </row>
    <row r="323" spans="1:3" x14ac:dyDescent="0.2">
      <c r="A323" s="109"/>
      <c r="B323" s="16"/>
      <c r="C323" s="16"/>
    </row>
    <row r="324" spans="1:3" x14ac:dyDescent="0.2">
      <c r="A324" s="109"/>
      <c r="B324" s="16"/>
      <c r="C324" s="16"/>
    </row>
    <row r="325" spans="1:3" x14ac:dyDescent="0.2">
      <c r="A325" s="109"/>
      <c r="B325" s="16"/>
      <c r="C325" s="16"/>
    </row>
    <row r="326" spans="1:3" x14ac:dyDescent="0.2">
      <c r="A326" s="109"/>
      <c r="B326" s="16"/>
      <c r="C326" s="16"/>
    </row>
    <row r="327" spans="1:3" x14ac:dyDescent="0.2">
      <c r="A327" s="109"/>
      <c r="B327" s="16"/>
      <c r="C327" s="16"/>
    </row>
    <row r="328" spans="1:3" x14ac:dyDescent="0.2">
      <c r="A328" s="109"/>
      <c r="B328" s="16"/>
      <c r="C328" s="16"/>
    </row>
    <row r="329" spans="1:3" x14ac:dyDescent="0.2">
      <c r="A329" s="109"/>
      <c r="B329" s="16"/>
      <c r="C329" s="16"/>
    </row>
    <row r="330" spans="1:3" x14ac:dyDescent="0.2">
      <c r="A330" s="109"/>
      <c r="B330" s="16"/>
      <c r="C330" s="16"/>
    </row>
    <row r="331" spans="1:3" x14ac:dyDescent="0.2">
      <c r="A331" s="109"/>
      <c r="B331" s="16"/>
      <c r="C331" s="16"/>
    </row>
    <row r="332" spans="1:3" x14ac:dyDescent="0.2">
      <c r="A332" s="109"/>
      <c r="B332" s="16"/>
      <c r="C332" s="16"/>
    </row>
    <row r="333" spans="1:3" x14ac:dyDescent="0.2">
      <c r="A333" s="109"/>
      <c r="B333" s="16"/>
      <c r="C333" s="16"/>
    </row>
    <row r="334" spans="1:3" x14ac:dyDescent="0.2">
      <c r="A334" s="109"/>
      <c r="B334" s="16"/>
      <c r="C334" s="16"/>
    </row>
    <row r="335" spans="1:3" x14ac:dyDescent="0.2">
      <c r="A335" s="109"/>
      <c r="B335" s="16"/>
      <c r="C335" s="16"/>
    </row>
    <row r="336" spans="1:3" x14ac:dyDescent="0.2">
      <c r="A336" s="109"/>
      <c r="B336" s="16"/>
      <c r="C336" s="16"/>
    </row>
    <row r="337" spans="1:3" x14ac:dyDescent="0.2">
      <c r="A337" s="109"/>
      <c r="B337" s="16"/>
      <c r="C337" s="16"/>
    </row>
    <row r="338" spans="1:3" x14ac:dyDescent="0.2">
      <c r="A338" s="109"/>
      <c r="B338" s="16"/>
      <c r="C338" s="16"/>
    </row>
    <row r="339" spans="1:3" x14ac:dyDescent="0.2">
      <c r="A339" s="109"/>
      <c r="B339" s="16"/>
      <c r="C339" s="16"/>
    </row>
    <row r="340" spans="1:3" x14ac:dyDescent="0.2">
      <c r="A340" s="109"/>
      <c r="B340" s="16"/>
      <c r="C340" s="16"/>
    </row>
    <row r="341" spans="1:3" x14ac:dyDescent="0.2">
      <c r="A341" s="109"/>
      <c r="B341" s="16"/>
      <c r="C341" s="16"/>
    </row>
    <row r="342" spans="1:3" x14ac:dyDescent="0.2">
      <c r="A342" s="109"/>
      <c r="B342" s="16"/>
      <c r="C342" s="16"/>
    </row>
    <row r="343" spans="1:3" x14ac:dyDescent="0.2">
      <c r="A343" s="109"/>
      <c r="B343" s="16"/>
      <c r="C343" s="16"/>
    </row>
    <row r="344" spans="1:3" x14ac:dyDescent="0.2">
      <c r="A344" s="109"/>
      <c r="B344" s="16"/>
      <c r="C344" s="16"/>
    </row>
    <row r="345" spans="1:3" x14ac:dyDescent="0.2">
      <c r="A345" s="109"/>
      <c r="B345" s="16"/>
      <c r="C345" s="16"/>
    </row>
    <row r="346" spans="1:3" x14ac:dyDescent="0.2">
      <c r="A346" s="109"/>
      <c r="B346" s="16"/>
      <c r="C346" s="16"/>
    </row>
    <row r="347" spans="1:3" x14ac:dyDescent="0.2">
      <c r="A347" s="109"/>
      <c r="B347" s="16"/>
      <c r="C347" s="16"/>
    </row>
    <row r="348" spans="1:3" x14ac:dyDescent="0.2">
      <c r="A348" s="109"/>
      <c r="B348" s="16"/>
      <c r="C348" s="16"/>
    </row>
    <row r="349" spans="1:3" x14ac:dyDescent="0.2">
      <c r="A349" s="109"/>
      <c r="B349" s="16"/>
      <c r="C349" s="16"/>
    </row>
    <row r="350" spans="1:3" x14ac:dyDescent="0.2">
      <c r="A350" s="109"/>
      <c r="B350" s="16"/>
      <c r="C350" s="16"/>
    </row>
    <row r="351" spans="1:3" x14ac:dyDescent="0.2">
      <c r="A351" s="109"/>
      <c r="B351" s="16"/>
      <c r="C351" s="16"/>
    </row>
    <row r="352" spans="1:3" x14ac:dyDescent="0.2">
      <c r="A352" s="109"/>
      <c r="B352" s="16"/>
      <c r="C352" s="16"/>
    </row>
    <row r="353" spans="1:3" x14ac:dyDescent="0.2">
      <c r="A353" s="109"/>
      <c r="B353" s="16"/>
      <c r="C353" s="16"/>
    </row>
    <row r="354" spans="1:3" x14ac:dyDescent="0.2">
      <c r="A354" s="109"/>
      <c r="B354" s="16"/>
      <c r="C354" s="16"/>
    </row>
    <row r="355" spans="1:3" x14ac:dyDescent="0.2">
      <c r="A355" s="109"/>
      <c r="B355" s="16"/>
      <c r="C355" s="16"/>
    </row>
    <row r="356" spans="1:3" x14ac:dyDescent="0.2">
      <c r="A356" s="109"/>
      <c r="B356" s="16"/>
      <c r="C356" s="16"/>
    </row>
    <row r="357" spans="1:3" x14ac:dyDescent="0.2">
      <c r="A357" s="109"/>
      <c r="B357" s="16"/>
      <c r="C357" s="16"/>
    </row>
    <row r="358" spans="1:3" x14ac:dyDescent="0.2">
      <c r="A358" s="109"/>
      <c r="B358" s="16"/>
      <c r="C358" s="16"/>
    </row>
    <row r="359" spans="1:3" x14ac:dyDescent="0.2">
      <c r="A359" s="109"/>
      <c r="B359" s="16"/>
      <c r="C359" s="16"/>
    </row>
    <row r="360" spans="1:3" x14ac:dyDescent="0.2">
      <c r="A360" s="109"/>
      <c r="B360" s="16"/>
      <c r="C360" s="16"/>
    </row>
    <row r="361" spans="1:3" x14ac:dyDescent="0.2">
      <c r="A361" s="109"/>
      <c r="B361" s="16"/>
      <c r="C361" s="16"/>
    </row>
    <row r="362" spans="1:3" x14ac:dyDescent="0.2">
      <c r="A362" s="109"/>
      <c r="B362" s="16"/>
      <c r="C362" s="16"/>
    </row>
    <row r="363" spans="1:3" x14ac:dyDescent="0.2">
      <c r="A363" s="109"/>
      <c r="B363" s="16"/>
      <c r="C363" s="16"/>
    </row>
    <row r="364" spans="1:3" x14ac:dyDescent="0.2">
      <c r="A364" s="109"/>
      <c r="B364" s="16"/>
      <c r="C364" s="16"/>
    </row>
    <row r="365" spans="1:3" x14ac:dyDescent="0.2">
      <c r="A365" s="109"/>
      <c r="B365" s="16"/>
      <c r="C365" s="16"/>
    </row>
    <row r="366" spans="1:3" x14ac:dyDescent="0.2">
      <c r="A366" s="109"/>
      <c r="B366" s="16"/>
      <c r="C366" s="16"/>
    </row>
    <row r="367" spans="1:3" x14ac:dyDescent="0.2">
      <c r="A367" s="109"/>
      <c r="B367" s="16"/>
      <c r="C367" s="16"/>
    </row>
    <row r="368" spans="1:3" x14ac:dyDescent="0.2">
      <c r="A368" s="109"/>
      <c r="B368" s="16"/>
      <c r="C368" s="16"/>
    </row>
    <row r="369" spans="1:3" x14ac:dyDescent="0.2">
      <c r="A369" s="109"/>
      <c r="B369" s="16"/>
      <c r="C369" s="16"/>
    </row>
    <row r="370" spans="1:3" x14ac:dyDescent="0.2">
      <c r="A370" s="109"/>
      <c r="B370" s="16"/>
      <c r="C370" s="16"/>
    </row>
    <row r="371" spans="1:3" x14ac:dyDescent="0.2">
      <c r="A371" s="109"/>
      <c r="B371" s="16"/>
      <c r="C371" s="16"/>
    </row>
    <row r="372" spans="1:3" x14ac:dyDescent="0.2">
      <c r="A372" s="109"/>
      <c r="B372" s="16"/>
      <c r="C372" s="16"/>
    </row>
    <row r="373" spans="1:3" x14ac:dyDescent="0.2">
      <c r="A373" s="109"/>
      <c r="B373" s="16"/>
      <c r="C373" s="16"/>
    </row>
    <row r="374" spans="1:3" x14ac:dyDescent="0.2">
      <c r="A374" s="109"/>
      <c r="B374" s="16"/>
      <c r="C374" s="16"/>
    </row>
    <row r="375" spans="1:3" x14ac:dyDescent="0.2">
      <c r="A375" s="109"/>
      <c r="B375" s="16"/>
      <c r="C375" s="16"/>
    </row>
    <row r="376" spans="1:3" x14ac:dyDescent="0.2">
      <c r="A376" s="109"/>
      <c r="B376" s="16"/>
      <c r="C376" s="16"/>
    </row>
    <row r="377" spans="1:3" x14ac:dyDescent="0.2">
      <c r="A377" s="109"/>
      <c r="B377" s="16"/>
      <c r="C377" s="16"/>
    </row>
    <row r="378" spans="1:3" x14ac:dyDescent="0.2">
      <c r="A378" s="109"/>
      <c r="B378" s="16"/>
      <c r="C378" s="16"/>
    </row>
    <row r="379" spans="1:3" x14ac:dyDescent="0.2">
      <c r="A379" s="109"/>
      <c r="B379" s="16"/>
      <c r="C379" s="16"/>
    </row>
    <row r="380" spans="1:3" x14ac:dyDescent="0.2">
      <c r="A380" s="109"/>
      <c r="B380" s="16"/>
      <c r="C380" s="16"/>
    </row>
    <row r="381" spans="1:3" x14ac:dyDescent="0.2">
      <c r="A381" s="109"/>
      <c r="B381" s="16"/>
      <c r="C381" s="16"/>
    </row>
    <row r="382" spans="1:3" x14ac:dyDescent="0.2">
      <c r="A382" s="109"/>
      <c r="B382" s="16"/>
      <c r="C382" s="16"/>
    </row>
    <row r="383" spans="1:3" x14ac:dyDescent="0.2">
      <c r="A383" s="109"/>
      <c r="B383" s="16"/>
      <c r="C383" s="16"/>
    </row>
    <row r="384" spans="1:3" x14ac:dyDescent="0.2">
      <c r="A384" s="109"/>
      <c r="B384" s="16"/>
      <c r="C384" s="16"/>
    </row>
    <row r="385" spans="1:3" x14ac:dyDescent="0.2">
      <c r="A385" s="109"/>
      <c r="B385" s="16"/>
      <c r="C385" s="16"/>
    </row>
    <row r="386" spans="1:3" x14ac:dyDescent="0.2">
      <c r="A386" s="109"/>
      <c r="B386" s="16"/>
      <c r="C386" s="16"/>
    </row>
    <row r="387" spans="1:3" x14ac:dyDescent="0.2">
      <c r="A387" s="109"/>
      <c r="B387" s="16"/>
      <c r="C387" s="16"/>
    </row>
    <row r="388" spans="1:3" x14ac:dyDescent="0.2">
      <c r="A388" s="109"/>
      <c r="B388" s="16"/>
      <c r="C388" s="16"/>
    </row>
    <row r="389" spans="1:3" x14ac:dyDescent="0.2">
      <c r="A389" s="109"/>
      <c r="B389" s="16"/>
      <c r="C389" s="16"/>
    </row>
    <row r="390" spans="1:3" x14ac:dyDescent="0.2">
      <c r="A390" s="109"/>
      <c r="B390" s="16"/>
      <c r="C390" s="16"/>
    </row>
    <row r="391" spans="1:3" x14ac:dyDescent="0.2">
      <c r="A391" s="109"/>
      <c r="B391" s="16"/>
      <c r="C391" s="16"/>
    </row>
    <row r="392" spans="1:3" x14ac:dyDescent="0.2">
      <c r="A392" s="109"/>
      <c r="B392" s="16"/>
      <c r="C392" s="16"/>
    </row>
    <row r="393" spans="1:3" x14ac:dyDescent="0.2">
      <c r="A393" s="109"/>
      <c r="B393" s="16"/>
      <c r="C393" s="16"/>
    </row>
    <row r="394" spans="1:3" x14ac:dyDescent="0.2">
      <c r="A394" s="109"/>
      <c r="B394" s="16"/>
      <c r="C394" s="16"/>
    </row>
    <row r="395" spans="1:3" x14ac:dyDescent="0.2">
      <c r="A395" s="109"/>
      <c r="B395" s="16"/>
      <c r="C395" s="16"/>
    </row>
    <row r="396" spans="1:3" x14ac:dyDescent="0.2">
      <c r="A396" s="109"/>
      <c r="B396" s="16"/>
      <c r="C396" s="16"/>
    </row>
    <row r="397" spans="1:3" x14ac:dyDescent="0.2">
      <c r="A397" s="109"/>
      <c r="B397" s="16"/>
      <c r="C397" s="16"/>
    </row>
    <row r="398" spans="1:3" x14ac:dyDescent="0.2">
      <c r="A398" s="109"/>
      <c r="B398" s="16"/>
      <c r="C398" s="16"/>
    </row>
    <row r="399" spans="1:3" x14ac:dyDescent="0.2">
      <c r="A399" s="109"/>
      <c r="B399" s="16"/>
      <c r="C399" s="16"/>
    </row>
    <row r="400" spans="1:3" x14ac:dyDescent="0.2">
      <c r="A400" s="109"/>
      <c r="B400" s="16"/>
      <c r="C400" s="16"/>
    </row>
    <row r="401" spans="1:3" x14ac:dyDescent="0.2">
      <c r="A401" s="109"/>
      <c r="B401" s="16"/>
      <c r="C401" s="16"/>
    </row>
    <row r="402" spans="1:3" x14ac:dyDescent="0.2">
      <c r="A402" s="109"/>
      <c r="B402" s="16"/>
      <c r="C402" s="16"/>
    </row>
    <row r="403" spans="1:3" x14ac:dyDescent="0.2">
      <c r="A403" s="109"/>
      <c r="B403" s="16"/>
      <c r="C403" s="16"/>
    </row>
    <row r="404" spans="1:3" x14ac:dyDescent="0.2">
      <c r="A404" s="109"/>
      <c r="B404" s="16"/>
      <c r="C404" s="16"/>
    </row>
    <row r="405" spans="1:3" x14ac:dyDescent="0.2">
      <c r="A405" s="109"/>
      <c r="B405" s="16"/>
      <c r="C405" s="16"/>
    </row>
    <row r="406" spans="1:3" x14ac:dyDescent="0.2">
      <c r="A406" s="109"/>
      <c r="B406" s="16"/>
      <c r="C406" s="16"/>
    </row>
    <row r="407" spans="1:3" x14ac:dyDescent="0.2">
      <c r="A407" s="109"/>
      <c r="B407" s="16"/>
      <c r="C407" s="16"/>
    </row>
    <row r="408" spans="1:3" x14ac:dyDescent="0.2">
      <c r="A408" s="109"/>
      <c r="B408" s="16"/>
      <c r="C408" s="16"/>
    </row>
    <row r="409" spans="1:3" x14ac:dyDescent="0.2">
      <c r="A409" s="109"/>
      <c r="B409" s="16"/>
      <c r="C409" s="16"/>
    </row>
    <row r="410" spans="1:3" x14ac:dyDescent="0.2">
      <c r="A410" s="109"/>
      <c r="B410" s="16"/>
      <c r="C410" s="16"/>
    </row>
    <row r="411" spans="1:3" x14ac:dyDescent="0.2">
      <c r="A411" s="109"/>
      <c r="B411" s="16"/>
      <c r="C411" s="16"/>
    </row>
    <row r="412" spans="1:3" x14ac:dyDescent="0.2">
      <c r="A412" s="109"/>
      <c r="B412" s="16"/>
      <c r="C412" s="16"/>
    </row>
    <row r="413" spans="1:3" x14ac:dyDescent="0.2">
      <c r="A413" s="109"/>
      <c r="B413" s="16"/>
      <c r="C413" s="16"/>
    </row>
    <row r="414" spans="1:3" x14ac:dyDescent="0.2">
      <c r="A414" s="109"/>
      <c r="B414" s="16"/>
      <c r="C414" s="16"/>
    </row>
    <row r="415" spans="1:3" x14ac:dyDescent="0.2">
      <c r="A415" s="109"/>
      <c r="B415" s="16"/>
      <c r="C415" s="16"/>
    </row>
    <row r="416" spans="1:3" x14ac:dyDescent="0.2">
      <c r="A416" s="109"/>
      <c r="B416" s="16"/>
      <c r="C416" s="16"/>
    </row>
    <row r="417" spans="1:3" x14ac:dyDescent="0.2">
      <c r="A417" s="109"/>
      <c r="B417" s="16"/>
      <c r="C417" s="16"/>
    </row>
    <row r="418" spans="1:3" x14ac:dyDescent="0.2">
      <c r="A418" s="109"/>
      <c r="B418" s="16"/>
      <c r="C418" s="16"/>
    </row>
    <row r="419" spans="1:3" x14ac:dyDescent="0.2">
      <c r="A419" s="109"/>
      <c r="B419" s="16"/>
      <c r="C419" s="16"/>
    </row>
    <row r="420" spans="1:3" x14ac:dyDescent="0.2">
      <c r="A420" s="109"/>
      <c r="B420" s="16"/>
      <c r="C420" s="16"/>
    </row>
    <row r="421" spans="1:3" x14ac:dyDescent="0.2">
      <c r="A421" s="109"/>
      <c r="B421" s="16"/>
      <c r="C421" s="16"/>
    </row>
    <row r="422" spans="1:3" x14ac:dyDescent="0.2">
      <c r="A422" s="109"/>
      <c r="B422" s="16"/>
      <c r="C422" s="16"/>
    </row>
    <row r="423" spans="1:3" x14ac:dyDescent="0.2">
      <c r="A423" s="109"/>
      <c r="B423" s="16"/>
      <c r="C423" s="16"/>
    </row>
    <row r="424" spans="1:3" x14ac:dyDescent="0.2">
      <c r="A424" s="109"/>
      <c r="B424" s="16"/>
      <c r="C424" s="16"/>
    </row>
    <row r="425" spans="1:3" x14ac:dyDescent="0.2">
      <c r="A425" s="109"/>
      <c r="B425" s="16"/>
      <c r="C425" s="16"/>
    </row>
    <row r="426" spans="1:3" x14ac:dyDescent="0.2">
      <c r="A426" s="109"/>
      <c r="B426" s="16"/>
      <c r="C426" s="16"/>
    </row>
    <row r="427" spans="1:3" x14ac:dyDescent="0.2">
      <c r="A427" s="109"/>
      <c r="B427" s="16"/>
      <c r="C427" s="16"/>
    </row>
    <row r="428" spans="1:3" x14ac:dyDescent="0.2">
      <c r="A428" s="109"/>
      <c r="B428" s="16"/>
      <c r="C428" s="16"/>
    </row>
    <row r="429" spans="1:3" x14ac:dyDescent="0.2">
      <c r="A429" s="109"/>
      <c r="B429" s="16"/>
      <c r="C429" s="16"/>
    </row>
    <row r="430" spans="1:3" x14ac:dyDescent="0.2">
      <c r="A430" s="109"/>
      <c r="B430" s="16"/>
      <c r="C430" s="16"/>
    </row>
    <row r="431" spans="1:3" x14ac:dyDescent="0.2">
      <c r="A431" s="109"/>
      <c r="B431" s="16"/>
      <c r="C431" s="16"/>
    </row>
    <row r="432" spans="1:3" x14ac:dyDescent="0.2">
      <c r="A432" s="109"/>
      <c r="B432" s="16"/>
      <c r="C432" s="16"/>
    </row>
    <row r="433" spans="1:3" x14ac:dyDescent="0.2">
      <c r="A433" s="109"/>
      <c r="B433" s="16"/>
      <c r="C433" s="16"/>
    </row>
    <row r="434" spans="1:3" x14ac:dyDescent="0.2">
      <c r="A434" s="109"/>
      <c r="B434" s="16"/>
      <c r="C434" s="16"/>
    </row>
    <row r="435" spans="1:3" x14ac:dyDescent="0.2">
      <c r="A435" s="109"/>
      <c r="B435" s="16"/>
      <c r="C435" s="16"/>
    </row>
    <row r="436" spans="1:3" x14ac:dyDescent="0.2">
      <c r="A436" s="109"/>
      <c r="B436" s="16"/>
      <c r="C436" s="16"/>
    </row>
    <row r="437" spans="1:3" x14ac:dyDescent="0.2">
      <c r="A437" s="109"/>
      <c r="B437" s="16"/>
      <c r="C437" s="16"/>
    </row>
    <row r="438" spans="1:3" x14ac:dyDescent="0.2">
      <c r="A438" s="109"/>
      <c r="B438" s="16"/>
      <c r="C438" s="16"/>
    </row>
    <row r="439" spans="1:3" x14ac:dyDescent="0.2">
      <c r="A439" s="109"/>
      <c r="B439" s="16"/>
      <c r="C439" s="16"/>
    </row>
    <row r="440" spans="1:3" x14ac:dyDescent="0.2">
      <c r="A440" s="109"/>
      <c r="B440" s="16"/>
      <c r="C440" s="16"/>
    </row>
    <row r="441" spans="1:3" x14ac:dyDescent="0.2">
      <c r="A441" s="109"/>
      <c r="B441" s="16"/>
      <c r="C441" s="16"/>
    </row>
    <row r="442" spans="1:3" x14ac:dyDescent="0.2">
      <c r="A442" s="109"/>
      <c r="B442" s="16"/>
      <c r="C442" s="16"/>
    </row>
    <row r="443" spans="1:3" x14ac:dyDescent="0.2">
      <c r="A443" s="109"/>
      <c r="B443" s="16"/>
      <c r="C443" s="16"/>
    </row>
    <row r="444" spans="1:3" x14ac:dyDescent="0.2">
      <c r="A444" s="109"/>
      <c r="B444" s="16"/>
      <c r="C444" s="16"/>
    </row>
    <row r="445" spans="1:3" x14ac:dyDescent="0.2">
      <c r="A445" s="109"/>
      <c r="B445" s="16"/>
      <c r="C445" s="16"/>
    </row>
    <row r="446" spans="1:3" x14ac:dyDescent="0.2">
      <c r="A446" s="109"/>
      <c r="B446" s="16"/>
      <c r="C446" s="16"/>
    </row>
    <row r="447" spans="1:3" x14ac:dyDescent="0.2">
      <c r="A447" s="109"/>
      <c r="B447" s="16"/>
      <c r="C447" s="16"/>
    </row>
    <row r="448" spans="1:3" x14ac:dyDescent="0.2">
      <c r="A448" s="109"/>
      <c r="B448" s="16"/>
      <c r="C448" s="16"/>
    </row>
    <row r="449" spans="1:3" x14ac:dyDescent="0.2">
      <c r="A449" s="109"/>
      <c r="B449" s="16"/>
      <c r="C449" s="16"/>
    </row>
    <row r="450" spans="1:3" x14ac:dyDescent="0.2">
      <c r="A450" s="109"/>
      <c r="B450" s="16"/>
      <c r="C450" s="16"/>
    </row>
    <row r="451" spans="1:3" x14ac:dyDescent="0.2">
      <c r="A451" s="109"/>
      <c r="B451" s="16"/>
      <c r="C451" s="16"/>
    </row>
    <row r="452" spans="1:3" x14ac:dyDescent="0.2">
      <c r="A452" s="109"/>
      <c r="B452" s="16"/>
      <c r="C452" s="16"/>
    </row>
    <row r="453" spans="1:3" x14ac:dyDescent="0.2">
      <c r="A453" s="109"/>
      <c r="B453" s="16"/>
      <c r="C453" s="16"/>
    </row>
    <row r="454" spans="1:3" x14ac:dyDescent="0.2">
      <c r="A454" s="109"/>
      <c r="B454" s="16"/>
      <c r="C454" s="16"/>
    </row>
    <row r="455" spans="1:3" x14ac:dyDescent="0.2">
      <c r="A455" s="109"/>
      <c r="B455" s="16"/>
      <c r="C455" s="16"/>
    </row>
    <row r="456" spans="1:3" x14ac:dyDescent="0.2">
      <c r="A456" s="109"/>
      <c r="B456" s="16"/>
      <c r="C456" s="16"/>
    </row>
    <row r="457" spans="1:3" x14ac:dyDescent="0.2">
      <c r="A457" s="109"/>
      <c r="B457" s="16"/>
      <c r="C457" s="16"/>
    </row>
    <row r="458" spans="1:3" x14ac:dyDescent="0.2">
      <c r="A458" s="109"/>
      <c r="B458" s="16"/>
      <c r="C458" s="16"/>
    </row>
    <row r="459" spans="1:3" x14ac:dyDescent="0.2">
      <c r="A459" s="109"/>
      <c r="B459" s="16"/>
      <c r="C459" s="16"/>
    </row>
    <row r="460" spans="1:3" x14ac:dyDescent="0.2">
      <c r="A460" s="109"/>
      <c r="B460" s="16"/>
      <c r="C460" s="16"/>
    </row>
    <row r="461" spans="1:3" x14ac:dyDescent="0.2">
      <c r="A461" s="109"/>
      <c r="B461" s="16"/>
      <c r="C461" s="16"/>
    </row>
    <row r="462" spans="1:3" x14ac:dyDescent="0.2">
      <c r="A462" s="109"/>
      <c r="B462" s="16"/>
      <c r="C462" s="16"/>
    </row>
    <row r="463" spans="1:3" x14ac:dyDescent="0.2">
      <c r="A463" s="109"/>
      <c r="B463" s="16"/>
      <c r="C463" s="16"/>
    </row>
    <row r="464" spans="1:3" x14ac:dyDescent="0.2">
      <c r="A464" s="109"/>
      <c r="B464" s="16"/>
      <c r="C464" s="16"/>
    </row>
    <row r="465" spans="1:3" x14ac:dyDescent="0.2">
      <c r="A465" s="109"/>
      <c r="B465" s="16"/>
      <c r="C465" s="16"/>
    </row>
    <row r="466" spans="1:3" x14ac:dyDescent="0.2">
      <c r="A466" s="109"/>
      <c r="B466" s="16"/>
      <c r="C466" s="16"/>
    </row>
    <row r="467" spans="1:3" x14ac:dyDescent="0.2">
      <c r="A467" s="109"/>
      <c r="B467" s="16"/>
      <c r="C467" s="16"/>
    </row>
    <row r="468" spans="1:3" x14ac:dyDescent="0.2">
      <c r="A468" s="109"/>
      <c r="B468" s="16"/>
      <c r="C468" s="16"/>
    </row>
    <row r="469" spans="1:3" x14ac:dyDescent="0.2">
      <c r="A469" s="109"/>
      <c r="B469" s="16"/>
      <c r="C469" s="16"/>
    </row>
    <row r="470" spans="1:3" x14ac:dyDescent="0.2">
      <c r="A470" s="109"/>
      <c r="B470" s="16"/>
      <c r="C470" s="16"/>
    </row>
    <row r="471" spans="1:3" x14ac:dyDescent="0.2">
      <c r="A471" s="109"/>
      <c r="B471" s="16"/>
      <c r="C471" s="16"/>
    </row>
    <row r="472" spans="1:3" x14ac:dyDescent="0.2">
      <c r="A472" s="109"/>
      <c r="B472" s="16"/>
      <c r="C472" s="16"/>
    </row>
    <row r="473" spans="1:3" x14ac:dyDescent="0.2">
      <c r="A473" s="109"/>
      <c r="B473" s="16"/>
      <c r="C473" s="16"/>
    </row>
    <row r="474" spans="1:3" x14ac:dyDescent="0.2">
      <c r="A474" s="109"/>
      <c r="B474" s="16"/>
      <c r="C474" s="16"/>
    </row>
    <row r="475" spans="1:3" x14ac:dyDescent="0.2">
      <c r="A475" s="109"/>
      <c r="B475" s="16"/>
      <c r="C475" s="16"/>
    </row>
    <row r="476" spans="1:3" x14ac:dyDescent="0.2">
      <c r="A476" s="109"/>
      <c r="B476" s="16"/>
      <c r="C476" s="16"/>
    </row>
    <row r="477" spans="1:3" x14ac:dyDescent="0.2">
      <c r="A477" s="109"/>
      <c r="B477" s="16"/>
      <c r="C477" s="16"/>
    </row>
    <row r="478" spans="1:3" x14ac:dyDescent="0.2">
      <c r="A478" s="109"/>
      <c r="B478" s="16"/>
      <c r="C478" s="16"/>
    </row>
    <row r="479" spans="1:3" x14ac:dyDescent="0.2">
      <c r="A479" s="109"/>
      <c r="B479" s="16"/>
      <c r="C479" s="16"/>
    </row>
    <row r="480" spans="1:3" x14ac:dyDescent="0.2">
      <c r="A480" s="109"/>
      <c r="B480" s="16"/>
      <c r="C480" s="16"/>
    </row>
    <row r="481" spans="1:3" x14ac:dyDescent="0.2">
      <c r="A481" s="109"/>
      <c r="B481" s="16"/>
      <c r="C481" s="16"/>
    </row>
    <row r="482" spans="1:3" x14ac:dyDescent="0.2">
      <c r="A482" s="109"/>
      <c r="B482" s="16"/>
      <c r="C482" s="16"/>
    </row>
    <row r="483" spans="1:3" x14ac:dyDescent="0.2">
      <c r="A483" s="109"/>
      <c r="B483" s="16"/>
      <c r="C483" s="16"/>
    </row>
    <row r="484" spans="1:3" x14ac:dyDescent="0.2">
      <c r="A484" s="109"/>
      <c r="B484" s="16"/>
      <c r="C484" s="16"/>
    </row>
    <row r="485" spans="1:3" x14ac:dyDescent="0.2">
      <c r="A485" s="109"/>
      <c r="B485" s="16"/>
      <c r="C485" s="16"/>
    </row>
    <row r="486" spans="1:3" x14ac:dyDescent="0.2">
      <c r="A486" s="109"/>
      <c r="B486" s="16"/>
      <c r="C486" s="16"/>
    </row>
    <row r="487" spans="1:3" x14ac:dyDescent="0.2">
      <c r="A487" s="109"/>
      <c r="B487" s="16"/>
      <c r="C487" s="16"/>
    </row>
    <row r="488" spans="1:3" x14ac:dyDescent="0.2">
      <c r="A488" s="109"/>
      <c r="B488" s="16"/>
      <c r="C488" s="16"/>
    </row>
    <row r="489" spans="1:3" x14ac:dyDescent="0.2">
      <c r="A489" s="109"/>
      <c r="B489" s="16"/>
      <c r="C489" s="16"/>
    </row>
    <row r="490" spans="1:3" x14ac:dyDescent="0.2">
      <c r="A490" s="109"/>
      <c r="B490" s="16"/>
      <c r="C490" s="16"/>
    </row>
    <row r="491" spans="1:3" x14ac:dyDescent="0.2">
      <c r="A491" s="109"/>
      <c r="B491" s="16"/>
      <c r="C491" s="16"/>
    </row>
    <row r="492" spans="1:3" x14ac:dyDescent="0.2">
      <c r="A492" s="109"/>
      <c r="B492" s="16"/>
      <c r="C492" s="16"/>
    </row>
    <row r="493" spans="1:3" x14ac:dyDescent="0.2">
      <c r="A493" s="109"/>
      <c r="B493" s="16"/>
      <c r="C493" s="16"/>
    </row>
    <row r="494" spans="1:3" x14ac:dyDescent="0.2">
      <c r="A494" s="109"/>
      <c r="B494" s="16"/>
      <c r="C494" s="16"/>
    </row>
    <row r="495" spans="1:3" x14ac:dyDescent="0.2">
      <c r="A495" s="109"/>
      <c r="B495" s="16"/>
      <c r="C495" s="16"/>
    </row>
    <row r="496" spans="1:3" x14ac:dyDescent="0.2">
      <c r="A496" s="109"/>
      <c r="B496" s="16"/>
      <c r="C496" s="16"/>
    </row>
    <row r="497" spans="1:3" x14ac:dyDescent="0.2">
      <c r="A497" s="109"/>
      <c r="B497" s="16"/>
      <c r="C497" s="16"/>
    </row>
    <row r="498" spans="1:3" x14ac:dyDescent="0.2">
      <c r="A498" s="109"/>
      <c r="B498" s="16"/>
      <c r="C498" s="16"/>
    </row>
    <row r="499" spans="1:3" x14ac:dyDescent="0.2">
      <c r="A499" s="109"/>
      <c r="B499" s="16"/>
      <c r="C499" s="16"/>
    </row>
    <row r="500" spans="1:3" x14ac:dyDescent="0.2">
      <c r="A500" s="109"/>
      <c r="B500" s="16"/>
      <c r="C500" s="16"/>
    </row>
    <row r="501" spans="1:3" x14ac:dyDescent="0.2">
      <c r="A501" s="109"/>
      <c r="B501" s="16"/>
      <c r="C501" s="16"/>
    </row>
    <row r="502" spans="1:3" x14ac:dyDescent="0.2">
      <c r="A502" s="109"/>
      <c r="B502" s="16"/>
      <c r="C502" s="16"/>
    </row>
    <row r="503" spans="1:3" x14ac:dyDescent="0.2">
      <c r="A503" s="109"/>
      <c r="B503" s="16"/>
      <c r="C503" s="16"/>
    </row>
    <row r="504" spans="1:3" x14ac:dyDescent="0.2">
      <c r="A504" s="109"/>
      <c r="B504" s="16"/>
      <c r="C504" s="16"/>
    </row>
    <row r="505" spans="1:3" x14ac:dyDescent="0.2">
      <c r="A505" s="109"/>
      <c r="B505" s="16"/>
      <c r="C505" s="16"/>
    </row>
    <row r="506" spans="1:3" x14ac:dyDescent="0.2">
      <c r="A506" s="109"/>
      <c r="B506" s="16"/>
      <c r="C506" s="16"/>
    </row>
    <row r="507" spans="1:3" x14ac:dyDescent="0.2">
      <c r="A507" s="109"/>
      <c r="B507" s="16"/>
      <c r="C507" s="16"/>
    </row>
    <row r="508" spans="1:3" x14ac:dyDescent="0.2">
      <c r="A508" s="109"/>
      <c r="B508" s="16"/>
      <c r="C508" s="16"/>
    </row>
    <row r="509" spans="1:3" x14ac:dyDescent="0.2">
      <c r="A509" s="109"/>
      <c r="B509" s="16"/>
      <c r="C509" s="16"/>
    </row>
    <row r="510" spans="1:3" x14ac:dyDescent="0.2">
      <c r="A510" s="109"/>
      <c r="B510" s="16"/>
      <c r="C510" s="16"/>
    </row>
    <row r="511" spans="1:3" x14ac:dyDescent="0.2">
      <c r="A511" s="109"/>
      <c r="B511" s="16"/>
      <c r="C511" s="16"/>
    </row>
    <row r="512" spans="1:3" x14ac:dyDescent="0.2">
      <c r="A512" s="109"/>
      <c r="B512" s="16"/>
      <c r="C512" s="16"/>
    </row>
    <row r="513" spans="1:3" x14ac:dyDescent="0.2">
      <c r="A513" s="109"/>
      <c r="B513" s="16"/>
      <c r="C513" s="16"/>
    </row>
    <row r="514" spans="1:3" x14ac:dyDescent="0.2">
      <c r="A514" s="109"/>
      <c r="B514" s="16"/>
      <c r="C514" s="16"/>
    </row>
    <row r="515" spans="1:3" x14ac:dyDescent="0.2">
      <c r="A515" s="109"/>
      <c r="B515" s="16"/>
      <c r="C515" s="16"/>
    </row>
    <row r="516" spans="1:3" x14ac:dyDescent="0.2">
      <c r="A516" s="109"/>
      <c r="B516" s="16"/>
      <c r="C516" s="16"/>
    </row>
    <row r="517" spans="1:3" x14ac:dyDescent="0.2">
      <c r="A517" s="109"/>
      <c r="B517" s="16"/>
      <c r="C517" s="16"/>
    </row>
    <row r="518" spans="1:3" x14ac:dyDescent="0.2">
      <c r="A518" s="109"/>
      <c r="B518" s="16"/>
      <c r="C518" s="16"/>
    </row>
    <row r="519" spans="1:3" x14ac:dyDescent="0.2">
      <c r="A519" s="109"/>
      <c r="B519" s="16"/>
      <c r="C519" s="16"/>
    </row>
    <row r="520" spans="1:3" x14ac:dyDescent="0.2">
      <c r="A520" s="109"/>
      <c r="B520" s="16"/>
      <c r="C520" s="16"/>
    </row>
    <row r="521" spans="1:3" x14ac:dyDescent="0.2">
      <c r="A521" s="109"/>
      <c r="B521" s="16"/>
      <c r="C521" s="16"/>
    </row>
    <row r="522" spans="1:3" x14ac:dyDescent="0.2">
      <c r="A522" s="109"/>
      <c r="B522" s="16"/>
      <c r="C522" s="16"/>
    </row>
    <row r="523" spans="1:3" x14ac:dyDescent="0.2">
      <c r="A523" s="109"/>
      <c r="B523" s="16"/>
      <c r="C523" s="16"/>
    </row>
    <row r="524" spans="1:3" x14ac:dyDescent="0.2">
      <c r="A524" s="109"/>
      <c r="B524" s="16"/>
      <c r="C524" s="16"/>
    </row>
    <row r="525" spans="1:3" x14ac:dyDescent="0.2">
      <c r="A525" s="109"/>
      <c r="B525" s="16"/>
      <c r="C525" s="16"/>
    </row>
    <row r="526" spans="1:3" x14ac:dyDescent="0.2">
      <c r="A526" s="109"/>
      <c r="B526" s="16"/>
      <c r="C526" s="16"/>
    </row>
    <row r="527" spans="1:3" x14ac:dyDescent="0.2">
      <c r="A527" s="109"/>
      <c r="B527" s="16"/>
      <c r="C527" s="16"/>
    </row>
    <row r="528" spans="1:3" x14ac:dyDescent="0.2">
      <c r="A528" s="109"/>
      <c r="B528" s="16"/>
      <c r="C528" s="16"/>
    </row>
    <row r="529" spans="1:3" x14ac:dyDescent="0.2">
      <c r="A529" s="109"/>
      <c r="B529" s="16"/>
      <c r="C529" s="16"/>
    </row>
    <row r="530" spans="1:3" x14ac:dyDescent="0.2">
      <c r="A530" s="109"/>
      <c r="B530" s="16"/>
      <c r="C530" s="16"/>
    </row>
    <row r="531" spans="1:3" x14ac:dyDescent="0.2">
      <c r="A531" s="109"/>
      <c r="B531" s="16"/>
      <c r="C531" s="16"/>
    </row>
    <row r="532" spans="1:3" x14ac:dyDescent="0.2">
      <c r="A532" s="109"/>
      <c r="B532" s="16"/>
      <c r="C532" s="16"/>
    </row>
    <row r="533" spans="1:3" x14ac:dyDescent="0.2">
      <c r="A533" s="109"/>
      <c r="B533" s="16"/>
      <c r="C533" s="16"/>
    </row>
    <row r="534" spans="1:3" x14ac:dyDescent="0.2">
      <c r="A534" s="109"/>
      <c r="B534" s="16"/>
      <c r="C534" s="16"/>
    </row>
    <row r="535" spans="1:3" x14ac:dyDescent="0.2">
      <c r="A535" s="109"/>
      <c r="B535" s="16"/>
      <c r="C535" s="16"/>
    </row>
    <row r="536" spans="1:3" x14ac:dyDescent="0.2">
      <c r="A536" s="109"/>
      <c r="B536" s="16"/>
      <c r="C536" s="16"/>
    </row>
    <row r="537" spans="1:3" x14ac:dyDescent="0.2">
      <c r="A537" s="109"/>
      <c r="B537" s="16"/>
      <c r="C537" s="16"/>
    </row>
    <row r="538" spans="1:3" x14ac:dyDescent="0.2">
      <c r="A538" s="109"/>
      <c r="B538" s="16"/>
      <c r="C538" s="16"/>
    </row>
    <row r="539" spans="1:3" x14ac:dyDescent="0.2">
      <c r="A539" s="109"/>
      <c r="B539" s="16"/>
      <c r="C539" s="16"/>
    </row>
    <row r="540" spans="1:3" x14ac:dyDescent="0.2">
      <c r="A540" s="109"/>
      <c r="B540" s="16"/>
      <c r="C540" s="16"/>
    </row>
    <row r="541" spans="1:3" x14ac:dyDescent="0.2">
      <c r="A541" s="109"/>
      <c r="B541" s="16"/>
      <c r="C541" s="16"/>
    </row>
    <row r="542" spans="1:3" x14ac:dyDescent="0.2">
      <c r="A542" s="109"/>
      <c r="B542" s="16"/>
      <c r="C542" s="16"/>
    </row>
    <row r="543" spans="1:3" x14ac:dyDescent="0.2">
      <c r="A543" s="109"/>
      <c r="B543" s="16"/>
      <c r="C543" s="16"/>
    </row>
    <row r="544" spans="1:3" x14ac:dyDescent="0.2">
      <c r="A544" s="109"/>
      <c r="B544" s="16"/>
      <c r="C544" s="16"/>
    </row>
    <row r="545" spans="1:3" x14ac:dyDescent="0.2">
      <c r="A545" s="109"/>
      <c r="B545" s="16"/>
      <c r="C545" s="16"/>
    </row>
    <row r="546" spans="1:3" x14ac:dyDescent="0.2">
      <c r="A546" s="109"/>
      <c r="B546" s="16"/>
      <c r="C546" s="16"/>
    </row>
    <row r="547" spans="1:3" x14ac:dyDescent="0.2">
      <c r="A547" s="109"/>
      <c r="B547" s="16"/>
      <c r="C547" s="16"/>
    </row>
    <row r="548" spans="1:3" x14ac:dyDescent="0.2">
      <c r="A548" s="109"/>
      <c r="B548" s="16"/>
      <c r="C548" s="16"/>
    </row>
    <row r="549" spans="1:3" x14ac:dyDescent="0.2">
      <c r="A549" s="109"/>
      <c r="B549" s="16"/>
      <c r="C549" s="16"/>
    </row>
    <row r="550" spans="1:3" x14ac:dyDescent="0.2">
      <c r="A550" s="109"/>
      <c r="B550" s="16"/>
      <c r="C550" s="16"/>
    </row>
    <row r="551" spans="1:3" x14ac:dyDescent="0.2">
      <c r="A551" s="109"/>
      <c r="B551" s="16"/>
      <c r="C551" s="16"/>
    </row>
    <row r="552" spans="1:3" x14ac:dyDescent="0.2">
      <c r="A552" s="109"/>
      <c r="B552" s="16"/>
      <c r="C552" s="16"/>
    </row>
    <row r="553" spans="1:3" x14ac:dyDescent="0.2">
      <c r="A553" s="109"/>
      <c r="B553" s="16"/>
      <c r="C553" s="16"/>
    </row>
    <row r="554" spans="1:3" x14ac:dyDescent="0.2">
      <c r="A554" s="109"/>
      <c r="B554" s="16"/>
      <c r="C554" s="16"/>
    </row>
    <row r="555" spans="1:3" x14ac:dyDescent="0.2">
      <c r="A555" s="109"/>
      <c r="B555" s="16"/>
      <c r="C555" s="16"/>
    </row>
    <row r="556" spans="1:3" x14ac:dyDescent="0.2">
      <c r="A556" s="109"/>
      <c r="B556" s="16"/>
      <c r="C556" s="16"/>
    </row>
    <row r="557" spans="1:3" x14ac:dyDescent="0.2">
      <c r="A557" s="109"/>
      <c r="B557" s="16"/>
      <c r="C557" s="16"/>
    </row>
    <row r="558" spans="1:3" x14ac:dyDescent="0.2">
      <c r="A558" s="109"/>
      <c r="B558" s="16"/>
      <c r="C558" s="16"/>
    </row>
    <row r="559" spans="1:3" x14ac:dyDescent="0.2">
      <c r="A559" s="109"/>
      <c r="B559" s="16"/>
      <c r="C559" s="16"/>
    </row>
    <row r="560" spans="1:3" x14ac:dyDescent="0.2">
      <c r="A560" s="109"/>
      <c r="B560" s="16"/>
      <c r="C560" s="16"/>
    </row>
    <row r="561" spans="1:3" x14ac:dyDescent="0.2">
      <c r="A561" s="109"/>
      <c r="B561" s="16"/>
      <c r="C561" s="16"/>
    </row>
    <row r="562" spans="1:3" x14ac:dyDescent="0.2">
      <c r="A562" s="109"/>
      <c r="B562" s="16"/>
      <c r="C562" s="16"/>
    </row>
    <row r="563" spans="1:3" x14ac:dyDescent="0.2">
      <c r="A563" s="109"/>
      <c r="B563" s="16"/>
      <c r="C563" s="16"/>
    </row>
    <row r="564" spans="1:3" x14ac:dyDescent="0.2">
      <c r="A564" s="109"/>
      <c r="B564" s="16"/>
      <c r="C564" s="16"/>
    </row>
    <row r="565" spans="1:3" x14ac:dyDescent="0.2">
      <c r="A565" s="109"/>
      <c r="B565" s="16"/>
      <c r="C565" s="16"/>
    </row>
    <row r="566" spans="1:3" x14ac:dyDescent="0.2">
      <c r="A566" s="109"/>
      <c r="B566" s="16"/>
      <c r="C566" s="16"/>
    </row>
    <row r="567" spans="1:3" x14ac:dyDescent="0.2">
      <c r="A567" s="109"/>
      <c r="B567" s="16"/>
      <c r="C567" s="16"/>
    </row>
    <row r="568" spans="1:3" x14ac:dyDescent="0.2">
      <c r="A568" s="109"/>
      <c r="B568" s="16"/>
      <c r="C568" s="16"/>
    </row>
    <row r="569" spans="1:3" x14ac:dyDescent="0.2">
      <c r="A569" s="109"/>
      <c r="B569" s="16"/>
      <c r="C569" s="16"/>
    </row>
    <row r="570" spans="1:3" x14ac:dyDescent="0.2">
      <c r="A570" s="109"/>
      <c r="B570" s="16"/>
      <c r="C570" s="16"/>
    </row>
    <row r="571" spans="1:3" x14ac:dyDescent="0.2">
      <c r="A571" s="109"/>
      <c r="B571" s="16"/>
      <c r="C571" s="16"/>
    </row>
    <row r="572" spans="1:3" x14ac:dyDescent="0.2">
      <c r="A572" s="109"/>
      <c r="B572" s="16"/>
      <c r="C572" s="16"/>
    </row>
    <row r="573" spans="1:3" x14ac:dyDescent="0.2">
      <c r="A573" s="109"/>
      <c r="B573" s="16"/>
      <c r="C573" s="16"/>
    </row>
    <row r="574" spans="1:3" x14ac:dyDescent="0.2">
      <c r="A574" s="109"/>
      <c r="B574" s="16"/>
      <c r="C574" s="16"/>
    </row>
    <row r="575" spans="1:3" x14ac:dyDescent="0.2">
      <c r="A575" s="109"/>
      <c r="B575" s="16"/>
      <c r="C575" s="16"/>
    </row>
    <row r="576" spans="1:3" x14ac:dyDescent="0.2">
      <c r="A576" s="109"/>
      <c r="B576" s="16"/>
      <c r="C576" s="16"/>
    </row>
    <row r="577" spans="1:3" x14ac:dyDescent="0.2">
      <c r="A577" s="109"/>
      <c r="B577" s="16"/>
      <c r="C577" s="16"/>
    </row>
    <row r="578" spans="1:3" x14ac:dyDescent="0.2">
      <c r="A578" s="109"/>
      <c r="B578" s="16"/>
      <c r="C578" s="16"/>
    </row>
    <row r="579" spans="1:3" x14ac:dyDescent="0.2">
      <c r="A579" s="109"/>
      <c r="B579" s="16"/>
      <c r="C579" s="16"/>
    </row>
    <row r="580" spans="1:3" x14ac:dyDescent="0.2">
      <c r="A580" s="109"/>
      <c r="B580" s="16"/>
      <c r="C580" s="16"/>
    </row>
    <row r="581" spans="1:3" x14ac:dyDescent="0.2">
      <c r="A581" s="109"/>
      <c r="B581" s="16"/>
      <c r="C581" s="16"/>
    </row>
    <row r="582" spans="1:3" x14ac:dyDescent="0.2">
      <c r="A582" s="109"/>
      <c r="B582" s="16"/>
      <c r="C582" s="16"/>
    </row>
    <row r="583" spans="1:3" x14ac:dyDescent="0.2">
      <c r="A583" s="109"/>
      <c r="B583" s="16"/>
      <c r="C583" s="16"/>
    </row>
    <row r="584" spans="1:3" x14ac:dyDescent="0.2">
      <c r="A584" s="109"/>
      <c r="B584" s="16"/>
      <c r="C584" s="16"/>
    </row>
    <row r="585" spans="1:3" x14ac:dyDescent="0.2">
      <c r="A585" s="109"/>
      <c r="B585" s="16"/>
      <c r="C585" s="16"/>
    </row>
    <row r="586" spans="1:3" x14ac:dyDescent="0.2">
      <c r="A586" s="109"/>
      <c r="B586" s="16"/>
      <c r="C586" s="16"/>
    </row>
    <row r="587" spans="1:3" x14ac:dyDescent="0.2">
      <c r="A587" s="109"/>
      <c r="B587" s="16"/>
      <c r="C587" s="16"/>
    </row>
    <row r="588" spans="1:3" x14ac:dyDescent="0.2">
      <c r="A588" s="109"/>
      <c r="B588" s="16"/>
      <c r="C588" s="16"/>
    </row>
    <row r="589" spans="1:3" x14ac:dyDescent="0.2">
      <c r="A589" s="109"/>
      <c r="B589" s="16"/>
      <c r="C589" s="16"/>
    </row>
    <row r="590" spans="1:3" x14ac:dyDescent="0.2">
      <c r="A590" s="109"/>
      <c r="B590" s="16"/>
      <c r="C590" s="16"/>
    </row>
    <row r="591" spans="1:3" x14ac:dyDescent="0.2">
      <c r="A591" s="109"/>
      <c r="B591" s="16"/>
      <c r="C591" s="16"/>
    </row>
    <row r="592" spans="1:3" x14ac:dyDescent="0.2">
      <c r="A592" s="109"/>
      <c r="B592" s="16"/>
      <c r="C592" s="16"/>
    </row>
    <row r="593" spans="1:3" x14ac:dyDescent="0.2">
      <c r="A593" s="109"/>
      <c r="B593" s="16"/>
      <c r="C593" s="16"/>
    </row>
    <row r="594" spans="1:3" x14ac:dyDescent="0.2">
      <c r="A594" s="109"/>
      <c r="B594" s="16"/>
      <c r="C594" s="16"/>
    </row>
    <row r="595" spans="1:3" x14ac:dyDescent="0.2">
      <c r="A595" s="109"/>
      <c r="B595" s="16"/>
      <c r="C595" s="16"/>
    </row>
    <row r="596" spans="1:3" x14ac:dyDescent="0.2">
      <c r="A596" s="109"/>
      <c r="B596" s="16"/>
      <c r="C596" s="16"/>
    </row>
    <row r="597" spans="1:3" x14ac:dyDescent="0.2">
      <c r="A597" s="109"/>
      <c r="B597" s="16"/>
      <c r="C597" s="16"/>
    </row>
    <row r="598" spans="1:3" x14ac:dyDescent="0.2">
      <c r="A598" s="109"/>
      <c r="B598" s="16"/>
      <c r="C598" s="16"/>
    </row>
    <row r="599" spans="1:3" x14ac:dyDescent="0.2">
      <c r="A599" s="109"/>
      <c r="B599" s="16"/>
      <c r="C599" s="16"/>
    </row>
    <row r="600" spans="1:3" x14ac:dyDescent="0.2">
      <c r="A600" s="109"/>
      <c r="B600" s="16"/>
      <c r="C600" s="16"/>
    </row>
    <row r="601" spans="1:3" x14ac:dyDescent="0.2">
      <c r="A601" s="109"/>
      <c r="B601" s="16"/>
      <c r="C601" s="16"/>
    </row>
    <row r="602" spans="1:3" x14ac:dyDescent="0.2">
      <c r="A602" s="109"/>
      <c r="B602" s="16"/>
      <c r="C602" s="16"/>
    </row>
    <row r="603" spans="1:3" x14ac:dyDescent="0.2">
      <c r="A603" s="109"/>
      <c r="B603" s="16"/>
      <c r="C603" s="16"/>
    </row>
    <row r="604" spans="1:3" x14ac:dyDescent="0.2">
      <c r="A604" s="109"/>
      <c r="B604" s="16"/>
      <c r="C604" s="16"/>
    </row>
    <row r="605" spans="1:3" x14ac:dyDescent="0.2">
      <c r="A605" s="109"/>
      <c r="B605" s="16"/>
      <c r="C605" s="16"/>
    </row>
    <row r="606" spans="1:3" x14ac:dyDescent="0.2">
      <c r="A606" s="109"/>
      <c r="B606" s="16"/>
      <c r="C606" s="16"/>
    </row>
    <row r="607" spans="1:3" x14ac:dyDescent="0.2">
      <c r="A607" s="109"/>
      <c r="B607" s="16"/>
      <c r="C607" s="16"/>
    </row>
    <row r="608" spans="1:3" x14ac:dyDescent="0.2">
      <c r="A608" s="109"/>
      <c r="B608" s="16"/>
      <c r="C608" s="16"/>
    </row>
    <row r="609" spans="1:3" x14ac:dyDescent="0.2">
      <c r="A609" s="109"/>
      <c r="B609" s="16"/>
      <c r="C609" s="16"/>
    </row>
    <row r="610" spans="1:3" x14ac:dyDescent="0.2">
      <c r="A610" s="109"/>
      <c r="B610" s="16"/>
      <c r="C610" s="16"/>
    </row>
    <row r="611" spans="1:3" x14ac:dyDescent="0.2">
      <c r="A611" s="109"/>
      <c r="B611" s="16"/>
      <c r="C611" s="16"/>
    </row>
    <row r="612" spans="1:3" x14ac:dyDescent="0.2">
      <c r="A612" s="109"/>
      <c r="B612" s="16"/>
      <c r="C612" s="16"/>
    </row>
    <row r="613" spans="1:3" x14ac:dyDescent="0.2">
      <c r="A613" s="109"/>
      <c r="B613" s="16"/>
      <c r="C613" s="16"/>
    </row>
    <row r="614" spans="1:3" x14ac:dyDescent="0.2">
      <c r="A614" s="109"/>
      <c r="B614" s="16"/>
      <c r="C614" s="16"/>
    </row>
    <row r="615" spans="1:3" x14ac:dyDescent="0.2">
      <c r="A615" s="109"/>
      <c r="B615" s="16"/>
      <c r="C615" s="16"/>
    </row>
    <row r="616" spans="1:3" x14ac:dyDescent="0.2">
      <c r="A616" s="109"/>
      <c r="B616" s="16"/>
      <c r="C616" s="16"/>
    </row>
    <row r="617" spans="1:3" x14ac:dyDescent="0.2">
      <c r="A617" s="109"/>
      <c r="B617" s="16"/>
      <c r="C617" s="16"/>
    </row>
    <row r="618" spans="1:3" x14ac:dyDescent="0.2">
      <c r="A618" s="109"/>
      <c r="B618" s="16"/>
      <c r="C618" s="16"/>
    </row>
    <row r="619" spans="1:3" x14ac:dyDescent="0.2">
      <c r="A619" s="109"/>
      <c r="B619" s="16"/>
      <c r="C619" s="16"/>
    </row>
    <row r="620" spans="1:3" x14ac:dyDescent="0.2">
      <c r="A620" s="109"/>
      <c r="B620" s="16"/>
      <c r="C620" s="16"/>
    </row>
    <row r="621" spans="1:3" x14ac:dyDescent="0.2">
      <c r="A621" s="109"/>
      <c r="B621" s="16"/>
      <c r="C621" s="16"/>
    </row>
    <row r="622" spans="1:3" x14ac:dyDescent="0.2">
      <c r="A622" s="109"/>
      <c r="B622" s="16"/>
      <c r="C622" s="16"/>
    </row>
    <row r="623" spans="1:3" x14ac:dyDescent="0.2">
      <c r="A623" s="109"/>
      <c r="B623" s="16"/>
      <c r="C623" s="16"/>
    </row>
    <row r="624" spans="1:3" x14ac:dyDescent="0.2">
      <c r="A624" s="109"/>
      <c r="B624" s="16"/>
      <c r="C624" s="16"/>
    </row>
    <row r="625" spans="1:3" x14ac:dyDescent="0.2">
      <c r="A625" s="109"/>
      <c r="B625" s="16"/>
      <c r="C625" s="16"/>
    </row>
    <row r="626" spans="1:3" x14ac:dyDescent="0.2">
      <c r="A626" s="109"/>
      <c r="B626" s="16"/>
      <c r="C626" s="16"/>
    </row>
    <row r="627" spans="1:3" x14ac:dyDescent="0.2">
      <c r="A627" s="109"/>
      <c r="B627" s="16"/>
      <c r="C627" s="16"/>
    </row>
    <row r="628" spans="1:3" x14ac:dyDescent="0.2">
      <c r="A628" s="109"/>
      <c r="B628" s="16"/>
      <c r="C628" s="16"/>
    </row>
    <row r="629" spans="1:3" x14ac:dyDescent="0.2">
      <c r="A629" s="109"/>
      <c r="B629" s="16"/>
      <c r="C629" s="16"/>
    </row>
    <row r="630" spans="1:3" x14ac:dyDescent="0.2">
      <c r="A630" s="109"/>
      <c r="B630" s="16"/>
      <c r="C630" s="16"/>
    </row>
    <row r="631" spans="1:3" x14ac:dyDescent="0.2">
      <c r="A631" s="109"/>
      <c r="B631" s="16"/>
      <c r="C631" s="16"/>
    </row>
    <row r="632" spans="1:3" x14ac:dyDescent="0.2">
      <c r="A632" s="109"/>
      <c r="B632" s="16"/>
      <c r="C632" s="16"/>
    </row>
    <row r="633" spans="1:3" x14ac:dyDescent="0.2">
      <c r="A633" s="109"/>
      <c r="B633" s="16"/>
      <c r="C633" s="16"/>
    </row>
    <row r="634" spans="1:3" x14ac:dyDescent="0.2">
      <c r="A634" s="109"/>
      <c r="B634" s="16"/>
      <c r="C634" s="16"/>
    </row>
    <row r="635" spans="1:3" x14ac:dyDescent="0.2">
      <c r="A635" s="109"/>
      <c r="B635" s="16"/>
      <c r="C635" s="16"/>
    </row>
    <row r="636" spans="1:3" x14ac:dyDescent="0.2">
      <c r="A636" s="109"/>
      <c r="B636" s="16"/>
      <c r="C636" s="16"/>
    </row>
    <row r="637" spans="1:3" x14ac:dyDescent="0.2">
      <c r="A637" s="109"/>
      <c r="B637" s="16"/>
      <c r="C637" s="16"/>
    </row>
    <row r="638" spans="1:3" x14ac:dyDescent="0.2">
      <c r="A638" s="109"/>
      <c r="B638" s="16"/>
      <c r="C638" s="16"/>
    </row>
    <row r="639" spans="1:3" x14ac:dyDescent="0.2">
      <c r="A639" s="109"/>
      <c r="B639" s="16"/>
      <c r="C639" s="16"/>
    </row>
    <row r="640" spans="1:3" x14ac:dyDescent="0.2">
      <c r="A640" s="109"/>
      <c r="B640" s="16"/>
      <c r="C640" s="16"/>
    </row>
    <row r="641" spans="1:3" x14ac:dyDescent="0.2">
      <c r="A641" s="109"/>
      <c r="B641" s="16"/>
      <c r="C641" s="16"/>
    </row>
    <row r="642" spans="1:3" x14ac:dyDescent="0.2">
      <c r="A642" s="109"/>
      <c r="B642" s="16"/>
      <c r="C642" s="16"/>
    </row>
    <row r="643" spans="1:3" x14ac:dyDescent="0.2">
      <c r="A643" s="109"/>
      <c r="B643" s="16"/>
      <c r="C643" s="16"/>
    </row>
    <row r="644" spans="1:3" x14ac:dyDescent="0.2">
      <c r="A644" s="109"/>
      <c r="B644" s="16"/>
      <c r="C644" s="16"/>
    </row>
    <row r="645" spans="1:3" x14ac:dyDescent="0.2">
      <c r="A645" s="109"/>
      <c r="B645" s="16"/>
      <c r="C645" s="16"/>
    </row>
    <row r="646" spans="1:3" x14ac:dyDescent="0.2">
      <c r="A646" s="109"/>
      <c r="B646" s="16"/>
      <c r="C646" s="16"/>
    </row>
    <row r="647" spans="1:3" x14ac:dyDescent="0.2">
      <c r="A647" s="109"/>
      <c r="B647" s="16"/>
      <c r="C647" s="16"/>
    </row>
    <row r="648" spans="1:3" x14ac:dyDescent="0.2">
      <c r="A648" s="109"/>
      <c r="B648" s="16"/>
      <c r="C648" s="16"/>
    </row>
    <row r="649" spans="1:3" x14ac:dyDescent="0.2">
      <c r="A649" s="109"/>
      <c r="B649" s="16"/>
      <c r="C649" s="16"/>
    </row>
    <row r="650" spans="1:3" x14ac:dyDescent="0.2">
      <c r="A650" s="109"/>
      <c r="B650" s="16"/>
      <c r="C650" s="16"/>
    </row>
    <row r="651" spans="1:3" x14ac:dyDescent="0.2">
      <c r="A651" s="109"/>
      <c r="B651" s="16"/>
      <c r="C651" s="16"/>
    </row>
    <row r="652" spans="1:3" x14ac:dyDescent="0.2">
      <c r="A652" s="109"/>
      <c r="B652" s="16"/>
      <c r="C652" s="16"/>
    </row>
    <row r="653" spans="1:3" x14ac:dyDescent="0.2">
      <c r="A653" s="109"/>
      <c r="B653" s="16"/>
      <c r="C653" s="16"/>
    </row>
    <row r="654" spans="1:3" x14ac:dyDescent="0.2">
      <c r="A654" s="109"/>
      <c r="B654" s="16"/>
      <c r="C654" s="16"/>
    </row>
    <row r="655" spans="1:3" x14ac:dyDescent="0.2">
      <c r="A655" s="109"/>
      <c r="B655" s="16"/>
      <c r="C655" s="16"/>
    </row>
    <row r="656" spans="1:3" x14ac:dyDescent="0.2">
      <c r="A656" s="109"/>
      <c r="B656" s="16"/>
      <c r="C656" s="16"/>
    </row>
    <row r="657" spans="1:3" x14ac:dyDescent="0.2">
      <c r="A657" s="109"/>
      <c r="B657" s="16"/>
      <c r="C657" s="16"/>
    </row>
    <row r="658" spans="1:3" x14ac:dyDescent="0.2">
      <c r="A658" s="109"/>
      <c r="B658" s="16"/>
      <c r="C658" s="16"/>
    </row>
    <row r="659" spans="1:3" x14ac:dyDescent="0.2">
      <c r="A659" s="109"/>
      <c r="B659" s="16"/>
      <c r="C659" s="16"/>
    </row>
    <row r="660" spans="1:3" x14ac:dyDescent="0.2">
      <c r="A660" s="109"/>
      <c r="B660" s="16"/>
      <c r="C660" s="16"/>
    </row>
    <row r="661" spans="1:3" x14ac:dyDescent="0.2">
      <c r="A661" s="109"/>
      <c r="B661" s="16"/>
      <c r="C661" s="16"/>
    </row>
    <row r="662" spans="1:3" x14ac:dyDescent="0.2">
      <c r="A662" s="109"/>
      <c r="B662" s="16"/>
      <c r="C662" s="16"/>
    </row>
    <row r="663" spans="1:3" x14ac:dyDescent="0.2">
      <c r="A663" s="109"/>
      <c r="B663" s="16"/>
      <c r="C663" s="16"/>
    </row>
    <row r="664" spans="1:3" x14ac:dyDescent="0.2">
      <c r="A664" s="109"/>
      <c r="B664" s="16"/>
      <c r="C664" s="16"/>
    </row>
    <row r="665" spans="1:3" x14ac:dyDescent="0.2">
      <c r="A665" s="109"/>
      <c r="B665" s="16"/>
      <c r="C665" s="16"/>
    </row>
    <row r="666" spans="1:3" x14ac:dyDescent="0.2">
      <c r="A666" s="109"/>
      <c r="B666" s="16"/>
      <c r="C666" s="16"/>
    </row>
    <row r="667" spans="1:3" x14ac:dyDescent="0.2">
      <c r="A667" s="109"/>
      <c r="B667" s="16"/>
      <c r="C667" s="16"/>
    </row>
    <row r="668" spans="1:3" x14ac:dyDescent="0.2">
      <c r="A668" s="109"/>
      <c r="B668" s="16"/>
      <c r="C668" s="16"/>
    </row>
    <row r="669" spans="1:3" x14ac:dyDescent="0.2">
      <c r="A669" s="109"/>
      <c r="B669" s="16"/>
      <c r="C669" s="16"/>
    </row>
    <row r="670" spans="1:3" x14ac:dyDescent="0.2">
      <c r="A670" s="109"/>
      <c r="B670" s="16"/>
      <c r="C670" s="16"/>
    </row>
    <row r="671" spans="1:3" x14ac:dyDescent="0.2">
      <c r="A671" s="109"/>
      <c r="B671" s="16"/>
      <c r="C671" s="16"/>
    </row>
    <row r="672" spans="1:3" x14ac:dyDescent="0.2">
      <c r="A672" s="109"/>
      <c r="B672" s="16"/>
      <c r="C672" s="16"/>
    </row>
    <row r="673" spans="1:3" x14ac:dyDescent="0.2">
      <c r="A673" s="109"/>
      <c r="B673" s="16"/>
      <c r="C673" s="16"/>
    </row>
    <row r="674" spans="1:3" x14ac:dyDescent="0.2">
      <c r="A674" s="109"/>
      <c r="B674" s="16"/>
      <c r="C674" s="16"/>
    </row>
    <row r="675" spans="1:3" x14ac:dyDescent="0.2">
      <c r="A675" s="109"/>
      <c r="B675" s="16"/>
      <c r="C675" s="16"/>
    </row>
    <row r="676" spans="1:3" x14ac:dyDescent="0.2">
      <c r="A676" s="109"/>
      <c r="B676" s="16"/>
      <c r="C676" s="16"/>
    </row>
    <row r="677" spans="1:3" x14ac:dyDescent="0.2">
      <c r="A677" s="109"/>
      <c r="B677" s="16"/>
      <c r="C677" s="16"/>
    </row>
    <row r="678" spans="1:3" x14ac:dyDescent="0.2">
      <c r="A678" s="109"/>
      <c r="B678" s="16"/>
      <c r="C678" s="16"/>
    </row>
    <row r="679" spans="1:3" x14ac:dyDescent="0.2">
      <c r="A679" s="109"/>
      <c r="B679" s="16"/>
      <c r="C679" s="16"/>
    </row>
    <row r="680" spans="1:3" x14ac:dyDescent="0.2">
      <c r="A680" s="109"/>
      <c r="B680" s="16"/>
      <c r="C680" s="16"/>
    </row>
    <row r="681" spans="1:3" x14ac:dyDescent="0.2">
      <c r="A681" s="109"/>
      <c r="B681" s="16"/>
      <c r="C681" s="16"/>
    </row>
    <row r="682" spans="1:3" x14ac:dyDescent="0.2">
      <c r="A682" s="109"/>
      <c r="B682" s="16"/>
      <c r="C682" s="16"/>
    </row>
    <row r="683" spans="1:3" x14ac:dyDescent="0.2">
      <c r="A683" s="109"/>
      <c r="B683" s="16"/>
      <c r="C683" s="16"/>
    </row>
    <row r="684" spans="1:3" x14ac:dyDescent="0.2">
      <c r="A684" s="109"/>
      <c r="B684" s="16"/>
      <c r="C684" s="16"/>
    </row>
    <row r="685" spans="1:3" x14ac:dyDescent="0.2">
      <c r="A685" s="109"/>
      <c r="B685" s="16"/>
      <c r="C685" s="16"/>
    </row>
    <row r="686" spans="1:3" x14ac:dyDescent="0.2">
      <c r="A686" s="109"/>
      <c r="B686" s="16"/>
      <c r="C686" s="16"/>
    </row>
    <row r="687" spans="1:3" x14ac:dyDescent="0.2">
      <c r="A687" s="109"/>
      <c r="B687" s="16"/>
      <c r="C687" s="16"/>
    </row>
    <row r="688" spans="1:3" x14ac:dyDescent="0.2">
      <c r="A688" s="109"/>
      <c r="B688" s="16"/>
      <c r="C688" s="16"/>
    </row>
    <row r="689" spans="1:3" x14ac:dyDescent="0.2">
      <c r="A689" s="109"/>
      <c r="B689" s="16"/>
      <c r="C689" s="16"/>
    </row>
    <row r="690" spans="1:3" x14ac:dyDescent="0.2">
      <c r="A690" s="109"/>
      <c r="B690" s="16"/>
      <c r="C690" s="16"/>
    </row>
    <row r="691" spans="1:3" x14ac:dyDescent="0.2">
      <c r="A691" s="109"/>
      <c r="B691" s="16"/>
      <c r="C691" s="16"/>
    </row>
    <row r="692" spans="1:3" x14ac:dyDescent="0.2">
      <c r="A692" s="109"/>
      <c r="B692" s="16"/>
      <c r="C692" s="16"/>
    </row>
    <row r="693" spans="1:3" x14ac:dyDescent="0.2">
      <c r="A693" s="109"/>
      <c r="B693" s="16"/>
      <c r="C693" s="16"/>
    </row>
    <row r="694" spans="1:3" x14ac:dyDescent="0.2">
      <c r="A694" s="109"/>
      <c r="B694" s="16"/>
      <c r="C694" s="16"/>
    </row>
    <row r="695" spans="1:3" x14ac:dyDescent="0.2">
      <c r="A695" s="109"/>
      <c r="B695" s="16"/>
      <c r="C695" s="16"/>
    </row>
    <row r="696" spans="1:3" x14ac:dyDescent="0.2">
      <c r="A696" s="109"/>
      <c r="B696" s="16"/>
      <c r="C696" s="16"/>
    </row>
    <row r="697" spans="1:3" x14ac:dyDescent="0.2">
      <c r="A697" s="109"/>
      <c r="B697" s="16"/>
      <c r="C697" s="16"/>
    </row>
    <row r="698" spans="1:3" x14ac:dyDescent="0.2">
      <c r="A698" s="109"/>
      <c r="B698" s="16"/>
      <c r="C698" s="16"/>
    </row>
    <row r="699" spans="1:3" x14ac:dyDescent="0.2">
      <c r="A699" s="109"/>
      <c r="B699" s="16"/>
      <c r="C699" s="16"/>
    </row>
    <row r="700" spans="1:3" x14ac:dyDescent="0.2">
      <c r="A700" s="109"/>
      <c r="B700" s="16"/>
      <c r="C700" s="16"/>
    </row>
    <row r="701" spans="1:3" x14ac:dyDescent="0.2">
      <c r="A701" s="109"/>
      <c r="B701" s="16"/>
      <c r="C701" s="16"/>
    </row>
    <row r="702" spans="1:3" x14ac:dyDescent="0.2">
      <c r="A702" s="109"/>
      <c r="B702" s="16"/>
      <c r="C702" s="16"/>
    </row>
    <row r="703" spans="1:3" x14ac:dyDescent="0.2">
      <c r="A703" s="109"/>
      <c r="B703" s="16"/>
      <c r="C703" s="16"/>
    </row>
    <row r="704" spans="1:3" x14ac:dyDescent="0.2">
      <c r="A704" s="109"/>
      <c r="B704" s="16"/>
      <c r="C704" s="16"/>
    </row>
    <row r="705" spans="1:3" x14ac:dyDescent="0.2">
      <c r="A705" s="109"/>
      <c r="B705" s="16"/>
      <c r="C705" s="16"/>
    </row>
    <row r="706" spans="1:3" x14ac:dyDescent="0.2">
      <c r="A706" s="109"/>
      <c r="B706" s="16"/>
      <c r="C706" s="16"/>
    </row>
    <row r="707" spans="1:3" x14ac:dyDescent="0.2">
      <c r="A707" s="109"/>
      <c r="B707" s="16"/>
      <c r="C707" s="16"/>
    </row>
    <row r="708" spans="1:3" x14ac:dyDescent="0.2">
      <c r="A708" s="109"/>
      <c r="B708" s="16"/>
      <c r="C708" s="16"/>
    </row>
    <row r="709" spans="1:3" x14ac:dyDescent="0.2">
      <c r="A709" s="109"/>
      <c r="B709" s="16"/>
      <c r="C709" s="16"/>
    </row>
    <row r="710" spans="1:3" x14ac:dyDescent="0.2">
      <c r="A710" s="109"/>
      <c r="B710" s="16"/>
      <c r="C710" s="16"/>
    </row>
    <row r="711" spans="1:3" x14ac:dyDescent="0.2">
      <c r="A711" s="109"/>
      <c r="B711" s="16"/>
      <c r="C711" s="16"/>
    </row>
    <row r="712" spans="1:3" x14ac:dyDescent="0.2">
      <c r="A712" s="109"/>
      <c r="B712" s="16"/>
      <c r="C712" s="16"/>
    </row>
    <row r="713" spans="1:3" x14ac:dyDescent="0.2">
      <c r="A713" s="109"/>
      <c r="B713" s="16"/>
      <c r="C713" s="16"/>
    </row>
    <row r="714" spans="1:3" x14ac:dyDescent="0.2">
      <c r="A714" s="109"/>
      <c r="B714" s="16"/>
      <c r="C714" s="16"/>
    </row>
    <row r="715" spans="1:3" x14ac:dyDescent="0.2">
      <c r="A715" s="109"/>
      <c r="B715" s="16"/>
      <c r="C715" s="16"/>
    </row>
    <row r="716" spans="1:3" x14ac:dyDescent="0.2">
      <c r="A716" s="109"/>
      <c r="B716" s="16"/>
      <c r="C716" s="16"/>
    </row>
    <row r="717" spans="1:3" x14ac:dyDescent="0.2">
      <c r="A717" s="109"/>
      <c r="B717" s="16"/>
      <c r="C717" s="16"/>
    </row>
    <row r="718" spans="1:3" x14ac:dyDescent="0.2">
      <c r="A718" s="109"/>
      <c r="B718" s="16"/>
      <c r="C718" s="16"/>
    </row>
    <row r="719" spans="1:3" x14ac:dyDescent="0.2">
      <c r="A719" s="109"/>
      <c r="B719" s="16"/>
      <c r="C719" s="16"/>
    </row>
    <row r="720" spans="1:3" x14ac:dyDescent="0.2">
      <c r="A720" s="109"/>
      <c r="B720" s="16"/>
      <c r="C720" s="16"/>
    </row>
    <row r="721" spans="1:3" x14ac:dyDescent="0.2">
      <c r="A721" s="109"/>
      <c r="B721" s="16"/>
      <c r="C721" s="16"/>
    </row>
    <row r="722" spans="1:3" x14ac:dyDescent="0.2">
      <c r="A722" s="109"/>
      <c r="B722" s="16"/>
      <c r="C722" s="16"/>
    </row>
    <row r="723" spans="1:3" x14ac:dyDescent="0.2">
      <c r="A723" s="109"/>
      <c r="B723" s="16"/>
      <c r="C723" s="16"/>
    </row>
    <row r="724" spans="1:3" x14ac:dyDescent="0.2">
      <c r="A724" s="109"/>
      <c r="B724" s="16"/>
      <c r="C724" s="16"/>
    </row>
    <row r="725" spans="1:3" x14ac:dyDescent="0.2">
      <c r="A725" s="109"/>
      <c r="B725" s="16"/>
      <c r="C725" s="16"/>
    </row>
    <row r="726" spans="1:3" x14ac:dyDescent="0.2">
      <c r="A726" s="109"/>
      <c r="B726" s="16"/>
      <c r="C726" s="16"/>
    </row>
    <row r="727" spans="1:3" x14ac:dyDescent="0.2">
      <c r="A727" s="109"/>
      <c r="B727" s="16"/>
      <c r="C727" s="16"/>
    </row>
    <row r="728" spans="1:3" x14ac:dyDescent="0.2">
      <c r="A728" s="109"/>
      <c r="B728" s="16"/>
      <c r="C728" s="16"/>
    </row>
    <row r="729" spans="1:3" x14ac:dyDescent="0.2">
      <c r="A729" s="109"/>
      <c r="B729" s="16"/>
      <c r="C729" s="16"/>
    </row>
    <row r="730" spans="1:3" x14ac:dyDescent="0.2">
      <c r="A730" s="109"/>
      <c r="B730" s="16"/>
      <c r="C730" s="16"/>
    </row>
    <row r="731" spans="1:3" x14ac:dyDescent="0.2">
      <c r="A731" s="109"/>
      <c r="B731" s="16"/>
      <c r="C731" s="16"/>
    </row>
    <row r="732" spans="1:3" x14ac:dyDescent="0.2">
      <c r="A732" s="109"/>
      <c r="B732" s="16"/>
      <c r="C732" s="16"/>
    </row>
    <row r="733" spans="1:3" x14ac:dyDescent="0.2">
      <c r="A733" s="109"/>
      <c r="B733" s="16"/>
      <c r="C733" s="16"/>
    </row>
    <row r="734" spans="1:3" x14ac:dyDescent="0.2">
      <c r="A734" s="109"/>
      <c r="B734" s="16"/>
      <c r="C734" s="16"/>
    </row>
    <row r="735" spans="1:3" x14ac:dyDescent="0.2">
      <c r="A735" s="109"/>
      <c r="B735" s="16"/>
      <c r="C735" s="16"/>
    </row>
    <row r="736" spans="1:3" x14ac:dyDescent="0.2">
      <c r="A736" s="109"/>
      <c r="B736" s="16"/>
      <c r="C736" s="16"/>
    </row>
    <row r="737" spans="1:3" x14ac:dyDescent="0.2">
      <c r="A737" s="109"/>
      <c r="B737" s="16"/>
      <c r="C737" s="16"/>
    </row>
    <row r="738" spans="1:3" x14ac:dyDescent="0.2">
      <c r="A738" s="109"/>
      <c r="B738" s="16"/>
      <c r="C738" s="16"/>
    </row>
    <row r="739" spans="1:3" x14ac:dyDescent="0.2">
      <c r="A739" s="109"/>
      <c r="B739" s="16"/>
      <c r="C739" s="16"/>
    </row>
    <row r="740" spans="1:3" x14ac:dyDescent="0.2">
      <c r="A740" s="109"/>
      <c r="B740" s="16"/>
      <c r="C740" s="16"/>
    </row>
    <row r="741" spans="1:3" x14ac:dyDescent="0.2">
      <c r="A741" s="109"/>
      <c r="B741" s="16"/>
      <c r="C741" s="16"/>
    </row>
    <row r="742" spans="1:3" x14ac:dyDescent="0.2">
      <c r="A742" s="109"/>
      <c r="B742" s="16"/>
      <c r="C742" s="16"/>
    </row>
    <row r="743" spans="1:3" x14ac:dyDescent="0.2">
      <c r="A743" s="109"/>
      <c r="B743" s="16"/>
      <c r="C743" s="16"/>
    </row>
    <row r="744" spans="1:3" x14ac:dyDescent="0.2">
      <c r="A744" s="109"/>
      <c r="B744" s="16"/>
      <c r="C744" s="16"/>
    </row>
    <row r="745" spans="1:3" x14ac:dyDescent="0.2">
      <c r="A745" s="109"/>
      <c r="B745" s="16"/>
      <c r="C745" s="16"/>
    </row>
    <row r="746" spans="1:3" x14ac:dyDescent="0.2">
      <c r="A746" s="109"/>
      <c r="B746" s="16"/>
      <c r="C746" s="16"/>
    </row>
    <row r="747" spans="1:3" x14ac:dyDescent="0.2">
      <c r="A747" s="109"/>
      <c r="B747" s="16"/>
      <c r="C747" s="16"/>
    </row>
    <row r="748" spans="1:3" x14ac:dyDescent="0.2">
      <c r="A748" s="109"/>
      <c r="B748" s="16"/>
      <c r="C748" s="16"/>
    </row>
    <row r="749" spans="1:3" x14ac:dyDescent="0.2">
      <c r="A749" s="109"/>
      <c r="B749" s="16"/>
      <c r="C749" s="16"/>
    </row>
    <row r="750" spans="1:3" x14ac:dyDescent="0.2">
      <c r="A750" s="109"/>
      <c r="B750" s="16"/>
      <c r="C750" s="16"/>
    </row>
    <row r="751" spans="1:3" x14ac:dyDescent="0.2">
      <c r="A751" s="109"/>
      <c r="B751" s="16"/>
      <c r="C751" s="16"/>
    </row>
    <row r="752" spans="1:3" x14ac:dyDescent="0.2">
      <c r="A752" s="109"/>
      <c r="B752" s="16"/>
      <c r="C752" s="16"/>
    </row>
    <row r="753" spans="1:3" x14ac:dyDescent="0.2">
      <c r="A753" s="109"/>
      <c r="B753" s="16"/>
      <c r="C753" s="16"/>
    </row>
    <row r="754" spans="1:3" x14ac:dyDescent="0.2">
      <c r="A754" s="109"/>
      <c r="B754" s="16"/>
      <c r="C754" s="16"/>
    </row>
    <row r="755" spans="1:3" x14ac:dyDescent="0.2">
      <c r="A755" s="109"/>
      <c r="B755" s="16"/>
      <c r="C755" s="16"/>
    </row>
    <row r="756" spans="1:3" x14ac:dyDescent="0.2">
      <c r="A756" s="109"/>
      <c r="B756" s="16"/>
      <c r="C756" s="16"/>
    </row>
    <row r="757" spans="1:3" x14ac:dyDescent="0.2">
      <c r="A757" s="109"/>
      <c r="B757" s="16"/>
      <c r="C757" s="16"/>
    </row>
    <row r="758" spans="1:3" x14ac:dyDescent="0.2">
      <c r="A758" s="109"/>
      <c r="B758" s="16"/>
      <c r="C758" s="16"/>
    </row>
    <row r="759" spans="1:3" x14ac:dyDescent="0.2">
      <c r="A759" s="109"/>
      <c r="B759" s="16"/>
      <c r="C759" s="16"/>
    </row>
    <row r="760" spans="1:3" x14ac:dyDescent="0.2">
      <c r="A760" s="109"/>
      <c r="B760" s="16"/>
      <c r="C760" s="16"/>
    </row>
    <row r="761" spans="1:3" x14ac:dyDescent="0.2">
      <c r="A761" s="109"/>
      <c r="B761" s="16"/>
      <c r="C761" s="16"/>
    </row>
    <row r="762" spans="1:3" x14ac:dyDescent="0.2">
      <c r="A762" s="109"/>
      <c r="B762" s="16"/>
      <c r="C762" s="16"/>
    </row>
    <row r="763" spans="1:3" x14ac:dyDescent="0.2">
      <c r="A763" s="109"/>
      <c r="B763" s="16"/>
      <c r="C763" s="16"/>
    </row>
    <row r="764" spans="1:3" x14ac:dyDescent="0.2">
      <c r="A764" s="109"/>
      <c r="B764" s="16"/>
      <c r="C764" s="16"/>
    </row>
    <row r="765" spans="1:3" x14ac:dyDescent="0.2">
      <c r="A765" s="109"/>
      <c r="B765" s="16"/>
      <c r="C765" s="16"/>
    </row>
    <row r="766" spans="1:3" x14ac:dyDescent="0.2">
      <c r="A766" s="109"/>
      <c r="B766" s="16"/>
      <c r="C766" s="16"/>
    </row>
    <row r="767" spans="1:3" x14ac:dyDescent="0.2">
      <c r="A767" s="109"/>
      <c r="B767" s="16"/>
      <c r="C767" s="16"/>
    </row>
    <row r="768" spans="1:3" x14ac:dyDescent="0.2">
      <c r="A768" s="109"/>
      <c r="B768" s="16"/>
      <c r="C768" s="16"/>
    </row>
    <row r="769" spans="1:3" x14ac:dyDescent="0.2">
      <c r="A769" s="109"/>
      <c r="B769" s="16"/>
      <c r="C769" s="16"/>
    </row>
    <row r="770" spans="1:3" x14ac:dyDescent="0.2">
      <c r="A770" s="109"/>
      <c r="B770" s="16"/>
      <c r="C770" s="16"/>
    </row>
    <row r="771" spans="1:3" x14ac:dyDescent="0.2">
      <c r="A771" s="109"/>
      <c r="B771" s="16"/>
      <c r="C771" s="16"/>
    </row>
    <row r="772" spans="1:3" x14ac:dyDescent="0.2">
      <c r="A772" s="109"/>
      <c r="B772" s="16"/>
      <c r="C772" s="16"/>
    </row>
    <row r="773" spans="1:3" x14ac:dyDescent="0.2">
      <c r="A773" s="109"/>
      <c r="B773" s="16"/>
      <c r="C773" s="16"/>
    </row>
    <row r="774" spans="1:3" x14ac:dyDescent="0.2">
      <c r="A774" s="109"/>
      <c r="B774" s="16"/>
      <c r="C774" s="16"/>
    </row>
    <row r="775" spans="1:3" x14ac:dyDescent="0.2">
      <c r="A775" s="109"/>
      <c r="B775" s="16"/>
      <c r="C775" s="16"/>
    </row>
    <row r="776" spans="1:3" x14ac:dyDescent="0.2">
      <c r="A776" s="109"/>
      <c r="B776" s="16"/>
      <c r="C776" s="16"/>
    </row>
    <row r="777" spans="1:3" x14ac:dyDescent="0.2">
      <c r="A777" s="109"/>
      <c r="B777" s="16"/>
      <c r="C777" s="16"/>
    </row>
    <row r="778" spans="1:3" x14ac:dyDescent="0.2">
      <c r="A778" s="109"/>
      <c r="B778" s="16"/>
      <c r="C778" s="16"/>
    </row>
    <row r="779" spans="1:3" x14ac:dyDescent="0.2">
      <c r="A779" s="109"/>
      <c r="B779" s="16"/>
      <c r="C779" s="16"/>
    </row>
    <row r="780" spans="1:3" x14ac:dyDescent="0.2">
      <c r="A780" s="109"/>
      <c r="B780" s="16"/>
      <c r="C780" s="16"/>
    </row>
    <row r="781" spans="1:3" x14ac:dyDescent="0.2">
      <c r="A781" s="109"/>
      <c r="B781" s="16"/>
      <c r="C781" s="16"/>
    </row>
    <row r="782" spans="1:3" x14ac:dyDescent="0.2">
      <c r="A782" s="109"/>
      <c r="B782" s="16"/>
      <c r="C782" s="16"/>
    </row>
    <row r="783" spans="1:3" x14ac:dyDescent="0.2">
      <c r="A783" s="109"/>
      <c r="B783" s="16"/>
      <c r="C783" s="16"/>
    </row>
    <row r="784" spans="1:3" x14ac:dyDescent="0.2">
      <c r="A784" s="109"/>
      <c r="B784" s="16"/>
      <c r="C784" s="16"/>
    </row>
    <row r="785" spans="1:3" x14ac:dyDescent="0.2">
      <c r="A785" s="109"/>
      <c r="B785" s="16"/>
      <c r="C785" s="16"/>
    </row>
    <row r="786" spans="1:3" x14ac:dyDescent="0.2">
      <c r="A786" s="109"/>
      <c r="B786" s="16"/>
      <c r="C786" s="16"/>
    </row>
    <row r="787" spans="1:3" x14ac:dyDescent="0.2">
      <c r="A787" s="109"/>
      <c r="B787" s="16"/>
      <c r="C787" s="16"/>
    </row>
    <row r="788" spans="1:3" x14ac:dyDescent="0.2">
      <c r="A788" s="109"/>
      <c r="B788" s="16"/>
      <c r="C788" s="16"/>
    </row>
    <row r="789" spans="1:3" x14ac:dyDescent="0.2">
      <c r="A789" s="109"/>
      <c r="B789" s="16"/>
      <c r="C789" s="16"/>
    </row>
    <row r="790" spans="1:3" x14ac:dyDescent="0.2">
      <c r="A790" s="109"/>
      <c r="B790" s="16"/>
      <c r="C790" s="16"/>
    </row>
    <row r="791" spans="1:3" x14ac:dyDescent="0.2">
      <c r="A791" s="109"/>
      <c r="B791" s="16"/>
      <c r="C791" s="16"/>
    </row>
    <row r="792" spans="1:3" x14ac:dyDescent="0.2">
      <c r="A792" s="109"/>
      <c r="B792" s="16"/>
      <c r="C792" s="16"/>
    </row>
    <row r="793" spans="1:3" x14ac:dyDescent="0.2">
      <c r="A793" s="109"/>
      <c r="B793" s="16"/>
      <c r="C793" s="16"/>
    </row>
    <row r="794" spans="1:3" x14ac:dyDescent="0.2">
      <c r="A794" s="109"/>
      <c r="B794" s="16"/>
      <c r="C794" s="16"/>
    </row>
    <row r="795" spans="1:3" x14ac:dyDescent="0.2">
      <c r="A795" s="109"/>
      <c r="B795" s="16"/>
      <c r="C795" s="16"/>
    </row>
    <row r="796" spans="1:3" x14ac:dyDescent="0.2">
      <c r="A796" s="109"/>
      <c r="B796" s="16"/>
      <c r="C796" s="16"/>
    </row>
    <row r="797" spans="1:3" x14ac:dyDescent="0.2">
      <c r="A797" s="109"/>
      <c r="B797" s="16"/>
      <c r="C797" s="16"/>
    </row>
    <row r="798" spans="1:3" x14ac:dyDescent="0.2">
      <c r="A798" s="109"/>
      <c r="B798" s="16"/>
      <c r="C798" s="16"/>
    </row>
    <row r="799" spans="1:3" x14ac:dyDescent="0.2">
      <c r="A799" s="109"/>
      <c r="B799" s="16"/>
      <c r="C799" s="16"/>
    </row>
    <row r="800" spans="1:3" x14ac:dyDescent="0.2">
      <c r="A800" s="109"/>
      <c r="B800" s="16"/>
      <c r="C800" s="16"/>
    </row>
    <row r="801" spans="1:3" x14ac:dyDescent="0.2">
      <c r="A801" s="109"/>
      <c r="B801" s="16"/>
      <c r="C801" s="16"/>
    </row>
    <row r="802" spans="1:3" x14ac:dyDescent="0.2">
      <c r="A802" s="109"/>
      <c r="B802" s="16"/>
      <c r="C802" s="16"/>
    </row>
    <row r="803" spans="1:3" x14ac:dyDescent="0.2">
      <c r="A803" s="109"/>
      <c r="B803" s="16"/>
      <c r="C803" s="16"/>
    </row>
    <row r="804" spans="1:3" x14ac:dyDescent="0.2">
      <c r="A804" s="109"/>
      <c r="B804" s="16"/>
      <c r="C804" s="16"/>
    </row>
    <row r="805" spans="1:3" x14ac:dyDescent="0.2">
      <c r="A805" s="109"/>
      <c r="B805" s="16"/>
      <c r="C805" s="16"/>
    </row>
    <row r="806" spans="1:3" x14ac:dyDescent="0.2">
      <c r="A806" s="109"/>
      <c r="B806" s="16"/>
      <c r="C806" s="16"/>
    </row>
    <row r="807" spans="1:3" x14ac:dyDescent="0.2">
      <c r="A807" s="109"/>
      <c r="B807" s="16"/>
      <c r="C807" s="16"/>
    </row>
    <row r="808" spans="1:3" x14ac:dyDescent="0.2">
      <c r="A808" s="109"/>
      <c r="B808" s="16"/>
      <c r="C808" s="16"/>
    </row>
    <row r="809" spans="1:3" x14ac:dyDescent="0.2">
      <c r="A809" s="109"/>
      <c r="B809" s="16"/>
      <c r="C809" s="16"/>
    </row>
    <row r="810" spans="1:3" x14ac:dyDescent="0.2">
      <c r="A810" s="109"/>
      <c r="B810" s="16"/>
      <c r="C810" s="16"/>
    </row>
    <row r="811" spans="1:3" x14ac:dyDescent="0.2">
      <c r="A811" s="109"/>
      <c r="B811" s="16"/>
      <c r="C811" s="16"/>
    </row>
    <row r="812" spans="1:3" x14ac:dyDescent="0.2">
      <c r="A812" s="109"/>
      <c r="B812" s="16"/>
      <c r="C812" s="16"/>
    </row>
    <row r="813" spans="1:3" x14ac:dyDescent="0.2">
      <c r="A813" s="109"/>
      <c r="B813" s="16"/>
      <c r="C813" s="16"/>
    </row>
    <row r="814" spans="1:3" x14ac:dyDescent="0.2">
      <c r="A814" s="109"/>
      <c r="B814" s="16"/>
      <c r="C814" s="16"/>
    </row>
    <row r="815" spans="1:3" x14ac:dyDescent="0.2">
      <c r="A815" s="109"/>
      <c r="B815" s="16"/>
      <c r="C815" s="16"/>
    </row>
    <row r="816" spans="1:3" x14ac:dyDescent="0.2">
      <c r="A816" s="109"/>
      <c r="B816" s="16"/>
      <c r="C816" s="16"/>
    </row>
    <row r="817" spans="1:3" x14ac:dyDescent="0.2">
      <c r="A817" s="109"/>
      <c r="B817" s="16"/>
      <c r="C817" s="16"/>
    </row>
    <row r="818" spans="1:3" x14ac:dyDescent="0.2">
      <c r="A818" s="109"/>
      <c r="B818" s="16"/>
      <c r="C818" s="16"/>
    </row>
    <row r="819" spans="1:3" x14ac:dyDescent="0.2">
      <c r="A819" s="109"/>
      <c r="B819" s="16"/>
      <c r="C819" s="16"/>
    </row>
    <row r="820" spans="1:3" x14ac:dyDescent="0.2">
      <c r="A820" s="109"/>
      <c r="B820" s="16"/>
      <c r="C820" s="16"/>
    </row>
    <row r="821" spans="1:3" x14ac:dyDescent="0.2">
      <c r="A821" s="109"/>
      <c r="B821" s="16"/>
      <c r="C821" s="16"/>
    </row>
    <row r="822" spans="1:3" x14ac:dyDescent="0.2">
      <c r="A822" s="109"/>
      <c r="B822" s="16"/>
      <c r="C822" s="16"/>
    </row>
    <row r="823" spans="1:3" x14ac:dyDescent="0.2">
      <c r="A823" s="109"/>
      <c r="B823" s="16"/>
      <c r="C823" s="16"/>
    </row>
    <row r="824" spans="1:3" x14ac:dyDescent="0.2">
      <c r="A824" s="109"/>
      <c r="B824" s="16"/>
      <c r="C824" s="16"/>
    </row>
    <row r="825" spans="1:3" x14ac:dyDescent="0.2">
      <c r="A825" s="109"/>
      <c r="B825" s="16"/>
      <c r="C825" s="16"/>
    </row>
    <row r="826" spans="1:3" x14ac:dyDescent="0.2">
      <c r="A826" s="109"/>
      <c r="B826" s="16"/>
      <c r="C826" s="16"/>
    </row>
    <row r="827" spans="1:3" x14ac:dyDescent="0.2">
      <c r="A827" s="109"/>
      <c r="B827" s="16"/>
      <c r="C827" s="16"/>
    </row>
    <row r="828" spans="1:3" x14ac:dyDescent="0.2">
      <c r="A828" s="109"/>
      <c r="B828" s="16"/>
      <c r="C828" s="16"/>
    </row>
    <row r="829" spans="1:3" x14ac:dyDescent="0.2">
      <c r="A829" s="109"/>
      <c r="B829" s="16"/>
      <c r="C829" s="16"/>
    </row>
    <row r="830" spans="1:3" x14ac:dyDescent="0.2">
      <c r="A830" s="109"/>
      <c r="B830" s="16"/>
      <c r="C830" s="16"/>
    </row>
    <row r="831" spans="1:3" x14ac:dyDescent="0.2">
      <c r="A831" s="109"/>
      <c r="B831" s="16"/>
      <c r="C831" s="16"/>
    </row>
    <row r="832" spans="1:3" x14ac:dyDescent="0.2">
      <c r="A832" s="109"/>
      <c r="B832" s="16"/>
      <c r="C832" s="16"/>
    </row>
    <row r="833" spans="1:3" x14ac:dyDescent="0.2">
      <c r="A833" s="109"/>
      <c r="B833" s="16"/>
      <c r="C833" s="16"/>
    </row>
    <row r="834" spans="1:3" x14ac:dyDescent="0.2">
      <c r="A834" s="109"/>
      <c r="B834" s="16"/>
      <c r="C834" s="16"/>
    </row>
    <row r="835" spans="1:3" x14ac:dyDescent="0.2">
      <c r="A835" s="109"/>
      <c r="B835" s="16"/>
      <c r="C835" s="16"/>
    </row>
    <row r="836" spans="1:3" x14ac:dyDescent="0.2">
      <c r="A836" s="109"/>
      <c r="B836" s="16"/>
      <c r="C836" s="16"/>
    </row>
    <row r="837" spans="1:3" x14ac:dyDescent="0.2">
      <c r="A837" s="109"/>
      <c r="B837" s="16"/>
      <c r="C837" s="16"/>
    </row>
    <row r="838" spans="1:3" x14ac:dyDescent="0.2">
      <c r="A838" s="109"/>
      <c r="B838" s="16"/>
      <c r="C838" s="16"/>
    </row>
    <row r="839" spans="1:3" x14ac:dyDescent="0.2">
      <c r="A839" s="109"/>
      <c r="B839" s="16"/>
      <c r="C839" s="16"/>
    </row>
    <row r="840" spans="1:3" x14ac:dyDescent="0.2">
      <c r="A840" s="109"/>
      <c r="B840" s="16"/>
      <c r="C840" s="16"/>
    </row>
    <row r="841" spans="1:3" x14ac:dyDescent="0.2">
      <c r="A841" s="109"/>
      <c r="B841" s="16"/>
      <c r="C841" s="16"/>
    </row>
    <row r="842" spans="1:3" x14ac:dyDescent="0.2">
      <c r="A842" s="109"/>
      <c r="B842" s="16"/>
      <c r="C842" s="16"/>
    </row>
    <row r="843" spans="1:3" x14ac:dyDescent="0.2">
      <c r="A843" s="109"/>
      <c r="B843" s="16"/>
      <c r="C843" s="16"/>
    </row>
    <row r="844" spans="1:3" x14ac:dyDescent="0.2">
      <c r="A844" s="109"/>
      <c r="B844" s="16"/>
      <c r="C844" s="16"/>
    </row>
    <row r="845" spans="1:3" x14ac:dyDescent="0.2">
      <c r="A845" s="109"/>
      <c r="B845" s="16"/>
      <c r="C845" s="16"/>
    </row>
    <row r="846" spans="1:3" x14ac:dyDescent="0.2">
      <c r="A846" s="109"/>
      <c r="B846" s="16"/>
      <c r="C846" s="16"/>
    </row>
    <row r="847" spans="1:3" x14ac:dyDescent="0.2">
      <c r="A847" s="109"/>
      <c r="B847" s="16"/>
      <c r="C847" s="16"/>
    </row>
    <row r="848" spans="1:3" x14ac:dyDescent="0.2">
      <c r="A848" s="109"/>
      <c r="B848" s="16"/>
      <c r="C848" s="16"/>
    </row>
    <row r="849" spans="1:3" x14ac:dyDescent="0.2">
      <c r="A849" s="109"/>
      <c r="B849" s="16"/>
      <c r="C849" s="16"/>
    </row>
    <row r="850" spans="1:3" x14ac:dyDescent="0.2">
      <c r="A850" s="109"/>
      <c r="B850" s="16"/>
      <c r="C850" s="16"/>
    </row>
    <row r="851" spans="1:3" x14ac:dyDescent="0.2">
      <c r="A851" s="109"/>
      <c r="B851" s="16"/>
      <c r="C851" s="16"/>
    </row>
    <row r="852" spans="1:3" x14ac:dyDescent="0.2">
      <c r="A852" s="109"/>
      <c r="B852" s="16"/>
      <c r="C852" s="16"/>
    </row>
    <row r="853" spans="1:3" x14ac:dyDescent="0.2">
      <c r="A853" s="109"/>
      <c r="B853" s="16"/>
      <c r="C853" s="16"/>
    </row>
    <row r="854" spans="1:3" x14ac:dyDescent="0.2">
      <c r="A854" s="109"/>
      <c r="B854" s="16"/>
      <c r="C854" s="16"/>
    </row>
    <row r="855" spans="1:3" x14ac:dyDescent="0.2">
      <c r="A855" s="109"/>
      <c r="B855" s="16"/>
      <c r="C855" s="16"/>
    </row>
    <row r="856" spans="1:3" x14ac:dyDescent="0.2">
      <c r="A856" s="109"/>
      <c r="B856" s="16"/>
      <c r="C856" s="16"/>
    </row>
    <row r="857" spans="1:3" x14ac:dyDescent="0.2">
      <c r="A857" s="109"/>
      <c r="B857" s="16"/>
      <c r="C857" s="16"/>
    </row>
    <row r="858" spans="1:3" x14ac:dyDescent="0.2">
      <c r="A858" s="109"/>
      <c r="B858" s="16"/>
      <c r="C858" s="16"/>
    </row>
    <row r="859" spans="1:3" x14ac:dyDescent="0.2">
      <c r="A859" s="109"/>
      <c r="B859" s="16"/>
      <c r="C859" s="16"/>
    </row>
    <row r="860" spans="1:3" x14ac:dyDescent="0.2">
      <c r="A860" s="109"/>
      <c r="B860" s="16"/>
      <c r="C860" s="16"/>
    </row>
    <row r="861" spans="1:3" x14ac:dyDescent="0.2">
      <c r="A861" s="109"/>
      <c r="B861" s="16"/>
      <c r="C861" s="16"/>
    </row>
    <row r="862" spans="1:3" x14ac:dyDescent="0.2">
      <c r="A862" s="109"/>
      <c r="B862" s="16"/>
      <c r="C862" s="16"/>
    </row>
    <row r="863" spans="1:3" x14ac:dyDescent="0.2">
      <c r="A863" s="109"/>
      <c r="B863" s="16"/>
      <c r="C863" s="16"/>
    </row>
    <row r="864" spans="1:3" x14ac:dyDescent="0.2">
      <c r="A864" s="109"/>
      <c r="B864" s="16"/>
      <c r="C864" s="16"/>
    </row>
    <row r="865" spans="1:3" x14ac:dyDescent="0.2">
      <c r="A865" s="109"/>
      <c r="B865" s="16"/>
      <c r="C865" s="16"/>
    </row>
    <row r="866" spans="1:3" x14ac:dyDescent="0.2">
      <c r="A866" s="109"/>
      <c r="B866" s="16"/>
      <c r="C866" s="16"/>
    </row>
    <row r="867" spans="1:3" x14ac:dyDescent="0.2">
      <c r="A867" s="109"/>
      <c r="B867" s="16"/>
      <c r="C867" s="16"/>
    </row>
    <row r="868" spans="1:3" x14ac:dyDescent="0.2">
      <c r="A868" s="109"/>
      <c r="B868" s="16"/>
      <c r="C868" s="16"/>
    </row>
    <row r="869" spans="1:3" x14ac:dyDescent="0.2">
      <c r="A869" s="109"/>
      <c r="B869" s="16"/>
      <c r="C869" s="16"/>
    </row>
    <row r="870" spans="1:3" x14ac:dyDescent="0.2">
      <c r="A870" s="109"/>
      <c r="B870" s="16"/>
      <c r="C870" s="16"/>
    </row>
    <row r="871" spans="1:3" x14ac:dyDescent="0.2">
      <c r="A871" s="109"/>
      <c r="B871" s="16"/>
      <c r="C871" s="16"/>
    </row>
    <row r="872" spans="1:3" x14ac:dyDescent="0.2">
      <c r="A872" s="109"/>
      <c r="B872" s="16"/>
      <c r="C872" s="16"/>
    </row>
    <row r="873" spans="1:3" x14ac:dyDescent="0.2">
      <c r="A873" s="109"/>
      <c r="B873" s="16"/>
      <c r="C873" s="16"/>
    </row>
    <row r="874" spans="1:3" x14ac:dyDescent="0.2">
      <c r="A874" s="109"/>
      <c r="B874" s="16"/>
      <c r="C874" s="16"/>
    </row>
    <row r="875" spans="1:3" x14ac:dyDescent="0.2">
      <c r="A875" s="109"/>
      <c r="B875" s="16"/>
      <c r="C875" s="16"/>
    </row>
    <row r="876" spans="1:3" x14ac:dyDescent="0.2">
      <c r="A876" s="109"/>
      <c r="B876" s="16"/>
      <c r="C876" s="16"/>
    </row>
    <row r="877" spans="1:3" x14ac:dyDescent="0.2">
      <c r="A877" s="109"/>
      <c r="B877" s="16"/>
      <c r="C877" s="16"/>
    </row>
    <row r="878" spans="1:3" x14ac:dyDescent="0.2">
      <c r="A878" s="109"/>
      <c r="B878" s="16"/>
      <c r="C878" s="16"/>
    </row>
    <row r="879" spans="1:3" x14ac:dyDescent="0.2">
      <c r="A879" s="109"/>
      <c r="B879" s="16"/>
      <c r="C879" s="16"/>
    </row>
    <row r="880" spans="1:3" x14ac:dyDescent="0.2">
      <c r="A880" s="109"/>
      <c r="B880" s="16"/>
      <c r="C880" s="16"/>
    </row>
    <row r="881" spans="1:3" x14ac:dyDescent="0.2">
      <c r="A881" s="109"/>
      <c r="B881" s="16"/>
      <c r="C881" s="16"/>
    </row>
    <row r="882" spans="1:3" x14ac:dyDescent="0.2">
      <c r="A882" s="109"/>
      <c r="B882" s="16"/>
      <c r="C882" s="16"/>
    </row>
    <row r="883" spans="1:3" x14ac:dyDescent="0.2">
      <c r="A883" s="109"/>
      <c r="B883" s="16"/>
      <c r="C883" s="16"/>
    </row>
    <row r="884" spans="1:3" x14ac:dyDescent="0.2">
      <c r="A884" s="109"/>
      <c r="B884" s="16"/>
      <c r="C884" s="16"/>
    </row>
    <row r="885" spans="1:3" x14ac:dyDescent="0.2">
      <c r="A885" s="109"/>
      <c r="B885" s="16"/>
      <c r="C885" s="16"/>
    </row>
    <row r="886" spans="1:3" x14ac:dyDescent="0.2">
      <c r="A886" s="109"/>
      <c r="B886" s="16"/>
      <c r="C886" s="16"/>
    </row>
    <row r="887" spans="1:3" x14ac:dyDescent="0.2">
      <c r="A887" s="109"/>
      <c r="B887" s="16"/>
      <c r="C887" s="16"/>
    </row>
    <row r="888" spans="1:3" x14ac:dyDescent="0.2">
      <c r="A888" s="109"/>
      <c r="B888" s="16"/>
      <c r="C888" s="16"/>
    </row>
    <row r="889" spans="1:3" x14ac:dyDescent="0.2">
      <c r="A889" s="109"/>
      <c r="B889" s="16"/>
      <c r="C889" s="16"/>
    </row>
    <row r="890" spans="1:3" x14ac:dyDescent="0.2">
      <c r="A890" s="109"/>
      <c r="B890" s="16"/>
      <c r="C890" s="16"/>
    </row>
    <row r="891" spans="1:3" x14ac:dyDescent="0.2">
      <c r="A891" s="109"/>
      <c r="B891" s="16"/>
      <c r="C891" s="16"/>
    </row>
    <row r="892" spans="1:3" x14ac:dyDescent="0.2">
      <c r="A892" s="109"/>
      <c r="B892" s="16"/>
      <c r="C892" s="16"/>
    </row>
    <row r="893" spans="1:3" x14ac:dyDescent="0.2">
      <c r="A893" s="109"/>
      <c r="B893" s="16"/>
      <c r="C893" s="16"/>
    </row>
    <row r="894" spans="1:3" x14ac:dyDescent="0.2">
      <c r="A894" s="109"/>
      <c r="B894" s="16"/>
      <c r="C894" s="16"/>
    </row>
    <row r="895" spans="1:3" x14ac:dyDescent="0.2">
      <c r="A895" s="109"/>
      <c r="B895" s="16"/>
      <c r="C895" s="16"/>
    </row>
    <row r="896" spans="1:3" x14ac:dyDescent="0.2">
      <c r="A896" s="109"/>
      <c r="B896" s="16"/>
      <c r="C896" s="16"/>
    </row>
    <row r="897" spans="1:3" x14ac:dyDescent="0.2">
      <c r="A897" s="109"/>
      <c r="B897" s="16"/>
      <c r="C897" s="16"/>
    </row>
    <row r="898" spans="1:3" x14ac:dyDescent="0.2">
      <c r="A898" s="109"/>
      <c r="B898" s="16"/>
      <c r="C898" s="16"/>
    </row>
    <row r="899" spans="1:3" x14ac:dyDescent="0.2">
      <c r="A899" s="109"/>
      <c r="B899" s="16"/>
      <c r="C899" s="16"/>
    </row>
    <row r="900" spans="1:3" x14ac:dyDescent="0.2">
      <c r="A900" s="109"/>
      <c r="B900" s="16"/>
      <c r="C900" s="16"/>
    </row>
    <row r="901" spans="1:3" x14ac:dyDescent="0.2">
      <c r="A901" s="109"/>
      <c r="B901" s="16"/>
      <c r="C901" s="16"/>
    </row>
    <row r="902" spans="1:3" x14ac:dyDescent="0.2">
      <c r="A902" s="109"/>
      <c r="B902" s="16"/>
      <c r="C902" s="16"/>
    </row>
    <row r="903" spans="1:3" x14ac:dyDescent="0.2">
      <c r="A903" s="109"/>
      <c r="B903" s="16"/>
      <c r="C903" s="16"/>
    </row>
    <row r="904" spans="1:3" x14ac:dyDescent="0.2">
      <c r="A904" s="109"/>
      <c r="B904" s="16"/>
      <c r="C904" s="16"/>
    </row>
    <row r="905" spans="1:3" x14ac:dyDescent="0.2">
      <c r="A905" s="109"/>
      <c r="B905" s="16"/>
      <c r="C905" s="16"/>
    </row>
    <row r="906" spans="1:3" x14ac:dyDescent="0.2">
      <c r="A906" s="109"/>
      <c r="B906" s="16"/>
      <c r="C906" s="16"/>
    </row>
    <row r="907" spans="1:3" x14ac:dyDescent="0.2">
      <c r="A907" s="109"/>
      <c r="B907" s="16"/>
      <c r="C907" s="16"/>
    </row>
    <row r="908" spans="1:3" x14ac:dyDescent="0.2">
      <c r="A908" s="109"/>
      <c r="B908" s="16"/>
      <c r="C908" s="16"/>
    </row>
    <row r="909" spans="1:3" x14ac:dyDescent="0.2">
      <c r="A909" s="109"/>
      <c r="B909" s="16"/>
      <c r="C909" s="16"/>
    </row>
    <row r="910" spans="1:3" x14ac:dyDescent="0.2">
      <c r="A910" s="109"/>
      <c r="B910" s="16"/>
      <c r="C910" s="16"/>
    </row>
    <row r="911" spans="1:3" x14ac:dyDescent="0.2">
      <c r="A911" s="109"/>
      <c r="B911" s="16"/>
      <c r="C911" s="16"/>
    </row>
    <row r="912" spans="1:3" x14ac:dyDescent="0.2">
      <c r="A912" s="109"/>
      <c r="B912" s="16"/>
      <c r="C912" s="16"/>
    </row>
    <row r="913" spans="1:3" x14ac:dyDescent="0.2">
      <c r="A913" s="109"/>
      <c r="B913" s="16"/>
      <c r="C913" s="16"/>
    </row>
    <row r="914" spans="1:3" x14ac:dyDescent="0.2">
      <c r="A914" s="109"/>
      <c r="B914" s="16"/>
      <c r="C914" s="16"/>
    </row>
    <row r="915" spans="1:3" x14ac:dyDescent="0.2">
      <c r="A915" s="109"/>
      <c r="B915" s="16"/>
      <c r="C915" s="16"/>
    </row>
    <row r="916" spans="1:3" x14ac:dyDescent="0.2">
      <c r="A916" s="109"/>
      <c r="B916" s="16"/>
      <c r="C916" s="16"/>
    </row>
    <row r="917" spans="1:3" x14ac:dyDescent="0.2">
      <c r="A917" s="109"/>
      <c r="B917" s="16"/>
      <c r="C917" s="16"/>
    </row>
    <row r="918" spans="1:3" x14ac:dyDescent="0.2">
      <c r="A918" s="109"/>
      <c r="B918" s="16"/>
      <c r="C918" s="16"/>
    </row>
    <row r="919" spans="1:3" x14ac:dyDescent="0.2">
      <c r="A919" s="109"/>
      <c r="B919" s="16"/>
      <c r="C919" s="16"/>
    </row>
    <row r="920" spans="1:3" x14ac:dyDescent="0.2">
      <c r="A920" s="109"/>
      <c r="B920" s="16"/>
      <c r="C920" s="16"/>
    </row>
    <row r="921" spans="1:3" x14ac:dyDescent="0.2">
      <c r="A921" s="109"/>
      <c r="B921" s="16"/>
      <c r="C921" s="16"/>
    </row>
    <row r="922" spans="1:3" x14ac:dyDescent="0.2">
      <c r="A922" s="109"/>
      <c r="B922" s="16"/>
      <c r="C922" s="16"/>
    </row>
    <row r="923" spans="1:3" x14ac:dyDescent="0.2">
      <c r="A923" s="109"/>
      <c r="B923" s="16"/>
      <c r="C923" s="16"/>
    </row>
    <row r="924" spans="1:3" x14ac:dyDescent="0.2">
      <c r="A924" s="109"/>
      <c r="B924" s="16"/>
      <c r="C924" s="16"/>
    </row>
    <row r="925" spans="1:3" x14ac:dyDescent="0.2">
      <c r="A925" s="109"/>
      <c r="B925" s="16"/>
      <c r="C925" s="16"/>
    </row>
    <row r="926" spans="1:3" x14ac:dyDescent="0.2">
      <c r="A926" s="109"/>
      <c r="B926" s="16"/>
      <c r="C926" s="16"/>
    </row>
    <row r="927" spans="1:3" x14ac:dyDescent="0.2">
      <c r="A927" s="109"/>
      <c r="B927" s="16"/>
      <c r="C927" s="16"/>
    </row>
    <row r="928" spans="1:3" x14ac:dyDescent="0.2">
      <c r="A928" s="109"/>
      <c r="B928" s="16"/>
      <c r="C928" s="16"/>
    </row>
    <row r="929" spans="1:3" x14ac:dyDescent="0.2">
      <c r="A929" s="109"/>
      <c r="B929" s="16"/>
      <c r="C929" s="16"/>
    </row>
    <row r="930" spans="1:3" x14ac:dyDescent="0.2">
      <c r="A930" s="109"/>
      <c r="B930" s="16"/>
      <c r="C930" s="16"/>
    </row>
    <row r="931" spans="1:3" x14ac:dyDescent="0.2">
      <c r="A931" s="109"/>
      <c r="B931" s="16"/>
      <c r="C931" s="16"/>
    </row>
    <row r="932" spans="1:3" x14ac:dyDescent="0.2">
      <c r="A932" s="109"/>
      <c r="B932" s="16"/>
      <c r="C932" s="16"/>
    </row>
    <row r="933" spans="1:3" x14ac:dyDescent="0.2">
      <c r="A933" s="109"/>
      <c r="B933" s="16"/>
      <c r="C933" s="16"/>
    </row>
    <row r="934" spans="1:3" x14ac:dyDescent="0.2">
      <c r="A934" s="109"/>
      <c r="B934" s="16"/>
      <c r="C934" s="16"/>
    </row>
    <row r="935" spans="1:3" x14ac:dyDescent="0.2">
      <c r="A935" s="109"/>
      <c r="B935" s="16"/>
      <c r="C935" s="16"/>
    </row>
    <row r="936" spans="1:3" x14ac:dyDescent="0.2">
      <c r="A936" s="109"/>
      <c r="B936" s="16"/>
      <c r="C936" s="16"/>
    </row>
    <row r="937" spans="1:3" x14ac:dyDescent="0.2">
      <c r="A937" s="109"/>
      <c r="B937" s="16"/>
      <c r="C937" s="16"/>
    </row>
    <row r="938" spans="1:3" x14ac:dyDescent="0.2">
      <c r="A938" s="109"/>
      <c r="B938" s="16"/>
      <c r="C938" s="16"/>
    </row>
    <row r="939" spans="1:3" x14ac:dyDescent="0.2">
      <c r="A939" s="109"/>
      <c r="B939" s="16"/>
      <c r="C939" s="16"/>
    </row>
    <row r="940" spans="1:3" x14ac:dyDescent="0.2">
      <c r="A940" s="109"/>
      <c r="B940" s="16"/>
      <c r="C940" s="16"/>
    </row>
    <row r="941" spans="1:3" x14ac:dyDescent="0.2">
      <c r="A941" s="109"/>
      <c r="B941" s="16"/>
      <c r="C941" s="16"/>
    </row>
    <row r="942" spans="1:3" x14ac:dyDescent="0.2">
      <c r="A942" s="109"/>
      <c r="B942" s="16"/>
      <c r="C942" s="16"/>
    </row>
    <row r="943" spans="1:3" x14ac:dyDescent="0.2">
      <c r="A943" s="109"/>
      <c r="B943" s="16"/>
      <c r="C943" s="16"/>
    </row>
    <row r="944" spans="1:3" x14ac:dyDescent="0.2">
      <c r="A944" s="109"/>
      <c r="B944" s="16"/>
      <c r="C944" s="16"/>
    </row>
    <row r="945" spans="1:3" x14ac:dyDescent="0.2">
      <c r="A945" s="109"/>
      <c r="B945" s="16"/>
      <c r="C945" s="16"/>
    </row>
    <row r="946" spans="1:3" x14ac:dyDescent="0.2">
      <c r="A946" s="109"/>
      <c r="B946" s="16"/>
      <c r="C946" s="16"/>
    </row>
    <row r="947" spans="1:3" x14ac:dyDescent="0.2">
      <c r="A947" s="109"/>
      <c r="B947" s="16"/>
      <c r="C947" s="16"/>
    </row>
    <row r="948" spans="1:3" x14ac:dyDescent="0.2">
      <c r="A948" s="109"/>
      <c r="B948" s="16"/>
      <c r="C948" s="16"/>
    </row>
    <row r="949" spans="1:3" x14ac:dyDescent="0.2">
      <c r="A949" s="109"/>
      <c r="B949" s="16"/>
      <c r="C949" s="16"/>
    </row>
    <row r="950" spans="1:3" x14ac:dyDescent="0.2">
      <c r="A950" s="109"/>
      <c r="B950" s="16"/>
      <c r="C950" s="16"/>
    </row>
    <row r="951" spans="1:3" x14ac:dyDescent="0.2">
      <c r="A951" s="109"/>
      <c r="B951" s="16"/>
      <c r="C951" s="16"/>
    </row>
    <row r="952" spans="1:3" x14ac:dyDescent="0.2">
      <c r="A952" s="109"/>
      <c r="B952" s="16"/>
      <c r="C952" s="16"/>
    </row>
    <row r="953" spans="1:3" x14ac:dyDescent="0.2">
      <c r="A953" s="109"/>
      <c r="B953" s="16"/>
      <c r="C953" s="16"/>
    </row>
    <row r="954" spans="1:3" x14ac:dyDescent="0.2">
      <c r="A954" s="109"/>
      <c r="B954" s="16"/>
      <c r="C954" s="16"/>
    </row>
    <row r="955" spans="1:3" x14ac:dyDescent="0.2">
      <c r="A955" s="109"/>
      <c r="B955" s="16"/>
      <c r="C955" s="16"/>
    </row>
    <row r="956" spans="1:3" x14ac:dyDescent="0.2">
      <c r="A956" s="109"/>
      <c r="B956" s="16"/>
      <c r="C956" s="16"/>
    </row>
    <row r="957" spans="1:3" x14ac:dyDescent="0.2">
      <c r="A957" s="109"/>
      <c r="B957" s="16"/>
      <c r="C957" s="16"/>
    </row>
    <row r="958" spans="1:3" x14ac:dyDescent="0.2">
      <c r="A958" s="109"/>
      <c r="B958" s="16"/>
      <c r="C958" s="16"/>
    </row>
    <row r="959" spans="1:3" x14ac:dyDescent="0.2">
      <c r="A959" s="109"/>
      <c r="B959" s="16"/>
      <c r="C959" s="16"/>
    </row>
    <row r="960" spans="1:3" x14ac:dyDescent="0.2">
      <c r="A960" s="109"/>
      <c r="B960" s="16"/>
      <c r="C960" s="16"/>
    </row>
    <row r="961" spans="1:3" x14ac:dyDescent="0.2">
      <c r="A961" s="109"/>
      <c r="B961" s="16"/>
      <c r="C961" s="16"/>
    </row>
    <row r="962" spans="1:3" x14ac:dyDescent="0.2">
      <c r="A962" s="109"/>
      <c r="B962" s="16"/>
      <c r="C962" s="16"/>
    </row>
    <row r="963" spans="1:3" x14ac:dyDescent="0.2">
      <c r="A963" s="109"/>
      <c r="B963" s="16"/>
      <c r="C963" s="16"/>
    </row>
    <row r="964" spans="1:3" x14ac:dyDescent="0.2">
      <c r="A964" s="109"/>
      <c r="B964" s="16"/>
      <c r="C964" s="16"/>
    </row>
    <row r="965" spans="1:3" x14ac:dyDescent="0.2">
      <c r="A965" s="109"/>
      <c r="B965" s="16"/>
      <c r="C965" s="16"/>
    </row>
    <row r="966" spans="1:3" x14ac:dyDescent="0.2">
      <c r="A966" s="109"/>
      <c r="B966" s="16"/>
      <c r="C966" s="16"/>
    </row>
    <row r="967" spans="1:3" x14ac:dyDescent="0.2">
      <c r="A967" s="109"/>
      <c r="B967" s="16"/>
      <c r="C967" s="16"/>
    </row>
    <row r="968" spans="1:3" x14ac:dyDescent="0.2">
      <c r="A968" s="109"/>
      <c r="B968" s="16"/>
      <c r="C968" s="16"/>
    </row>
    <row r="969" spans="1:3" x14ac:dyDescent="0.2">
      <c r="A969" s="109"/>
      <c r="B969" s="16"/>
      <c r="C969" s="16"/>
    </row>
    <row r="970" spans="1:3" x14ac:dyDescent="0.2">
      <c r="A970" s="109"/>
      <c r="B970" s="16"/>
      <c r="C970" s="16"/>
    </row>
    <row r="971" spans="1:3" x14ac:dyDescent="0.2">
      <c r="A971" s="109"/>
      <c r="B971" s="16"/>
      <c r="C971" s="16"/>
    </row>
    <row r="972" spans="1:3" x14ac:dyDescent="0.2">
      <c r="A972" s="109"/>
      <c r="B972" s="16"/>
      <c r="C972" s="16"/>
    </row>
    <row r="973" spans="1:3" x14ac:dyDescent="0.2">
      <c r="A973" s="109"/>
      <c r="B973" s="16"/>
      <c r="C973" s="16"/>
    </row>
    <row r="974" spans="1:3" x14ac:dyDescent="0.2">
      <c r="A974" s="109"/>
      <c r="B974" s="16"/>
      <c r="C974" s="16"/>
    </row>
    <row r="975" spans="1:3" x14ac:dyDescent="0.2">
      <c r="A975" s="109"/>
      <c r="B975" s="16"/>
      <c r="C975" s="16"/>
    </row>
    <row r="976" spans="1:3" x14ac:dyDescent="0.2">
      <c r="A976" s="109"/>
      <c r="B976" s="16"/>
      <c r="C976" s="16"/>
    </row>
    <row r="977" spans="1:3" x14ac:dyDescent="0.2">
      <c r="A977" s="109"/>
      <c r="B977" s="16"/>
      <c r="C977" s="16"/>
    </row>
    <row r="978" spans="1:3" x14ac:dyDescent="0.2">
      <c r="A978" s="109"/>
      <c r="B978" s="16"/>
      <c r="C978" s="16"/>
    </row>
    <row r="979" spans="1:3" x14ac:dyDescent="0.2">
      <c r="A979" s="109"/>
      <c r="B979" s="16"/>
      <c r="C979" s="16"/>
    </row>
    <row r="980" spans="1:3" x14ac:dyDescent="0.2">
      <c r="A980" s="109"/>
      <c r="B980" s="16"/>
      <c r="C980" s="16"/>
    </row>
    <row r="981" spans="1:3" x14ac:dyDescent="0.2">
      <c r="A981" s="109"/>
      <c r="B981" s="16"/>
      <c r="C981" s="16"/>
    </row>
    <row r="982" spans="1:3" x14ac:dyDescent="0.2">
      <c r="A982" s="109"/>
      <c r="B982" s="16"/>
      <c r="C982" s="16"/>
    </row>
    <row r="983" spans="1:3" x14ac:dyDescent="0.2">
      <c r="A983" s="109"/>
      <c r="B983" s="16"/>
      <c r="C983" s="16"/>
    </row>
    <row r="984" spans="1:3" x14ac:dyDescent="0.2">
      <c r="A984" s="109"/>
      <c r="B984" s="16"/>
      <c r="C984" s="16"/>
    </row>
    <row r="985" spans="1:3" x14ac:dyDescent="0.2">
      <c r="A985" s="109"/>
      <c r="B985" s="16"/>
      <c r="C985" s="16"/>
    </row>
    <row r="986" spans="1:3" x14ac:dyDescent="0.2">
      <c r="A986" s="109"/>
      <c r="B986" s="16"/>
      <c r="C986" s="16"/>
    </row>
    <row r="987" spans="1:3" x14ac:dyDescent="0.2">
      <c r="A987" s="109"/>
      <c r="B987" s="16"/>
      <c r="C987" s="16"/>
    </row>
    <row r="988" spans="1:3" x14ac:dyDescent="0.2">
      <c r="A988" s="109"/>
      <c r="B988" s="16"/>
      <c r="C988" s="16"/>
    </row>
    <row r="989" spans="1:3" x14ac:dyDescent="0.2">
      <c r="A989" s="109"/>
      <c r="B989" s="16"/>
      <c r="C989" s="16"/>
    </row>
    <row r="990" spans="1:3" x14ac:dyDescent="0.2">
      <c r="A990" s="109"/>
      <c r="B990" s="16"/>
      <c r="C990" s="16"/>
    </row>
    <row r="991" spans="1:3" x14ac:dyDescent="0.2">
      <c r="A991" s="109"/>
      <c r="B991" s="16"/>
      <c r="C991" s="16"/>
    </row>
    <row r="992" spans="1:3" x14ac:dyDescent="0.2">
      <c r="A992" s="109"/>
      <c r="B992" s="16"/>
      <c r="C992" s="16"/>
    </row>
    <row r="993" spans="1:3" x14ac:dyDescent="0.2">
      <c r="A993" s="109"/>
      <c r="B993" s="16"/>
      <c r="C993" s="16"/>
    </row>
    <row r="994" spans="1:3" x14ac:dyDescent="0.2">
      <c r="A994" s="109"/>
      <c r="B994" s="16"/>
      <c r="C994" s="16"/>
    </row>
    <row r="995" spans="1:3" x14ac:dyDescent="0.2">
      <c r="A995" s="109"/>
      <c r="B995" s="16"/>
      <c r="C995" s="16"/>
    </row>
    <row r="996" spans="1:3" x14ac:dyDescent="0.2">
      <c r="A996" s="109"/>
      <c r="B996" s="16"/>
      <c r="C996" s="16"/>
    </row>
    <row r="997" spans="1:3" x14ac:dyDescent="0.2">
      <c r="A997" s="109"/>
      <c r="B997" s="16"/>
      <c r="C997" s="16"/>
    </row>
    <row r="998" spans="1:3" x14ac:dyDescent="0.2">
      <c r="A998" s="109"/>
      <c r="B998" s="16"/>
      <c r="C998" s="16"/>
    </row>
    <row r="999" spans="1:3" x14ac:dyDescent="0.2">
      <c r="A999" s="109"/>
      <c r="B999" s="16"/>
      <c r="C999" s="16"/>
    </row>
    <row r="1000" spans="1:3" x14ac:dyDescent="0.2">
      <c r="A1000" s="109"/>
      <c r="B1000" s="16"/>
      <c r="C100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Learnsets</vt:lpstr>
      <vt:lpstr>Moves</vt:lpstr>
      <vt:lpstr>TMHM</vt:lpstr>
      <vt:lpstr>Base Stats</vt:lpstr>
      <vt:lpstr>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Coggins</cp:lastModifiedBy>
  <dcterms:modified xsi:type="dcterms:W3CDTF">2024-06-03T21:02:11Z</dcterms:modified>
</cp:coreProperties>
</file>