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smbdd/Desktop/"/>
    </mc:Choice>
  </mc:AlternateContent>
  <xr:revisionPtr revIDLastSave="0" documentId="8_{657B27A7-7611-1449-8CB3-054673E03275}" xr6:coauthVersionLast="47" xr6:coauthVersionMax="47" xr10:uidLastSave="{00000000-0000-0000-0000-000000000000}"/>
  <bookViews>
    <workbookView xWindow="0" yWindow="720" windowWidth="29400" windowHeight="18400" xr2:uid="{9A511CBD-A1AA-3D44-BE4F-C896B250548D}"/>
  </bookViews>
  <sheets>
    <sheet name="Коррел и регресс модели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7" i="1" l="1"/>
  <c r="U80" i="1"/>
  <c r="T59" i="1"/>
  <c r="U59" i="1" s="1"/>
  <c r="T60" i="1"/>
  <c r="V60" i="1" s="1"/>
  <c r="T61" i="1"/>
  <c r="U61" i="1" s="1"/>
  <c r="T62" i="1"/>
  <c r="V62" i="1" s="1"/>
  <c r="T63" i="1"/>
  <c r="V63" i="1" s="1"/>
  <c r="T64" i="1"/>
  <c r="V64" i="1" s="1"/>
  <c r="T65" i="1"/>
  <c r="V65" i="1" s="1"/>
  <c r="T66" i="1"/>
  <c r="V66" i="1" s="1"/>
  <c r="T67" i="1"/>
  <c r="U67" i="1" s="1"/>
  <c r="T68" i="1"/>
  <c r="U68" i="1" s="1"/>
  <c r="T69" i="1"/>
  <c r="U69" i="1" s="1"/>
  <c r="T70" i="1"/>
  <c r="V70" i="1" s="1"/>
  <c r="T71" i="1"/>
  <c r="U71" i="1" s="1"/>
  <c r="T72" i="1"/>
  <c r="V72" i="1" s="1"/>
  <c r="T73" i="1"/>
  <c r="V73" i="1" s="1"/>
  <c r="T74" i="1"/>
  <c r="V74" i="1" s="1"/>
  <c r="T75" i="1"/>
  <c r="U75" i="1" s="1"/>
  <c r="T76" i="1"/>
  <c r="U76" i="1" s="1"/>
  <c r="T77" i="1"/>
  <c r="U77" i="1" s="1"/>
  <c r="T78" i="1"/>
  <c r="U78" i="1" s="1"/>
  <c r="T79" i="1"/>
  <c r="V79" i="1" s="1"/>
  <c r="T80" i="1"/>
  <c r="V80" i="1" s="1"/>
  <c r="T81" i="1"/>
  <c r="V81" i="1" s="1"/>
  <c r="T82" i="1"/>
  <c r="V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V88" i="1" s="1"/>
  <c r="T89" i="1"/>
  <c r="V89" i="1" s="1"/>
  <c r="T90" i="1"/>
  <c r="V90" i="1" s="1"/>
  <c r="T91" i="1"/>
  <c r="U91" i="1" s="1"/>
  <c r="T92" i="1"/>
  <c r="U92" i="1" s="1"/>
  <c r="T93" i="1"/>
  <c r="U93" i="1" s="1"/>
  <c r="T58" i="1"/>
  <c r="V58" i="1" s="1"/>
  <c r="S94" i="1"/>
  <c r="R94" i="1"/>
  <c r="U58" i="1" l="1"/>
  <c r="U79" i="1"/>
  <c r="V78" i="1"/>
  <c r="U60" i="1"/>
  <c r="V86" i="1"/>
  <c r="U70" i="1"/>
  <c r="U81" i="1"/>
  <c r="V87" i="1"/>
  <c r="U66" i="1"/>
  <c r="U90" i="1"/>
  <c r="U65" i="1"/>
  <c r="U89" i="1"/>
  <c r="U64" i="1"/>
  <c r="U88" i="1"/>
  <c r="U74" i="1"/>
  <c r="U63" i="1"/>
  <c r="V71" i="1"/>
  <c r="U73" i="1"/>
  <c r="U62" i="1"/>
  <c r="U72" i="1"/>
  <c r="U82" i="1"/>
  <c r="V93" i="1"/>
  <c r="V85" i="1"/>
  <c r="V77" i="1"/>
  <c r="V69" i="1"/>
  <c r="V61" i="1"/>
  <c r="T94" i="1"/>
  <c r="V92" i="1"/>
  <c r="V84" i="1"/>
  <c r="V76" i="1"/>
  <c r="V68" i="1"/>
  <c r="V91" i="1"/>
  <c r="V83" i="1"/>
  <c r="V75" i="1"/>
  <c r="V67" i="1"/>
  <c r="V59" i="1"/>
  <c r="U94" i="1" l="1"/>
  <c r="V94" i="1"/>
  <c r="Q98" i="1" s="1"/>
  <c r="Q96" i="1" l="1"/>
  <c r="Q100" i="1" s="1"/>
  <c r="W65" i="1" s="1"/>
  <c r="W73" i="1"/>
  <c r="W81" i="1"/>
  <c r="W89" i="1"/>
  <c r="W66" i="1"/>
  <c r="W74" i="1"/>
  <c r="W82" i="1"/>
  <c r="W90" i="1"/>
  <c r="W75" i="1"/>
  <c r="W83" i="1"/>
  <c r="W91" i="1"/>
  <c r="W68" i="1"/>
  <c r="W76" i="1"/>
  <c r="W84" i="1"/>
  <c r="W92" i="1"/>
  <c r="W77" i="1"/>
  <c r="W93" i="1"/>
  <c r="W58" i="1"/>
  <c r="W61" i="1"/>
  <c r="W85" i="1"/>
  <c r="W64" i="1"/>
  <c r="W88" i="1"/>
  <c r="W59" i="1"/>
  <c r="W62" i="1"/>
  <c r="W70" i="1"/>
  <c r="W78" i="1"/>
  <c r="W86" i="1"/>
  <c r="W60" i="1"/>
  <c r="W63" i="1"/>
  <c r="W71" i="1"/>
  <c r="W79" i="1"/>
  <c r="W87" i="1"/>
  <c r="W72" i="1"/>
  <c r="W80" i="1"/>
  <c r="Y65" i="1" l="1"/>
  <c r="X65" i="1"/>
  <c r="Y86" i="1"/>
  <c r="X86" i="1"/>
  <c r="Y63" i="1"/>
  <c r="X63" i="1"/>
  <c r="Y64" i="1"/>
  <c r="X64" i="1"/>
  <c r="Y84" i="1"/>
  <c r="X84" i="1"/>
  <c r="X82" i="1"/>
  <c r="Y82" i="1"/>
  <c r="X60" i="1"/>
  <c r="Y60" i="1"/>
  <c r="X85" i="1"/>
  <c r="Y85" i="1"/>
  <c r="X76" i="1"/>
  <c r="Y76" i="1"/>
  <c r="Y74" i="1"/>
  <c r="X74" i="1"/>
  <c r="X68" i="1"/>
  <c r="Y68" i="1"/>
  <c r="X80" i="1"/>
  <c r="Y80" i="1"/>
  <c r="X91" i="1"/>
  <c r="Y91" i="1"/>
  <c r="Y87" i="1"/>
  <c r="X87" i="1"/>
  <c r="Y62" i="1"/>
  <c r="X62" i="1"/>
  <c r="X77" i="1"/>
  <c r="Y77" i="1"/>
  <c r="X75" i="1"/>
  <c r="Y75" i="1"/>
  <c r="Y73" i="1"/>
  <c r="X73" i="1"/>
  <c r="Y61" i="1"/>
  <c r="X61" i="1"/>
  <c r="Y78" i="1"/>
  <c r="X78" i="1"/>
  <c r="Y89" i="1"/>
  <c r="X89" i="1"/>
  <c r="Y72" i="1"/>
  <c r="X72" i="1"/>
  <c r="X70" i="1"/>
  <c r="Y70" i="1"/>
  <c r="X93" i="1"/>
  <c r="Y93" i="1"/>
  <c r="X83" i="1"/>
  <c r="Y83" i="1"/>
  <c r="Y81" i="1"/>
  <c r="X81" i="1"/>
  <c r="X79" i="1"/>
  <c r="Y79" i="1"/>
  <c r="X59" i="1"/>
  <c r="Y59" i="1"/>
  <c r="W69" i="1"/>
  <c r="W67" i="1"/>
  <c r="Y66" i="1"/>
  <c r="X66" i="1"/>
  <c r="X58" i="1"/>
  <c r="Y58" i="1"/>
  <c r="X71" i="1"/>
  <c r="Y71" i="1"/>
  <c r="Y88" i="1"/>
  <c r="X88" i="1"/>
  <c r="X92" i="1"/>
  <c r="Y92" i="1"/>
  <c r="Y90" i="1"/>
  <c r="X90" i="1"/>
  <c r="X67" i="1" l="1"/>
  <c r="Y67" i="1"/>
  <c r="Y69" i="1"/>
  <c r="X69" i="1"/>
  <c r="S98" i="1" l="1"/>
  <c r="S96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F39" i="1" l="1"/>
  <c r="F41" i="1" s="1"/>
  <c r="G39" i="1"/>
  <c r="G41" i="1"/>
  <c r="C48" i="1"/>
  <c r="C50" i="1" s="1"/>
  <c r="D39" i="1"/>
  <c r="I8" i="1" s="1"/>
  <c r="E39" i="1"/>
  <c r="C39" i="1"/>
  <c r="H17" i="1" s="1"/>
  <c r="H18" i="1" l="1"/>
  <c r="I13" i="1"/>
  <c r="I34" i="1"/>
  <c r="H6" i="1"/>
  <c r="I28" i="1"/>
  <c r="I3" i="1"/>
  <c r="I22" i="1"/>
  <c r="I24" i="1"/>
  <c r="H25" i="1"/>
  <c r="H22" i="1"/>
  <c r="H8" i="1"/>
  <c r="H29" i="1"/>
  <c r="H12" i="1"/>
  <c r="H23" i="1"/>
  <c r="H2" i="1"/>
  <c r="H7" i="1"/>
  <c r="H16" i="1"/>
  <c r="I16" i="1"/>
  <c r="H31" i="1"/>
  <c r="H35" i="1"/>
  <c r="H33" i="1"/>
  <c r="H15" i="1"/>
  <c r="C41" i="1"/>
  <c r="C44" i="1" s="1"/>
  <c r="C46" i="1" s="1"/>
  <c r="H21" i="1"/>
  <c r="H10" i="1"/>
  <c r="I27" i="1"/>
  <c r="I35" i="1"/>
  <c r="H28" i="1"/>
  <c r="I26" i="1"/>
  <c r="I11" i="1"/>
  <c r="H3" i="1"/>
  <c r="H24" i="1"/>
  <c r="I5" i="1"/>
  <c r="I32" i="1"/>
  <c r="H11" i="1"/>
  <c r="H9" i="1"/>
  <c r="H37" i="1"/>
  <c r="E41" i="1"/>
  <c r="I4" i="1"/>
  <c r="I30" i="1"/>
  <c r="I14" i="1"/>
  <c r="I37" i="1"/>
  <c r="I20" i="1"/>
  <c r="I17" i="1"/>
  <c r="I21" i="1"/>
  <c r="I10" i="1"/>
  <c r="I36" i="1"/>
  <c r="I18" i="1"/>
  <c r="I15" i="1"/>
  <c r="I25" i="1"/>
  <c r="H34" i="1"/>
  <c r="H13" i="1"/>
  <c r="H19" i="1"/>
  <c r="H26" i="1"/>
  <c r="H36" i="1"/>
  <c r="I33" i="1"/>
  <c r="I31" i="1"/>
  <c r="I29" i="1"/>
  <c r="I6" i="1"/>
  <c r="I23" i="1"/>
  <c r="I12" i="1"/>
  <c r="I2" i="1"/>
  <c r="H32" i="1"/>
  <c r="H14" i="1"/>
  <c r="H20" i="1"/>
  <c r="H5" i="1"/>
  <c r="I7" i="1"/>
  <c r="D41" i="1"/>
  <c r="D44" i="1" s="1"/>
  <c r="I19" i="1"/>
  <c r="I9" i="1"/>
  <c r="H27" i="1"/>
  <c r="H4" i="1"/>
  <c r="H30" i="1"/>
  <c r="D46" i="1" l="1"/>
  <c r="D48" i="1" s="1"/>
  <c r="G53" i="1"/>
  <c r="G54" i="1" l="1"/>
  <c r="J72" i="1" l="1"/>
  <c r="J67" i="1"/>
  <c r="J65" i="1"/>
  <c r="J76" i="1"/>
  <c r="J93" i="1"/>
  <c r="J86" i="1"/>
  <c r="J82" i="1"/>
  <c r="J69" i="1"/>
  <c r="J89" i="1"/>
  <c r="J88" i="1"/>
  <c r="J71" i="1"/>
  <c r="J85" i="1"/>
  <c r="J80" i="1"/>
  <c r="J79" i="1"/>
  <c r="J66" i="1"/>
  <c r="J78" i="1"/>
  <c r="J87" i="1"/>
  <c r="J91" i="1"/>
  <c r="J90" i="1"/>
  <c r="J60" i="1"/>
  <c r="J68" i="1"/>
  <c r="J64" i="1"/>
  <c r="J63" i="1"/>
  <c r="J74" i="1"/>
  <c r="J94" i="1"/>
  <c r="J61" i="1"/>
  <c r="J81" i="1"/>
  <c r="J75" i="1"/>
  <c r="J62" i="1"/>
  <c r="J92" i="1"/>
  <c r="J77" i="1"/>
  <c r="J84" i="1"/>
  <c r="J70" i="1"/>
  <c r="J59" i="1"/>
  <c r="J83" i="1"/>
  <c r="J73" i="1"/>
  <c r="K84" i="1" l="1"/>
  <c r="L84" i="1"/>
  <c r="L78" i="1"/>
  <c r="K78" i="1"/>
  <c r="K77" i="1"/>
  <c r="L77" i="1"/>
  <c r="K82" i="1"/>
  <c r="L82" i="1"/>
  <c r="L64" i="1"/>
  <c r="K64" i="1"/>
  <c r="L79" i="1"/>
  <c r="K79" i="1"/>
  <c r="L62" i="1"/>
  <c r="K62" i="1"/>
  <c r="K80" i="1"/>
  <c r="L80" i="1"/>
  <c r="L75" i="1"/>
  <c r="K75" i="1"/>
  <c r="L85" i="1"/>
  <c r="K85" i="1"/>
  <c r="K83" i="1"/>
  <c r="L83" i="1"/>
  <c r="L90" i="1"/>
  <c r="K90" i="1"/>
  <c r="K88" i="1"/>
  <c r="L88" i="1"/>
  <c r="L74" i="1"/>
  <c r="K74" i="1"/>
  <c r="K69" i="1"/>
  <c r="L69" i="1"/>
  <c r="L63" i="1"/>
  <c r="K63" i="1"/>
  <c r="K66" i="1"/>
  <c r="L66" i="1"/>
  <c r="L92" i="1"/>
  <c r="K92" i="1"/>
  <c r="L86" i="1"/>
  <c r="K86" i="1"/>
  <c r="K68" i="1"/>
  <c r="L68" i="1"/>
  <c r="K93" i="1"/>
  <c r="L93" i="1"/>
  <c r="L73" i="1"/>
  <c r="K73" i="1"/>
  <c r="L60" i="1"/>
  <c r="K60" i="1"/>
  <c r="L76" i="1"/>
  <c r="K76" i="1"/>
  <c r="K81" i="1"/>
  <c r="L81" i="1"/>
  <c r="L71" i="1"/>
  <c r="K71" i="1"/>
  <c r="K65" i="1"/>
  <c r="L65" i="1"/>
  <c r="K59" i="1"/>
  <c r="L59" i="1"/>
  <c r="K61" i="1"/>
  <c r="L61" i="1"/>
  <c r="K91" i="1"/>
  <c r="L91" i="1"/>
  <c r="K67" i="1"/>
  <c r="L67" i="1"/>
  <c r="K70" i="1"/>
  <c r="L70" i="1"/>
  <c r="K94" i="1"/>
  <c r="L94" i="1"/>
  <c r="L87" i="1"/>
  <c r="K87" i="1"/>
  <c r="K89" i="1"/>
  <c r="L89" i="1"/>
  <c r="L72" i="1"/>
  <c r="K72" i="1"/>
  <c r="L101" i="1" l="1"/>
  <c r="L99" i="1"/>
</calcChain>
</file>

<file path=xl/sharedStrings.xml><?xml version="1.0" encoding="utf-8"?>
<sst xmlns="http://schemas.openxmlformats.org/spreadsheetml/2006/main" count="174" uniqueCount="83">
  <si>
    <t xml:space="preserve">квартира </t>
  </si>
  <si>
    <t>ЖК</t>
  </si>
  <si>
    <t>нижегородская</t>
  </si>
  <si>
    <t>кватрира 1 (1 комнатная) 3-28</t>
  </si>
  <si>
    <t>квартира 2 (1 комнатная) 1-111</t>
  </si>
  <si>
    <t>квартира 3 (1 комнатная) 1-255</t>
  </si>
  <si>
    <t>кватрира 4 (1 комнатная) 3-405</t>
  </si>
  <si>
    <t>квартира 12 (3 комнатная) 1-404</t>
  </si>
  <si>
    <t>Южнопортовая</t>
  </si>
  <si>
    <t>Селигерская</t>
  </si>
  <si>
    <t>кватрира 5 (2 комнатная) 3-36</t>
  </si>
  <si>
    <t>кватрира 6 (2 комнатная) 1-105</t>
  </si>
  <si>
    <t>кватрира 7 (2 комнатная) 1-261</t>
  </si>
  <si>
    <t>кватрира 8 (2 комнатная) 1-405</t>
  </si>
  <si>
    <t>кватрира 9 (3 комнатная) 1-32</t>
  </si>
  <si>
    <t>кватрира 10 (3 комнатная) 3-115</t>
  </si>
  <si>
    <t>кватрира 11 (3 комнатная) 1-272</t>
  </si>
  <si>
    <t>кватрира 13 (1 комнатная) 2-22</t>
  </si>
  <si>
    <t>квартира 14 (1 комнатная) 2-62</t>
  </si>
  <si>
    <t>квартира 15 (1 комнатная) 2-190</t>
  </si>
  <si>
    <t>кватрира 16 (1 комнатная) 2-254</t>
  </si>
  <si>
    <t>кватрира 17 (2 комнатная) 3-36</t>
  </si>
  <si>
    <t>кватрира 18 (2 комнатная) 1-151</t>
  </si>
  <si>
    <t>кватрира 19 (2 комнатная) 1-313</t>
  </si>
  <si>
    <t>кватрира 20 (2 комнатная) 1-405</t>
  </si>
  <si>
    <t>кватрира 21 (3 комнатная) 3-38</t>
  </si>
  <si>
    <t>кватрира 22 (3 комнатная) 3-124</t>
  </si>
  <si>
    <t>кватрира 23 (3 комнатная) 2-139</t>
  </si>
  <si>
    <t>квартира 24 (3 комнатная) 3-500</t>
  </si>
  <si>
    <t>кватрира 25 (1 комнатная) 3-1-115</t>
  </si>
  <si>
    <t>квартира 26 (1 комнатная) 3-1-148</t>
  </si>
  <si>
    <t>квартира 27 (1 комнатная) 3-1-340</t>
  </si>
  <si>
    <t>кватрира 28 (1 комнатная) 2-1-136б</t>
  </si>
  <si>
    <t>кватрира 29 (2 комнатная) 3-1-5</t>
  </si>
  <si>
    <t>кватрира 30 (2 комнатная) 3-1-134</t>
  </si>
  <si>
    <t>кватрира 31 (2 комнатная) 3-1-322</t>
  </si>
  <si>
    <t>кватрира 32 (2 комнатная) 1-1-373</t>
  </si>
  <si>
    <t>кватрира 33 (3 комнатная) 3-1-6</t>
  </si>
  <si>
    <t>кватрира 34 (3 комнатная) 2-2-50</t>
  </si>
  <si>
    <t>кватрира 35 (3 комнатная) 3-1-318</t>
  </si>
  <si>
    <t>квартира 36 (3 комнатная) 3-1-411</t>
  </si>
  <si>
    <t>стоимость 1 кв/м (Y)</t>
  </si>
  <si>
    <t>этаж (X)</t>
  </si>
  <si>
    <t>XY</t>
  </si>
  <si>
    <t>Y^2</t>
  </si>
  <si>
    <t>X^2</t>
  </si>
  <si>
    <t xml:space="preserve">Среднее значение </t>
  </si>
  <si>
    <t>(Y-Yср)^2</t>
  </si>
  <si>
    <t>(X-Xср)^2</t>
  </si>
  <si>
    <t>Ср.квадр. Значение</t>
  </si>
  <si>
    <t>S^2</t>
  </si>
  <si>
    <t>S</t>
  </si>
  <si>
    <t>r</t>
  </si>
  <si>
    <t>Y</t>
  </si>
  <si>
    <t>X</t>
  </si>
  <si>
    <t>вывод: прямая связь присутствует, слабая</t>
  </si>
  <si>
    <t>r^2</t>
  </si>
  <si>
    <t>Рисунок 1 Корреляционное облако</t>
  </si>
  <si>
    <t>Источник: расчеты автора</t>
  </si>
  <si>
    <t>Линейная регрессионная модель</t>
  </si>
  <si>
    <t>a1</t>
  </si>
  <si>
    <t>a0</t>
  </si>
  <si>
    <t>Y(x) (Y(x)=a0+a1*x1)</t>
  </si>
  <si>
    <t>(Y-Y(x))^2</t>
  </si>
  <si>
    <t>|Y-Y(x)|/Y</t>
  </si>
  <si>
    <t>Коэффициент эластичности</t>
  </si>
  <si>
    <t>А</t>
  </si>
  <si>
    <t xml:space="preserve">Рис. 2 Сравненительный график Y и Y(x) </t>
  </si>
  <si>
    <t>Нелинейная регрессионнная модель</t>
  </si>
  <si>
    <t>YZ</t>
  </si>
  <si>
    <t xml:space="preserve">Z = 1/X </t>
  </si>
  <si>
    <t>Z^2</t>
  </si>
  <si>
    <t>b1</t>
  </si>
  <si>
    <t>Sz^2</t>
  </si>
  <si>
    <t>b0</t>
  </si>
  <si>
    <t>Cредн. Значение</t>
  </si>
  <si>
    <t>Y(x) = 1145,7х + 320615,72</t>
  </si>
  <si>
    <t>Y(x) = 351000,81 - 89068,49 * 1/x</t>
  </si>
  <si>
    <t>(Y - Y(x))^2</t>
  </si>
  <si>
    <t>A</t>
  </si>
  <si>
    <t>Y(x)=b0+b1*1/x</t>
  </si>
  <si>
    <t>Рис. 3 Графическое представление кривых исходных данных и по регрессионным моделям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</si>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</sst>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₽&quot;_-;\-* #,##0.00\ &quot;₽&quot;_-;_-* &quot;-&quot;??\ &quot;₽&quot;_-;_-@_-"/>
    <numFmt numFmtId="43" formatCode="_-* #,##0.00_-;\-* #,##0.00_-;_-* &quot;-&quot;??_-;_-@_-"/>
    <numFmt numFmtId="168" formatCode="_-* #,##0.00\ [$₽-419]_-;\-* #,##0.00\ [$₽-419]_-;_-* &quot;-&quot;??\ [$₽-419]_-;_-@_-"/>
    <numFmt numFmtId="169" formatCode="_-* #,##0.00\ _₽_-;\-* #,##0.00\ _₽_-;_-* &quot;-&quot;??\ _₽_-;_-@_-"/>
    <numFmt numFmtId="174" formatCode="0.0000"/>
    <numFmt numFmtId="175" formatCode="0.000"/>
  </numFmts>
  <fonts count="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rgb="FF2D2F33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  <font>
      <b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8" fontId="0" fillId="0" borderId="0" xfId="0" applyNumberFormat="1"/>
    <xf numFmtId="168" fontId="3" fillId="0" borderId="0" xfId="0" applyNumberFormat="1" applyFont="1"/>
    <xf numFmtId="168" fontId="4" fillId="0" borderId="0" xfId="0" applyNumberFormat="1" applyFont="1"/>
    <xf numFmtId="168" fontId="3" fillId="0" borderId="0" xfId="2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9" fontId="4" fillId="0" borderId="0" xfId="3" applyFont="1"/>
    <xf numFmtId="43" fontId="4" fillId="0" borderId="0" xfId="1" applyFont="1"/>
    <xf numFmtId="43" fontId="0" fillId="0" borderId="0" xfId="1" applyFont="1"/>
    <xf numFmtId="169" fontId="4" fillId="0" borderId="0" xfId="0" applyNumberFormat="1" applyFont="1"/>
    <xf numFmtId="0" fontId="5" fillId="2" borderId="1" xfId="0" applyFont="1" applyFill="1" applyBorder="1"/>
    <xf numFmtId="0" fontId="5" fillId="2" borderId="2" xfId="0" applyFont="1" applyFill="1" applyBorder="1"/>
    <xf numFmtId="168" fontId="5" fillId="2" borderId="2" xfId="0" applyNumberFormat="1" applyFont="1" applyFill="1" applyBorder="1"/>
    <xf numFmtId="0" fontId="4" fillId="3" borderId="6" xfId="0" applyFont="1" applyFill="1" applyBorder="1"/>
    <xf numFmtId="0" fontId="4" fillId="3" borderId="2" xfId="0" applyFont="1" applyFill="1" applyBorder="1"/>
    <xf numFmtId="168" fontId="3" fillId="3" borderId="2" xfId="2" applyNumberFormat="1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/>
    <xf numFmtId="168" fontId="3" fillId="0" borderId="2" xfId="2" applyNumberFormat="1" applyFont="1" applyBorder="1" applyAlignment="1">
      <alignment horizontal="center" vertical="center"/>
    </xf>
    <xf numFmtId="0" fontId="4" fillId="3" borderId="7" xfId="0" applyFont="1" applyFill="1" applyBorder="1"/>
    <xf numFmtId="168" fontId="3" fillId="3" borderId="2" xfId="0" applyNumberFormat="1" applyFont="1" applyFill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168" fontId="4" fillId="3" borderId="2" xfId="0" applyNumberFormat="1" applyFont="1" applyFill="1" applyBorder="1" applyAlignment="1">
      <alignment horizontal="center" vertical="center"/>
    </xf>
    <xf numFmtId="0" fontId="4" fillId="0" borderId="8" xfId="0" applyFont="1" applyBorder="1"/>
    <xf numFmtId="0" fontId="4" fillId="3" borderId="1" xfId="0" applyFont="1" applyFill="1" applyBorder="1"/>
    <xf numFmtId="168" fontId="3" fillId="3" borderId="2" xfId="0" applyNumberFormat="1" applyFont="1" applyFill="1" applyBorder="1"/>
    <xf numFmtId="0" fontId="4" fillId="0" borderId="6" xfId="0" applyFont="1" applyBorder="1"/>
    <xf numFmtId="168" fontId="3" fillId="0" borderId="2" xfId="0" applyNumberFormat="1" applyFont="1" applyBorder="1"/>
    <xf numFmtId="168" fontId="4" fillId="0" borderId="2" xfId="0" applyNumberFormat="1" applyFont="1" applyBorder="1"/>
    <xf numFmtId="168" fontId="4" fillId="3" borderId="2" xfId="0" applyNumberFormat="1" applyFont="1" applyFill="1" applyBorder="1"/>
    <xf numFmtId="0" fontId="5" fillId="2" borderId="0" xfId="0" applyFont="1" applyFill="1" applyBorder="1"/>
    <xf numFmtId="0" fontId="6" fillId="0" borderId="0" xfId="0" applyFont="1"/>
    <xf numFmtId="0" fontId="7" fillId="0" borderId="0" xfId="0" applyFont="1"/>
    <xf numFmtId="0" fontId="5" fillId="2" borderId="0" xfId="0" applyFont="1" applyFill="1"/>
    <xf numFmtId="174" fontId="4" fillId="0" borderId="0" xfId="0" applyNumberFormat="1" applyFont="1"/>
    <xf numFmtId="175" fontId="4" fillId="0" borderId="0" xfId="0" applyNumberFormat="1" applyFont="1"/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33"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Times New Roman"/>
        <family val="1"/>
        <scheme val="none"/>
      </font>
      <fill>
        <patternFill patternType="solid">
          <fgColor theme="1"/>
          <bgColor theme="1"/>
        </patternFill>
      </fill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168" formatCode="_-* #,##0.00\ [$₽-419]_-;\-* #,##0.00\ [$₽-419]_-;_-* &quot;-&quot;??\ [$₽-419]_-;_-@_-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169" formatCode="_-* #,##0.00\ _₽_-;\-* #,##0.00\ _₽_-;_-* &quot;-&quot;??\ _₽_-;_-@_-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168" formatCode="_-* #,##0.00\ [$₽-419]_-;\-* #,##0.00\ [$₽-419]_-;_-* &quot;-&quot;??\ [$₽-419]_-;_-@_-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  <numFmt numFmtId="169" formatCode="_-* #,##0.00\ _₽_-;\-* #,##0.00\ _₽_-;_-* &quot;-&quot;??\ _₽_-;_-@_-"/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168" formatCode="_-* #,##0.00\ [$₽-419]_-;\-* #,##0.00\ [$₽-419]_-;_-* &quot;-&quot;??\ [$₽-419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Корреляционное облако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'Коррел и регресс модели'!$D$2:$D$37</c:f>
              <c:numCache>
                <c:formatCode>General</c:formatCode>
                <c:ptCount val="36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35</c:v>
                </c:pt>
                <c:pt idx="4">
                  <c:v>4</c:v>
                </c:pt>
                <c:pt idx="5">
                  <c:v>10</c:v>
                </c:pt>
                <c:pt idx="6">
                  <c:v>23</c:v>
                </c:pt>
                <c:pt idx="7">
                  <c:v>35</c:v>
                </c:pt>
                <c:pt idx="8">
                  <c:v>4</c:v>
                </c:pt>
                <c:pt idx="9">
                  <c:v>11</c:v>
                </c:pt>
                <c:pt idx="10">
                  <c:v>24</c:v>
                </c:pt>
                <c:pt idx="11">
                  <c:v>35</c:v>
                </c:pt>
                <c:pt idx="12">
                  <c:v>5</c:v>
                </c:pt>
                <c:pt idx="13">
                  <c:v>10</c:v>
                </c:pt>
                <c:pt idx="14">
                  <c:v>26</c:v>
                </c:pt>
                <c:pt idx="15">
                  <c:v>34</c:v>
                </c:pt>
                <c:pt idx="16">
                  <c:v>5</c:v>
                </c:pt>
                <c:pt idx="17">
                  <c:v>13</c:v>
                </c:pt>
                <c:pt idx="18">
                  <c:v>24</c:v>
                </c:pt>
                <c:pt idx="19">
                  <c:v>36</c:v>
                </c:pt>
                <c:pt idx="20">
                  <c:v>5</c:v>
                </c:pt>
                <c:pt idx="21">
                  <c:v>11</c:v>
                </c:pt>
                <c:pt idx="22">
                  <c:v>20</c:v>
                </c:pt>
                <c:pt idx="23">
                  <c:v>37</c:v>
                </c:pt>
                <c:pt idx="24">
                  <c:v>9</c:v>
                </c:pt>
                <c:pt idx="25">
                  <c:v>12</c:v>
                </c:pt>
                <c:pt idx="26">
                  <c:v>24</c:v>
                </c:pt>
                <c:pt idx="27">
                  <c:v>28</c:v>
                </c:pt>
                <c:pt idx="28">
                  <c:v>2</c:v>
                </c:pt>
                <c:pt idx="29">
                  <c:v>11</c:v>
                </c:pt>
                <c:pt idx="30">
                  <c:v>23</c:v>
                </c:pt>
                <c:pt idx="31">
                  <c:v>30</c:v>
                </c:pt>
                <c:pt idx="32">
                  <c:v>2</c:v>
                </c:pt>
                <c:pt idx="33">
                  <c:v>10</c:v>
                </c:pt>
                <c:pt idx="34">
                  <c:v>23</c:v>
                </c:pt>
                <c:pt idx="35">
                  <c:v>29</c:v>
                </c:pt>
              </c:numCache>
            </c:numRef>
          </c:xVal>
          <c:yVal>
            <c:numRef>
              <c:f>'Коррел и регресс модели'!$C$2:$C$37</c:f>
              <c:numCache>
                <c:formatCode>_-* #\ ##0.00\ [$₽-419]_-;\-* #\ ##0.00\ [$₽-419]_-;_-* "-"??\ [$₽-419]_-;_-@_-</c:formatCode>
                <c:ptCount val="36"/>
                <c:pt idx="0">
                  <c:v>318699</c:v>
                </c:pt>
                <c:pt idx="1">
                  <c:v>336522</c:v>
                </c:pt>
                <c:pt idx="2">
                  <c:v>341090</c:v>
                </c:pt>
                <c:pt idx="3">
                  <c:v>355077</c:v>
                </c:pt>
                <c:pt idx="4">
                  <c:v>308237</c:v>
                </c:pt>
                <c:pt idx="5">
                  <c:v>306153</c:v>
                </c:pt>
                <c:pt idx="6">
                  <c:v>333235</c:v>
                </c:pt>
                <c:pt idx="7">
                  <c:v>337589</c:v>
                </c:pt>
                <c:pt idx="8">
                  <c:v>274171</c:v>
                </c:pt>
                <c:pt idx="9">
                  <c:v>281596</c:v>
                </c:pt>
                <c:pt idx="10">
                  <c:v>289955</c:v>
                </c:pt>
                <c:pt idx="11">
                  <c:v>355077</c:v>
                </c:pt>
                <c:pt idx="12">
                  <c:v>347455</c:v>
                </c:pt>
                <c:pt idx="13">
                  <c:v>349415</c:v>
                </c:pt>
                <c:pt idx="14">
                  <c:v>356315</c:v>
                </c:pt>
                <c:pt idx="15">
                  <c:v>359294</c:v>
                </c:pt>
                <c:pt idx="16">
                  <c:v>385310</c:v>
                </c:pt>
                <c:pt idx="17">
                  <c:v>371019</c:v>
                </c:pt>
                <c:pt idx="18">
                  <c:v>357606</c:v>
                </c:pt>
                <c:pt idx="19">
                  <c:v>372752</c:v>
                </c:pt>
                <c:pt idx="20">
                  <c:v>343450</c:v>
                </c:pt>
                <c:pt idx="21">
                  <c:v>346468</c:v>
                </c:pt>
                <c:pt idx="22">
                  <c:v>320681</c:v>
                </c:pt>
                <c:pt idx="23">
                  <c:v>352986</c:v>
                </c:pt>
                <c:pt idx="24">
                  <c:v>337561</c:v>
                </c:pt>
                <c:pt idx="25">
                  <c:v>337869</c:v>
                </c:pt>
                <c:pt idx="26">
                  <c:v>351051</c:v>
                </c:pt>
                <c:pt idx="27">
                  <c:v>455683</c:v>
                </c:pt>
                <c:pt idx="28">
                  <c:v>326609</c:v>
                </c:pt>
                <c:pt idx="29">
                  <c:v>335901</c:v>
                </c:pt>
                <c:pt idx="30">
                  <c:v>345559</c:v>
                </c:pt>
                <c:pt idx="31">
                  <c:v>395028</c:v>
                </c:pt>
                <c:pt idx="32">
                  <c:v>313297</c:v>
                </c:pt>
                <c:pt idx="33">
                  <c:v>337318</c:v>
                </c:pt>
                <c:pt idx="34">
                  <c:v>320831</c:v>
                </c:pt>
                <c:pt idx="35">
                  <c:v>327720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356-0744-A1C3-23917A4B8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148863"/>
        <c:axId val="1204179760"/>
      </c:scatterChart>
      <c:valAx>
        <c:axId val="90814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Этаж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4179760"/>
        <c:crosses val="autoZero"/>
        <c:crossBetween val="midCat"/>
      </c:valAx>
      <c:valAx>
        <c:axId val="12041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Стоимость 1кв/м</a:t>
                </a:r>
                <a:r>
                  <a:rPr lang="ru-RU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жилья комфорт класса, руб</a:t>
                </a:r>
                <a:endParaRPr lang="ru-RU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8148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Сравнительный</a:t>
            </a:r>
            <a:r>
              <a:rPr lang="ru-RU" baseline="0"/>
              <a:t> график </a:t>
            </a:r>
            <a:r>
              <a:rPr lang="en-US" baseline="0"/>
              <a:t>Y и</a:t>
            </a:r>
            <a:r>
              <a:rPr lang="ru-RU" baseline="0"/>
              <a:t> </a:t>
            </a:r>
            <a:r>
              <a:rPr lang="en-US" baseline="0"/>
              <a:t>Y(x)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'Коррел и регресс модели'!$I$59:$I$94</c:f>
              <c:numCache>
                <c:formatCode>General</c:formatCode>
                <c:ptCount val="36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35</c:v>
                </c:pt>
                <c:pt idx="4">
                  <c:v>4</c:v>
                </c:pt>
                <c:pt idx="5">
                  <c:v>10</c:v>
                </c:pt>
                <c:pt idx="6">
                  <c:v>23</c:v>
                </c:pt>
                <c:pt idx="7">
                  <c:v>35</c:v>
                </c:pt>
                <c:pt idx="8">
                  <c:v>4</c:v>
                </c:pt>
                <c:pt idx="9">
                  <c:v>11</c:v>
                </c:pt>
                <c:pt idx="10">
                  <c:v>24</c:v>
                </c:pt>
                <c:pt idx="11">
                  <c:v>35</c:v>
                </c:pt>
                <c:pt idx="12">
                  <c:v>5</c:v>
                </c:pt>
                <c:pt idx="13">
                  <c:v>10</c:v>
                </c:pt>
                <c:pt idx="14">
                  <c:v>26</c:v>
                </c:pt>
                <c:pt idx="15">
                  <c:v>34</c:v>
                </c:pt>
                <c:pt idx="16">
                  <c:v>5</c:v>
                </c:pt>
                <c:pt idx="17">
                  <c:v>13</c:v>
                </c:pt>
                <c:pt idx="18">
                  <c:v>24</c:v>
                </c:pt>
                <c:pt idx="19">
                  <c:v>36</c:v>
                </c:pt>
                <c:pt idx="20">
                  <c:v>5</c:v>
                </c:pt>
                <c:pt idx="21">
                  <c:v>11</c:v>
                </c:pt>
                <c:pt idx="22">
                  <c:v>20</c:v>
                </c:pt>
                <c:pt idx="23">
                  <c:v>37</c:v>
                </c:pt>
                <c:pt idx="24">
                  <c:v>9</c:v>
                </c:pt>
                <c:pt idx="25">
                  <c:v>12</c:v>
                </c:pt>
                <c:pt idx="26">
                  <c:v>24</c:v>
                </c:pt>
                <c:pt idx="27">
                  <c:v>28</c:v>
                </c:pt>
                <c:pt idx="28">
                  <c:v>2</c:v>
                </c:pt>
                <c:pt idx="29">
                  <c:v>11</c:v>
                </c:pt>
                <c:pt idx="30">
                  <c:v>23</c:v>
                </c:pt>
                <c:pt idx="31">
                  <c:v>30</c:v>
                </c:pt>
                <c:pt idx="32">
                  <c:v>2</c:v>
                </c:pt>
                <c:pt idx="33">
                  <c:v>10</c:v>
                </c:pt>
                <c:pt idx="34">
                  <c:v>23</c:v>
                </c:pt>
                <c:pt idx="35">
                  <c:v>29</c:v>
                </c:pt>
              </c:numCache>
            </c:numRef>
          </c:xVal>
          <c:yVal>
            <c:numRef>
              <c:f>'Коррел и регресс модели'!$H$59:$H$94</c:f>
              <c:numCache>
                <c:formatCode>_-* #\ ##0.00\ [$₽-419]_-;\-* #\ ##0.00\ [$₽-419]_-;_-* "-"??\ [$₽-419]_-;_-@_-</c:formatCode>
                <c:ptCount val="36"/>
                <c:pt idx="0">
                  <c:v>318699</c:v>
                </c:pt>
                <c:pt idx="1">
                  <c:v>336522</c:v>
                </c:pt>
                <c:pt idx="2">
                  <c:v>341090</c:v>
                </c:pt>
                <c:pt idx="3">
                  <c:v>355077</c:v>
                </c:pt>
                <c:pt idx="4">
                  <c:v>308237</c:v>
                </c:pt>
                <c:pt idx="5">
                  <c:v>306153</c:v>
                </c:pt>
                <c:pt idx="6">
                  <c:v>333235</c:v>
                </c:pt>
                <c:pt idx="7">
                  <c:v>337589</c:v>
                </c:pt>
                <c:pt idx="8">
                  <c:v>274171</c:v>
                </c:pt>
                <c:pt idx="9">
                  <c:v>281596</c:v>
                </c:pt>
                <c:pt idx="10">
                  <c:v>289955</c:v>
                </c:pt>
                <c:pt idx="11">
                  <c:v>355077</c:v>
                </c:pt>
                <c:pt idx="12">
                  <c:v>347455</c:v>
                </c:pt>
                <c:pt idx="13">
                  <c:v>349415</c:v>
                </c:pt>
                <c:pt idx="14">
                  <c:v>356315</c:v>
                </c:pt>
                <c:pt idx="15">
                  <c:v>359294</c:v>
                </c:pt>
                <c:pt idx="16">
                  <c:v>385310</c:v>
                </c:pt>
                <c:pt idx="17">
                  <c:v>371019</c:v>
                </c:pt>
                <c:pt idx="18">
                  <c:v>357606</c:v>
                </c:pt>
                <c:pt idx="19">
                  <c:v>372752</c:v>
                </c:pt>
                <c:pt idx="20">
                  <c:v>343450</c:v>
                </c:pt>
                <c:pt idx="21">
                  <c:v>346468</c:v>
                </c:pt>
                <c:pt idx="22">
                  <c:v>320681</c:v>
                </c:pt>
                <c:pt idx="23">
                  <c:v>352986</c:v>
                </c:pt>
                <c:pt idx="24">
                  <c:v>337561</c:v>
                </c:pt>
                <c:pt idx="25">
                  <c:v>337869</c:v>
                </c:pt>
                <c:pt idx="26">
                  <c:v>351051</c:v>
                </c:pt>
                <c:pt idx="27">
                  <c:v>455683</c:v>
                </c:pt>
                <c:pt idx="28">
                  <c:v>326609</c:v>
                </c:pt>
                <c:pt idx="29">
                  <c:v>335901</c:v>
                </c:pt>
                <c:pt idx="30">
                  <c:v>345559</c:v>
                </c:pt>
                <c:pt idx="31">
                  <c:v>395028</c:v>
                </c:pt>
                <c:pt idx="32">
                  <c:v>313297</c:v>
                </c:pt>
                <c:pt idx="33">
                  <c:v>337318</c:v>
                </c:pt>
                <c:pt idx="34">
                  <c:v>320831</c:v>
                </c:pt>
                <c:pt idx="35">
                  <c:v>327720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1-E045-B173-40FDFCAC1F62}"/>
            </c:ext>
          </c:extLst>
        </c:ser>
        <c:ser>
          <c:idx val="1"/>
          <c:order val="1"/>
          <c:tx>
            <c:strRef>
              <c:f>'Коррел и регресс модели'!$J$58</c:f>
              <c:strCache>
                <c:ptCount val="1"/>
                <c:pt idx="0">
                  <c:v>Y(x) (Y(x)=a0+a1*x1)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'Коррел и регресс модели'!$J$59:$J$94</c:f>
              <c:numCache>
                <c:formatCode>_-* #\ ##0.00\ _₽_-;\-* #\ ##0.00\ _₽_-;_-* "-"??\ _₽_-;_-@_-</c:formatCode>
                <c:ptCount val="36"/>
                <c:pt idx="0">
                  <c:v>325198.51837718661</c:v>
                </c:pt>
                <c:pt idx="1">
                  <c:v>333218.41196637112</c:v>
                </c:pt>
                <c:pt idx="2">
                  <c:v>346966.8009764016</c:v>
                </c:pt>
                <c:pt idx="3">
                  <c:v>360715.18998643209</c:v>
                </c:pt>
                <c:pt idx="4">
                  <c:v>325198.51837718661</c:v>
                </c:pt>
                <c:pt idx="5">
                  <c:v>332072.71288220189</c:v>
                </c:pt>
                <c:pt idx="6">
                  <c:v>346966.8009764016</c:v>
                </c:pt>
                <c:pt idx="7">
                  <c:v>360715.18998643209</c:v>
                </c:pt>
                <c:pt idx="8">
                  <c:v>325198.51837718661</c:v>
                </c:pt>
                <c:pt idx="9">
                  <c:v>333218.41196637112</c:v>
                </c:pt>
                <c:pt idx="10">
                  <c:v>348112.50006057078</c:v>
                </c:pt>
                <c:pt idx="11">
                  <c:v>360715.18998643209</c:v>
                </c:pt>
                <c:pt idx="12">
                  <c:v>326344.21746135585</c:v>
                </c:pt>
                <c:pt idx="13">
                  <c:v>332072.71288220189</c:v>
                </c:pt>
                <c:pt idx="14">
                  <c:v>350403.89822890924</c:v>
                </c:pt>
                <c:pt idx="15">
                  <c:v>359569.49090226286</c:v>
                </c:pt>
                <c:pt idx="16">
                  <c:v>326344.21746135585</c:v>
                </c:pt>
                <c:pt idx="17">
                  <c:v>335509.81013470952</c:v>
                </c:pt>
                <c:pt idx="18">
                  <c:v>348112.50006057078</c:v>
                </c:pt>
                <c:pt idx="19">
                  <c:v>361860.88907060132</c:v>
                </c:pt>
                <c:pt idx="20">
                  <c:v>326344.21746135585</c:v>
                </c:pt>
                <c:pt idx="21">
                  <c:v>333218.41196637112</c:v>
                </c:pt>
                <c:pt idx="22">
                  <c:v>343529.70372389397</c:v>
                </c:pt>
                <c:pt idx="23">
                  <c:v>363006.58815477049</c:v>
                </c:pt>
                <c:pt idx="24">
                  <c:v>330927.01379803265</c:v>
                </c:pt>
                <c:pt idx="25">
                  <c:v>334364.11105054029</c:v>
                </c:pt>
                <c:pt idx="26">
                  <c:v>348112.50006057078</c:v>
                </c:pt>
                <c:pt idx="27">
                  <c:v>352695.29639724764</c:v>
                </c:pt>
                <c:pt idx="28">
                  <c:v>322907.12020884821</c:v>
                </c:pt>
                <c:pt idx="29">
                  <c:v>333218.41196637112</c:v>
                </c:pt>
                <c:pt idx="30">
                  <c:v>346966.8009764016</c:v>
                </c:pt>
                <c:pt idx="31">
                  <c:v>354986.69456558605</c:v>
                </c:pt>
                <c:pt idx="32">
                  <c:v>322907.12020884821</c:v>
                </c:pt>
                <c:pt idx="33">
                  <c:v>332072.71288220189</c:v>
                </c:pt>
                <c:pt idx="34">
                  <c:v>346966.8009764016</c:v>
                </c:pt>
                <c:pt idx="35">
                  <c:v>353840.99548141682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31-E045-B173-40FDFCAC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0911"/>
        <c:axId val="1116828720"/>
      </c:scatterChart>
      <c:valAx>
        <c:axId val="2119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(X) </a:t>
                </a:r>
                <a:r>
                  <a:rPr lang="ru-RU"/>
                  <a:t>Этаж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6828720"/>
        <c:crosses val="autoZero"/>
        <c:crossBetween val="midCat"/>
      </c:valAx>
      <c:valAx>
        <c:axId val="11168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(</a:t>
                </a:r>
                <a:r>
                  <a:rPr lang="en-US"/>
                  <a:t>Y)</a:t>
                </a:r>
                <a:r>
                  <a:rPr lang="en-US" baseline="0"/>
                  <a:t> </a:t>
                </a:r>
                <a:r>
                  <a:rPr lang="ru-RU"/>
                  <a:t>Стоимость 1 кв/м</a:t>
                </a:r>
                <a:r>
                  <a:rPr lang="ru-RU" baseline="0"/>
                  <a:t> жилья комфорт-класса</a:t>
                </a:r>
                <a:r>
                  <a:rPr lang="ru-RU"/>
                  <a:t>,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представление 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</a:t>
            </a:r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рафиков исходных данных и по регрессионным моделям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'Коррел и регресс модели'!$S$58:$S$93</c:f>
              <c:numCache>
                <c:formatCode>General</c:formatCode>
                <c:ptCount val="36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35</c:v>
                </c:pt>
                <c:pt idx="4">
                  <c:v>4</c:v>
                </c:pt>
                <c:pt idx="5">
                  <c:v>10</c:v>
                </c:pt>
                <c:pt idx="6">
                  <c:v>23</c:v>
                </c:pt>
                <c:pt idx="7">
                  <c:v>35</c:v>
                </c:pt>
                <c:pt idx="8">
                  <c:v>4</c:v>
                </c:pt>
                <c:pt idx="9">
                  <c:v>11</c:v>
                </c:pt>
                <c:pt idx="10">
                  <c:v>24</c:v>
                </c:pt>
                <c:pt idx="11">
                  <c:v>35</c:v>
                </c:pt>
                <c:pt idx="12">
                  <c:v>5</c:v>
                </c:pt>
                <c:pt idx="13">
                  <c:v>10</c:v>
                </c:pt>
                <c:pt idx="14">
                  <c:v>26</c:v>
                </c:pt>
                <c:pt idx="15">
                  <c:v>34</c:v>
                </c:pt>
                <c:pt idx="16">
                  <c:v>5</c:v>
                </c:pt>
                <c:pt idx="17">
                  <c:v>13</c:v>
                </c:pt>
                <c:pt idx="18">
                  <c:v>24</c:v>
                </c:pt>
                <c:pt idx="19">
                  <c:v>36</c:v>
                </c:pt>
                <c:pt idx="20">
                  <c:v>5</c:v>
                </c:pt>
                <c:pt idx="21">
                  <c:v>11</c:v>
                </c:pt>
                <c:pt idx="22">
                  <c:v>20</c:v>
                </c:pt>
                <c:pt idx="23">
                  <c:v>37</c:v>
                </c:pt>
                <c:pt idx="24">
                  <c:v>9</c:v>
                </c:pt>
                <c:pt idx="25">
                  <c:v>12</c:v>
                </c:pt>
                <c:pt idx="26">
                  <c:v>24</c:v>
                </c:pt>
                <c:pt idx="27">
                  <c:v>28</c:v>
                </c:pt>
                <c:pt idx="28">
                  <c:v>2</c:v>
                </c:pt>
                <c:pt idx="29">
                  <c:v>11</c:v>
                </c:pt>
                <c:pt idx="30">
                  <c:v>23</c:v>
                </c:pt>
                <c:pt idx="31">
                  <c:v>30</c:v>
                </c:pt>
                <c:pt idx="32">
                  <c:v>2</c:v>
                </c:pt>
                <c:pt idx="33">
                  <c:v>10</c:v>
                </c:pt>
                <c:pt idx="34">
                  <c:v>23</c:v>
                </c:pt>
                <c:pt idx="35">
                  <c:v>29</c:v>
                </c:pt>
              </c:numCache>
            </c:numRef>
          </c:xVal>
          <c:yVal>
            <c:numRef>
              <c:f>('Коррел и регресс модели'!$R$58:$R$93,'Коррел и регресс модели'!$J$59:$J$94)</c:f>
              <c:numCache>
                <c:formatCode>_-* #\ ##0.00\ [$₽-419]_-;\-* #\ ##0.00\ [$₽-419]_-;_-* "-"??\ [$₽-419]_-;_-@_-</c:formatCode>
                <c:ptCount val="72"/>
                <c:pt idx="0">
                  <c:v>318699</c:v>
                </c:pt>
                <c:pt idx="1">
                  <c:v>336522</c:v>
                </c:pt>
                <c:pt idx="2">
                  <c:v>341090</c:v>
                </c:pt>
                <c:pt idx="3">
                  <c:v>355077</c:v>
                </c:pt>
                <c:pt idx="4">
                  <c:v>308237</c:v>
                </c:pt>
                <c:pt idx="5">
                  <c:v>306153</c:v>
                </c:pt>
                <c:pt idx="6">
                  <c:v>333235</c:v>
                </c:pt>
                <c:pt idx="7">
                  <c:v>337589</c:v>
                </c:pt>
                <c:pt idx="8">
                  <c:v>274171</c:v>
                </c:pt>
                <c:pt idx="9">
                  <c:v>281596</c:v>
                </c:pt>
                <c:pt idx="10">
                  <c:v>289955</c:v>
                </c:pt>
                <c:pt idx="11">
                  <c:v>355077</c:v>
                </c:pt>
                <c:pt idx="12">
                  <c:v>347455</c:v>
                </c:pt>
                <c:pt idx="13">
                  <c:v>349415</c:v>
                </c:pt>
                <c:pt idx="14">
                  <c:v>356315</c:v>
                </c:pt>
                <c:pt idx="15">
                  <c:v>359294</c:v>
                </c:pt>
                <c:pt idx="16">
                  <c:v>385310</c:v>
                </c:pt>
                <c:pt idx="17">
                  <c:v>371019</c:v>
                </c:pt>
                <c:pt idx="18">
                  <c:v>357606</c:v>
                </c:pt>
                <c:pt idx="19">
                  <c:v>372752</c:v>
                </c:pt>
                <c:pt idx="20">
                  <c:v>343450</c:v>
                </c:pt>
                <c:pt idx="21">
                  <c:v>346468</c:v>
                </c:pt>
                <c:pt idx="22">
                  <c:v>320681</c:v>
                </c:pt>
                <c:pt idx="23">
                  <c:v>352986</c:v>
                </c:pt>
                <c:pt idx="24">
                  <c:v>337561</c:v>
                </c:pt>
                <c:pt idx="25">
                  <c:v>337869</c:v>
                </c:pt>
                <c:pt idx="26">
                  <c:v>351051</c:v>
                </c:pt>
                <c:pt idx="27">
                  <c:v>455683</c:v>
                </c:pt>
                <c:pt idx="28">
                  <c:v>326609</c:v>
                </c:pt>
                <c:pt idx="29">
                  <c:v>335901</c:v>
                </c:pt>
                <c:pt idx="30">
                  <c:v>345559</c:v>
                </c:pt>
                <c:pt idx="31">
                  <c:v>395028</c:v>
                </c:pt>
                <c:pt idx="32">
                  <c:v>313297</c:v>
                </c:pt>
                <c:pt idx="33">
                  <c:v>337318</c:v>
                </c:pt>
                <c:pt idx="34">
                  <c:v>320831</c:v>
                </c:pt>
                <c:pt idx="35">
                  <c:v>327720</c:v>
                </c:pt>
                <c:pt idx="36" formatCode="_-* #\ ##0.00\ _₽_-;\-* #\ ##0.00\ _₽_-;_-* &quot;-&quot;??\ _₽_-;_-@_-">
                  <c:v>325198.51837718661</c:v>
                </c:pt>
                <c:pt idx="37" formatCode="_-* #\ ##0.00\ _₽_-;\-* #\ ##0.00\ _₽_-;_-* &quot;-&quot;??\ _₽_-;_-@_-">
                  <c:v>333218.41196637112</c:v>
                </c:pt>
                <c:pt idx="38" formatCode="_-* #\ ##0.00\ _₽_-;\-* #\ ##0.00\ _₽_-;_-* &quot;-&quot;??\ _₽_-;_-@_-">
                  <c:v>346966.8009764016</c:v>
                </c:pt>
                <c:pt idx="39" formatCode="_-* #\ ##0.00\ _₽_-;\-* #\ ##0.00\ _₽_-;_-* &quot;-&quot;??\ _₽_-;_-@_-">
                  <c:v>360715.18998643209</c:v>
                </c:pt>
                <c:pt idx="40" formatCode="_-* #\ ##0.00\ _₽_-;\-* #\ ##0.00\ _₽_-;_-* &quot;-&quot;??\ _₽_-;_-@_-">
                  <c:v>325198.51837718661</c:v>
                </c:pt>
                <c:pt idx="41" formatCode="_-* #\ ##0.00\ _₽_-;\-* #\ ##0.00\ _₽_-;_-* &quot;-&quot;??\ _₽_-;_-@_-">
                  <c:v>332072.71288220189</c:v>
                </c:pt>
                <c:pt idx="42" formatCode="_-* #\ ##0.00\ _₽_-;\-* #\ ##0.00\ _₽_-;_-* &quot;-&quot;??\ _₽_-;_-@_-">
                  <c:v>346966.8009764016</c:v>
                </c:pt>
                <c:pt idx="43" formatCode="_-* #\ ##0.00\ _₽_-;\-* #\ ##0.00\ _₽_-;_-* &quot;-&quot;??\ _₽_-;_-@_-">
                  <c:v>360715.18998643209</c:v>
                </c:pt>
                <c:pt idx="44" formatCode="_-* #\ ##0.00\ _₽_-;\-* #\ ##0.00\ _₽_-;_-* &quot;-&quot;??\ _₽_-;_-@_-">
                  <c:v>325198.51837718661</c:v>
                </c:pt>
                <c:pt idx="45" formatCode="_-* #\ ##0.00\ _₽_-;\-* #\ ##0.00\ _₽_-;_-* &quot;-&quot;??\ _₽_-;_-@_-">
                  <c:v>333218.41196637112</c:v>
                </c:pt>
                <c:pt idx="46" formatCode="_-* #\ ##0.00\ _₽_-;\-* #\ ##0.00\ _₽_-;_-* &quot;-&quot;??\ _₽_-;_-@_-">
                  <c:v>348112.50006057078</c:v>
                </c:pt>
                <c:pt idx="47" formatCode="_-* #\ ##0.00\ _₽_-;\-* #\ ##0.00\ _₽_-;_-* &quot;-&quot;??\ _₽_-;_-@_-">
                  <c:v>360715.18998643209</c:v>
                </c:pt>
                <c:pt idx="48" formatCode="_-* #\ ##0.00\ _₽_-;\-* #\ ##0.00\ _₽_-;_-* &quot;-&quot;??\ _₽_-;_-@_-">
                  <c:v>326344.21746135585</c:v>
                </c:pt>
                <c:pt idx="49" formatCode="_-* #\ ##0.00\ _₽_-;\-* #\ ##0.00\ _₽_-;_-* &quot;-&quot;??\ _₽_-;_-@_-">
                  <c:v>332072.71288220189</c:v>
                </c:pt>
                <c:pt idx="50" formatCode="_-* #\ ##0.00\ _₽_-;\-* #\ ##0.00\ _₽_-;_-* &quot;-&quot;??\ _₽_-;_-@_-">
                  <c:v>350403.89822890924</c:v>
                </c:pt>
                <c:pt idx="51" formatCode="_-* #\ ##0.00\ _₽_-;\-* #\ ##0.00\ _₽_-;_-* &quot;-&quot;??\ _₽_-;_-@_-">
                  <c:v>359569.49090226286</c:v>
                </c:pt>
                <c:pt idx="52" formatCode="_-* #\ ##0.00\ _₽_-;\-* #\ ##0.00\ _₽_-;_-* &quot;-&quot;??\ _₽_-;_-@_-">
                  <c:v>326344.21746135585</c:v>
                </c:pt>
                <c:pt idx="53" formatCode="_-* #\ ##0.00\ _₽_-;\-* #\ ##0.00\ _₽_-;_-* &quot;-&quot;??\ _₽_-;_-@_-">
                  <c:v>335509.81013470952</c:v>
                </c:pt>
                <c:pt idx="54" formatCode="_-* #\ ##0.00\ _₽_-;\-* #\ ##0.00\ _₽_-;_-* &quot;-&quot;??\ _₽_-;_-@_-">
                  <c:v>348112.50006057078</c:v>
                </c:pt>
                <c:pt idx="55" formatCode="_-* #\ ##0.00\ _₽_-;\-* #\ ##0.00\ _₽_-;_-* &quot;-&quot;??\ _₽_-;_-@_-">
                  <c:v>361860.88907060132</c:v>
                </c:pt>
                <c:pt idx="56" formatCode="_-* #\ ##0.00\ _₽_-;\-* #\ ##0.00\ _₽_-;_-* &quot;-&quot;??\ _₽_-;_-@_-">
                  <c:v>326344.21746135585</c:v>
                </c:pt>
                <c:pt idx="57" formatCode="_-* #\ ##0.00\ _₽_-;\-* #\ ##0.00\ _₽_-;_-* &quot;-&quot;??\ _₽_-;_-@_-">
                  <c:v>333218.41196637112</c:v>
                </c:pt>
                <c:pt idx="58" formatCode="_-* #\ ##0.00\ _₽_-;\-* #\ ##0.00\ _₽_-;_-* &quot;-&quot;??\ _₽_-;_-@_-">
                  <c:v>343529.70372389397</c:v>
                </c:pt>
                <c:pt idx="59" formatCode="_-* #\ ##0.00\ _₽_-;\-* #\ ##0.00\ _₽_-;_-* &quot;-&quot;??\ _₽_-;_-@_-">
                  <c:v>363006.58815477049</c:v>
                </c:pt>
                <c:pt idx="60" formatCode="_-* #\ ##0.00\ _₽_-;\-* #\ ##0.00\ _₽_-;_-* &quot;-&quot;??\ _₽_-;_-@_-">
                  <c:v>330927.01379803265</c:v>
                </c:pt>
                <c:pt idx="61" formatCode="_-* #\ ##0.00\ _₽_-;\-* #\ ##0.00\ _₽_-;_-* &quot;-&quot;??\ _₽_-;_-@_-">
                  <c:v>334364.11105054029</c:v>
                </c:pt>
                <c:pt idx="62" formatCode="_-* #\ ##0.00\ _₽_-;\-* #\ ##0.00\ _₽_-;_-* &quot;-&quot;??\ _₽_-;_-@_-">
                  <c:v>348112.50006057078</c:v>
                </c:pt>
                <c:pt idx="63" formatCode="_-* #\ ##0.00\ _₽_-;\-* #\ ##0.00\ _₽_-;_-* &quot;-&quot;??\ _₽_-;_-@_-">
                  <c:v>352695.29639724764</c:v>
                </c:pt>
                <c:pt idx="64" formatCode="_-* #\ ##0.00\ _₽_-;\-* #\ ##0.00\ _₽_-;_-* &quot;-&quot;??\ _₽_-;_-@_-">
                  <c:v>322907.12020884821</c:v>
                </c:pt>
                <c:pt idx="65" formatCode="_-* #\ ##0.00\ _₽_-;\-* #\ ##0.00\ _₽_-;_-* &quot;-&quot;??\ _₽_-;_-@_-">
                  <c:v>333218.41196637112</c:v>
                </c:pt>
                <c:pt idx="66" formatCode="_-* #\ ##0.00\ _₽_-;\-* #\ ##0.00\ _₽_-;_-* &quot;-&quot;??\ _₽_-;_-@_-">
                  <c:v>346966.8009764016</c:v>
                </c:pt>
                <c:pt idx="67" formatCode="_-* #\ ##0.00\ _₽_-;\-* #\ ##0.00\ _₽_-;_-* &quot;-&quot;??\ _₽_-;_-@_-">
                  <c:v>354986.69456558605</c:v>
                </c:pt>
                <c:pt idx="68" formatCode="_-* #\ ##0.00\ _₽_-;\-* #\ ##0.00\ _₽_-;_-* &quot;-&quot;??\ _₽_-;_-@_-">
                  <c:v>322907.12020884821</c:v>
                </c:pt>
                <c:pt idx="69" formatCode="_-* #\ ##0.00\ _₽_-;\-* #\ ##0.00\ _₽_-;_-* &quot;-&quot;??\ _₽_-;_-@_-">
                  <c:v>332072.71288220189</c:v>
                </c:pt>
                <c:pt idx="70" formatCode="_-* #\ ##0.00\ _₽_-;\-* #\ ##0.00\ _₽_-;_-* &quot;-&quot;??\ _₽_-;_-@_-">
                  <c:v>346966.8009764016</c:v>
                </c:pt>
                <c:pt idx="71" formatCode="_-* #\ ##0.00\ _₽_-;\-* #\ ##0.00\ _₽_-;_-* &quot;-&quot;??\ _₽_-;_-@_-">
                  <c:v>353840.99548141682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C-2644-B411-9B3E57D6D408}"/>
            </c:ext>
          </c:extLst>
        </c:ser>
        <c:ser>
          <c:idx val="1"/>
          <c:order val="1"/>
          <c:tx>
            <c:strRef>
              <c:f>'Коррел и регресс модели'!$J$58</c:f>
              <c:strCache>
                <c:ptCount val="1"/>
                <c:pt idx="0">
                  <c:v>Y(x) (Y(x)=a0+a1*x1)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'Коррел и регресс модели'!$J$59:$J$94</c:f>
              <c:numCache>
                <c:formatCode>General</c:formatCode>
                <c:ptCount val="36"/>
                <c:pt idx="0">
                  <c:v>325198.51837718661</c:v>
                </c:pt>
                <c:pt idx="1">
                  <c:v>333218.41196637112</c:v>
                </c:pt>
                <c:pt idx="2">
                  <c:v>346966.8009764016</c:v>
                </c:pt>
                <c:pt idx="3">
                  <c:v>360715.18998643209</c:v>
                </c:pt>
                <c:pt idx="4">
                  <c:v>325198.51837718661</c:v>
                </c:pt>
                <c:pt idx="5">
                  <c:v>332072.71288220189</c:v>
                </c:pt>
                <c:pt idx="6">
                  <c:v>346966.8009764016</c:v>
                </c:pt>
                <c:pt idx="7">
                  <c:v>360715.18998643209</c:v>
                </c:pt>
                <c:pt idx="8">
                  <c:v>325198.51837718661</c:v>
                </c:pt>
                <c:pt idx="9">
                  <c:v>333218.41196637112</c:v>
                </c:pt>
                <c:pt idx="10">
                  <c:v>348112.50006057078</c:v>
                </c:pt>
                <c:pt idx="11">
                  <c:v>360715.18998643209</c:v>
                </c:pt>
                <c:pt idx="12">
                  <c:v>326344.21746135585</c:v>
                </c:pt>
                <c:pt idx="13">
                  <c:v>332072.71288220189</c:v>
                </c:pt>
                <c:pt idx="14">
                  <c:v>350403.89822890924</c:v>
                </c:pt>
                <c:pt idx="15">
                  <c:v>359569.49090226286</c:v>
                </c:pt>
                <c:pt idx="16">
                  <c:v>326344.21746135585</c:v>
                </c:pt>
                <c:pt idx="17">
                  <c:v>335509.81013470952</c:v>
                </c:pt>
                <c:pt idx="18">
                  <c:v>348112.50006057078</c:v>
                </c:pt>
                <c:pt idx="19">
                  <c:v>361860.88907060132</c:v>
                </c:pt>
                <c:pt idx="20">
                  <c:v>326344.21746135585</c:v>
                </c:pt>
                <c:pt idx="21">
                  <c:v>333218.41196637112</c:v>
                </c:pt>
                <c:pt idx="22">
                  <c:v>343529.70372389397</c:v>
                </c:pt>
                <c:pt idx="23">
                  <c:v>363006.58815477049</c:v>
                </c:pt>
                <c:pt idx="24">
                  <c:v>330927.01379803265</c:v>
                </c:pt>
                <c:pt idx="25">
                  <c:v>334364.11105054029</c:v>
                </c:pt>
                <c:pt idx="26">
                  <c:v>348112.50006057078</c:v>
                </c:pt>
                <c:pt idx="27">
                  <c:v>352695.29639724764</c:v>
                </c:pt>
                <c:pt idx="28">
                  <c:v>322907.12020884821</c:v>
                </c:pt>
                <c:pt idx="29">
                  <c:v>333218.41196637112</c:v>
                </c:pt>
                <c:pt idx="30">
                  <c:v>346966.8009764016</c:v>
                </c:pt>
                <c:pt idx="31">
                  <c:v>354986.69456558605</c:v>
                </c:pt>
                <c:pt idx="32">
                  <c:v>322907.12020884821</c:v>
                </c:pt>
                <c:pt idx="33">
                  <c:v>332072.71288220189</c:v>
                </c:pt>
                <c:pt idx="34">
                  <c:v>346966.8009764016</c:v>
                </c:pt>
                <c:pt idx="35">
                  <c:v>353840.99548141682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AFC-2644-B411-9B3E57D6D408}"/>
            </c:ext>
          </c:extLst>
        </c:ser>
        <c:ser>
          <c:idx val="2"/>
          <c:order val="2"/>
          <c:tx>
            <c:strRef>
              <c:f>'Коррел и регресс модели'!$W$57</c:f>
              <c:strCache>
                <c:ptCount val="1"/>
                <c:pt idx="0">
                  <c:v>Y(x)=b0+b1*1/x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'Коррел и регресс модели'!$W$58:$W$93</c:f>
              <c:numCache>
                <c:formatCode>General</c:formatCode>
                <c:ptCount val="36"/>
                <c:pt idx="0">
                  <c:v>328733.68244790751</c:v>
                </c:pt>
                <c:pt idx="1">
                  <c:v>342903.66967347031</c:v>
                </c:pt>
                <c:pt idx="2">
                  <c:v>347128.26213823439</c:v>
                </c:pt>
                <c:pt idx="3">
                  <c:v>348455.99119858886</c:v>
                </c:pt>
                <c:pt idx="4">
                  <c:v>328733.68244790751</c:v>
                </c:pt>
                <c:pt idx="5">
                  <c:v>342093.95611772389</c:v>
                </c:pt>
                <c:pt idx="6">
                  <c:v>347128.26213823439</c:v>
                </c:pt>
                <c:pt idx="7">
                  <c:v>348455.99119858886</c:v>
                </c:pt>
                <c:pt idx="8">
                  <c:v>328733.68244790751</c:v>
                </c:pt>
                <c:pt idx="9">
                  <c:v>342903.66967347031</c:v>
                </c:pt>
                <c:pt idx="10">
                  <c:v>347289.61810043023</c:v>
                </c:pt>
                <c:pt idx="11">
                  <c:v>348455.99119858886</c:v>
                </c:pt>
                <c:pt idx="12">
                  <c:v>333187.10700451297</c:v>
                </c:pt>
                <c:pt idx="13">
                  <c:v>342093.95611772389</c:v>
                </c:pt>
                <c:pt idx="14">
                  <c:v>347575.09403354599</c:v>
                </c:pt>
                <c:pt idx="15">
                  <c:v>348381.14372704923</c:v>
                </c:pt>
                <c:pt idx="16">
                  <c:v>333187.10700451297</c:v>
                </c:pt>
                <c:pt idx="17">
                  <c:v>344149.38283615717</c:v>
                </c:pt>
                <c:pt idx="18">
                  <c:v>347289.61810043023</c:v>
                </c:pt>
                <c:pt idx="19">
                  <c:v>348526.68047726509</c:v>
                </c:pt>
                <c:pt idx="20">
                  <c:v>333187.10700451297</c:v>
                </c:pt>
                <c:pt idx="21">
                  <c:v>342903.66967347031</c:v>
                </c:pt>
                <c:pt idx="22">
                  <c:v>346547.38067432935</c:v>
                </c:pt>
                <c:pt idx="23">
                  <c:v>348593.54871385079</c:v>
                </c:pt>
                <c:pt idx="24">
                  <c:v>341104.30621625599</c:v>
                </c:pt>
                <c:pt idx="25">
                  <c:v>343578.43096992571</c:v>
                </c:pt>
                <c:pt idx="26">
                  <c:v>347289.61810043023</c:v>
                </c:pt>
                <c:pt idx="27">
                  <c:v>347819.78769050236</c:v>
                </c:pt>
                <c:pt idx="28">
                  <c:v>306466.55966488022</c:v>
                </c:pt>
                <c:pt idx="29">
                  <c:v>342903.66967347031</c:v>
                </c:pt>
                <c:pt idx="30">
                  <c:v>347128.26213823439</c:v>
                </c:pt>
                <c:pt idx="31">
                  <c:v>348031.85552653117</c:v>
                </c:pt>
                <c:pt idx="32">
                  <c:v>306466.55966488022</c:v>
                </c:pt>
                <c:pt idx="33">
                  <c:v>342093.95611772389</c:v>
                </c:pt>
                <c:pt idx="34">
                  <c:v>347128.26213823439</c:v>
                </c:pt>
                <c:pt idx="35">
                  <c:v>347929.47795051726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AFC-2644-B411-9B3E57D6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887440"/>
        <c:axId val="1502032688"/>
      </c:scatterChart>
      <c:valAx>
        <c:axId val="133488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(X) </a:t>
                </a:r>
                <a:r>
                  <a:rPr lang="ru-RU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Этаж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2032688"/>
        <c:crosses val="autoZero"/>
        <c:crossBetween val="midCat"/>
      </c:valAx>
      <c:valAx>
        <c:axId val="15020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(Y) </a:t>
                </a:r>
                <a:r>
                  <a:rPr lang="ru-RU" sz="105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Стоимость 1 кв/м жилья кофморт класса,</a:t>
                </a:r>
                <a:r>
                  <a:rPr lang="ru-RU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88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3</xdr:col>
      <xdr:colOff>0</xdr:colOff>
      <xdr:row>67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4A4424-C7E0-CF26-5B82-AFF6517BE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95</xdr:row>
      <xdr:rowOff>205754</xdr:rowOff>
    </xdr:from>
    <xdr:to>
      <xdr:col>8</xdr:col>
      <xdr:colOff>0</xdr:colOff>
      <xdr:row>110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DE11F0A-2761-3B0F-62D3-FFF7A0C64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95</xdr:row>
      <xdr:rowOff>20484</xdr:rowOff>
    </xdr:from>
    <xdr:to>
      <xdr:col>25</xdr:col>
      <xdr:colOff>184355</xdr:colOff>
      <xdr:row>109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FB33D48-74FB-5753-F729-1E9AB22A7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FFEE3-8915-064C-A33A-F3D38EDD5362}" name="Таблица1" displayName="Таблица1" ref="A1:I37" totalsRowShown="0" headerRowDxfId="23" dataDxfId="22">
  <autoFilter ref="A1:I37" xr:uid="{52AFFEE3-8915-064C-A33A-F3D38EDD5362}"/>
  <tableColumns count="9">
    <tableColumn id="1" xr3:uid="{A4706B6C-64CD-DE4A-AB5F-9BD52A1CFC81}" name="ЖК" dataDxfId="32"/>
    <tableColumn id="2" xr3:uid="{802C1E86-8AB0-A443-813E-6341A1898B31}" name="квартира " dataDxfId="31"/>
    <tableColumn id="3" xr3:uid="{EAA73239-A578-9746-952B-0B728135A300}" name="стоимость 1 кв/м (Y)" dataDxfId="30"/>
    <tableColumn id="4" xr3:uid="{AAF001E7-CFCE-F247-A2E1-D1FCF2DA90A7}" name="этаж (X)" dataDxfId="29"/>
    <tableColumn id="5" xr3:uid="{B98EEEC6-C2AF-5D40-BF51-5CE5DCE1AAB5}" name="XY" dataDxfId="28" dataCellStyle="Финансовый">
      <calculatedColumnFormula>Таблица1[[#This Row],[стоимость 1 кв/м (Y)]]*Таблица1[[#This Row],[этаж (X)]]</calculatedColumnFormula>
    </tableColumn>
    <tableColumn id="6" xr3:uid="{F0D3A5D3-665B-1640-9542-B1FCEFC5F4B3}" name="Y^2" dataDxfId="27" dataCellStyle="Финансовый">
      <calculatedColumnFormula>Таблица1[[#This Row],[стоимость 1 кв/м (Y)]]^2</calculatedColumnFormula>
    </tableColumn>
    <tableColumn id="7" xr3:uid="{6618BBE1-5F7C-3F4D-98F4-E00F7A3D87B4}" name="X^2" dataDxfId="26" dataCellStyle="Финансовый">
      <calculatedColumnFormula>Таблица1[[#This Row],[этаж (X)]]^2</calculatedColumnFormula>
    </tableColumn>
    <tableColumn id="8" xr3:uid="{4EBD7AE0-9E6C-C94F-AC02-6CCA5AE05010}" name="(Y-Yср)^2" dataDxfId="25" dataCellStyle="Финансовый">
      <calculatedColumnFormula>(Таблица1[[#This Row],[стоимость 1 кв/м (Y)]] - $C$39)^2</calculatedColumnFormula>
    </tableColumn>
    <tableColumn id="9" xr3:uid="{53E58941-CED1-8E44-B026-CED0FD762623}" name="(X-Xср)^2" dataDxfId="24" dataCellStyle="Финансовый">
      <calculatedColumnFormula>(Таблица1[[#This Row],[этаж (X)]]-$D$39)^2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2EA5F5-8A40-5945-8049-5FCB408F5C2E}" name="Таблица2" displayName="Таблица2" ref="B43:D46" totalsRowShown="0" headerRowDxfId="18" dataDxfId="17">
  <autoFilter ref="B43:D46" xr:uid="{B42EA5F5-8A40-5945-8049-5FCB408F5C2E}"/>
  <tableColumns count="3">
    <tableColumn id="1" xr3:uid="{C880AB03-BF38-B343-B31F-B59586A91E07}" name=" " dataDxfId="21"/>
    <tableColumn id="2" xr3:uid="{60A9FF11-C25A-2046-B162-CE36A71A33F5}" name="Y" dataDxfId="20"/>
    <tableColumn id="3" xr3:uid="{7D606CC9-F253-274E-9554-F4BE3903D1D9}" name="X" dataDxfId="1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D7DB33-7408-2F43-85E3-80DAEC898D49}" name="Таблица3" displayName="Таблица3" ref="J58:L94" totalsRowShown="0" headerRowDxfId="13" dataDxfId="12">
  <autoFilter ref="J58:L94" xr:uid="{4DD7DB33-7408-2F43-85E3-80DAEC898D49}"/>
  <tableColumns count="3">
    <tableColumn id="1" xr3:uid="{6396B3C8-13E8-2645-9ED3-8F4EB2C20CAB}" name="Y(x) (Y(x)=a0+a1*x1)" dataDxfId="16">
      <calculatedColumnFormula>$G$54+$G$53*I59</calculatedColumnFormula>
    </tableColumn>
    <tableColumn id="2" xr3:uid="{CFA4BE8E-2BDC-D74B-85CC-C9D44B2042B0}" name="(Y-Y(x))^2" dataDxfId="15">
      <calculatedColumnFormula>(H59-J59)^2</calculatedColumnFormula>
    </tableColumn>
    <tableColumn id="3" xr3:uid="{F62A29D8-CD35-B449-BFAC-D62D4471356C}" name="|Y-Y(x)|/Y" dataDxfId="14">
      <calculatedColumnFormula>ABS((H59-Таблица3[[#This Row],[Y(x) (Y(x)=a0+a1*x1)]])/H59)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651641-A899-D646-96AA-EC7D38A7EE05}" name="Таблица4" displayName="Таблица4" ref="P57:Y94" totalsRowShown="0" headerRowDxfId="1" dataDxfId="0">
  <autoFilter ref="P57:Y94" xr:uid="{04651641-A899-D646-96AA-EC7D38A7EE05}"/>
  <tableColumns count="10">
    <tableColumn id="1" xr3:uid="{AE1FC484-2F17-8F4E-BB33-839899B56B59}" name="ЖК" dataDxfId="11"/>
    <tableColumn id="2" xr3:uid="{A64C15E8-DA80-8B4F-8493-8C3C468A45CE}" name="квартира " dataDxfId="10"/>
    <tableColumn id="3" xr3:uid="{4D72BE22-B59C-8E45-9C85-5CE0465F3F65}" name="стоимость 1 кв/м (Y)" dataDxfId="9"/>
    <tableColumn id="4" xr3:uid="{FB633CCE-3C4F-3948-A94E-2E629FCE10F7}" name="этаж (X)" dataDxfId="8"/>
    <tableColumn id="5" xr3:uid="{0F46AE3B-7015-3D4A-8D48-1C1810347440}" name="Z = 1/X " dataDxfId="7"/>
    <tableColumn id="6" xr3:uid="{4C7C4511-9C70-C04D-B400-D2965417E963}" name="YZ" dataDxfId="6" dataCellStyle="Финансовый"/>
    <tableColumn id="7" xr3:uid="{80F826FA-FA36-564F-86B7-BB2C64D4FC80}" name="Z^2" dataDxfId="5"/>
    <tableColumn id="8" xr3:uid="{C1CC1EBE-D58D-9344-A66D-F159190ABE07}" name="Y(x)=b0+b1*1/x" dataDxfId="4">
      <calculatedColumnFormula>$Q$100+$Q$96*Таблица4[[#This Row],[Z = 1/X ]]</calculatedColumnFormula>
    </tableColumn>
    <tableColumn id="9" xr3:uid="{F96B3669-41E2-FC4B-BE19-D010DE4F43C8}" name="(Y - Y(x))^2" dataDxfId="3">
      <calculatedColumnFormula>(Таблица4[[#This Row],[стоимость 1 кв/м (Y)]]-Таблица4[[#This Row],[Y(x)=b0+b1*1/x]])^2</calculatedColumnFormula>
    </tableColumn>
    <tableColumn id="10" xr3:uid="{DA22D7F5-FA84-FC47-8576-BCD9C37956DF}" name="|Y-Y(x)|/Y" dataDxfId="2">
      <calculatedColumnFormula>ABS((Таблица4[[#This Row],[стоимость 1 кв/м (Y)]]-Таблица4[[#This Row],[Y(x)=b0+b1*1/x]])/Таблица4[[#This Row],[стоимость 1 кв/м (Y)]])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98E3-423C-1E48-A474-401FA2E5CE72}">
  <dimension ref="A1:AE115"/>
  <sheetViews>
    <sheetView tabSelected="1" topLeftCell="G45" zoomScale="50" zoomScaleNormal="61" workbookViewId="0">
      <selection activeCell="AB89" sqref="AB89"/>
    </sheetView>
  </sheetViews>
  <sheetFormatPr baseColWidth="10" defaultRowHeight="16" x14ac:dyDescent="0.2"/>
  <cols>
    <col min="1" max="1" width="25.33203125" customWidth="1"/>
    <col min="2" max="2" width="37.83203125" customWidth="1"/>
    <col min="3" max="3" width="31" style="1" customWidth="1"/>
    <col min="4" max="4" width="29.6640625" customWidth="1"/>
    <col min="5" max="5" width="28.33203125" style="13" customWidth="1"/>
    <col min="6" max="6" width="47.33203125" style="13" customWidth="1"/>
    <col min="7" max="7" width="45.83203125" style="13" customWidth="1"/>
    <col min="8" max="8" width="29.33203125" customWidth="1"/>
    <col min="9" max="9" width="23.5" customWidth="1"/>
    <col min="10" max="10" width="32.33203125" customWidth="1"/>
    <col min="11" max="11" width="28.1640625" customWidth="1"/>
    <col min="12" max="12" width="15" customWidth="1"/>
    <col min="16" max="16" width="26.6640625" customWidth="1"/>
    <col min="17" max="17" width="38.5" customWidth="1"/>
    <col min="18" max="18" width="31.33203125" customWidth="1"/>
    <col min="19" max="19" width="17.33203125" customWidth="1"/>
    <col min="20" max="20" width="11.6640625" customWidth="1"/>
    <col min="21" max="21" width="19.1640625" customWidth="1"/>
    <col min="22" max="22" width="17.1640625" customWidth="1"/>
    <col min="23" max="23" width="19.83203125" customWidth="1"/>
    <col min="24" max="24" width="26.5" customWidth="1"/>
    <col min="25" max="25" width="15.5" customWidth="1"/>
  </cols>
  <sheetData>
    <row r="1" spans="1:31" ht="18" x14ac:dyDescent="0.2">
      <c r="A1" s="7" t="s">
        <v>1</v>
      </c>
      <c r="B1" s="7" t="s">
        <v>0</v>
      </c>
      <c r="C1" s="3" t="s">
        <v>41</v>
      </c>
      <c r="D1" s="7" t="s">
        <v>42</v>
      </c>
      <c r="E1" s="12" t="s">
        <v>43</v>
      </c>
      <c r="F1" s="12" t="s">
        <v>44</v>
      </c>
      <c r="G1" s="12" t="s">
        <v>45</v>
      </c>
      <c r="H1" s="7" t="s">
        <v>47</v>
      </c>
      <c r="I1" s="7" t="s">
        <v>48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1" ht="18" x14ac:dyDescent="0.2">
      <c r="A2" s="8" t="s">
        <v>2</v>
      </c>
      <c r="B2" s="7" t="s">
        <v>3</v>
      </c>
      <c r="C2" s="4">
        <v>318699</v>
      </c>
      <c r="D2" s="7">
        <v>4</v>
      </c>
      <c r="E2" s="12">
        <f>Таблица1[[#This Row],[стоимость 1 кв/м (Y)]]*Таблица1[[#This Row],[этаж (X)]]</f>
        <v>1274796</v>
      </c>
      <c r="F2" s="12">
        <f>Таблица1[[#This Row],[стоимость 1 кв/м (Y)]]^2</f>
        <v>101569052601</v>
      </c>
      <c r="G2" s="12">
        <f>Таблица1[[#This Row],[этаж (X)]]^2</f>
        <v>16</v>
      </c>
      <c r="H2" s="12">
        <f>(Таблица1[[#This Row],[стоимость 1 кв/м (Y)]] - $C$39)^2</f>
        <v>508020294.92669785</v>
      </c>
      <c r="I2" s="12">
        <f>(Таблица1[[#This Row],[этаж (X)]]-$D$39)^2</f>
        <v>196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8" x14ac:dyDescent="0.2">
      <c r="A3" s="9"/>
      <c r="B3" s="7" t="s">
        <v>4</v>
      </c>
      <c r="C3" s="4">
        <v>336522</v>
      </c>
      <c r="D3" s="7">
        <v>11</v>
      </c>
      <c r="E3" s="12">
        <f>Таблица1[[#This Row],[стоимость 1 кв/м (Y)]]*Таблица1[[#This Row],[этаж (X)]]</f>
        <v>3701742</v>
      </c>
      <c r="F3" s="12">
        <f>Таблица1[[#This Row],[стоимость 1 кв/м (Y)]]^2</f>
        <v>113247056484</v>
      </c>
      <c r="G3" s="12">
        <f>Таблица1[[#This Row],[этаж (X)]]^2</f>
        <v>121</v>
      </c>
      <c r="H3" s="12">
        <f>(Таблица1[[#This Row],[стоимость 1 кв/м (Y)]] - $C$39)^2</f>
        <v>22243538.093364257</v>
      </c>
      <c r="I3" s="12">
        <f>(Таблица1[[#This Row],[этаж (X)]]-$D$39)^2</f>
        <v>49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ht="18" x14ac:dyDescent="0.2">
      <c r="A4" s="9"/>
      <c r="B4" s="7" t="s">
        <v>5</v>
      </c>
      <c r="C4" s="4">
        <v>341090</v>
      </c>
      <c r="D4" s="7">
        <v>23</v>
      </c>
      <c r="E4" s="12">
        <f>Таблица1[[#This Row],[стоимость 1 кв/м (Y)]]*Таблица1[[#This Row],[этаж (X)]]</f>
        <v>7845070</v>
      </c>
      <c r="F4" s="12">
        <f>Таблица1[[#This Row],[стоимость 1 кв/м (Y)]]^2</f>
        <v>116342388100</v>
      </c>
      <c r="G4" s="12">
        <f>Таблица1[[#This Row],[этаж (X)]]^2</f>
        <v>529</v>
      </c>
      <c r="H4" s="12">
        <f>(Таблица1[[#This Row],[стоимость 1 кв/м (Y)]] - $C$39)^2</f>
        <v>21994.537808643894</v>
      </c>
      <c r="I4" s="12">
        <f>(Таблица1[[#This Row],[этаж (X)]]-$D$39)^2</f>
        <v>25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ht="18" x14ac:dyDescent="0.2">
      <c r="A5" s="9"/>
      <c r="B5" s="7" t="s">
        <v>6</v>
      </c>
      <c r="C5" s="4">
        <v>355077</v>
      </c>
      <c r="D5" s="7">
        <v>35</v>
      </c>
      <c r="E5" s="12">
        <f>Таблица1[[#This Row],[стоимость 1 кв/м (Y)]]*Таблица1[[#This Row],[этаж (X)]]</f>
        <v>12427695</v>
      </c>
      <c r="F5" s="12">
        <f>Таблица1[[#This Row],[стоимость 1 кв/м (Y)]]^2</f>
        <v>126079675929</v>
      </c>
      <c r="G5" s="12">
        <f>Таблица1[[#This Row],[этаж (X)]]^2</f>
        <v>1225</v>
      </c>
      <c r="H5" s="12">
        <f>(Таблица1[[#This Row],[стоимость 1 кв/м (Y)]] - $C$39)^2</f>
        <v>191509463.92669734</v>
      </c>
      <c r="I5" s="12">
        <f>(Таблица1[[#This Row],[этаж (X)]]-$D$39)^2</f>
        <v>289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ht="18" x14ac:dyDescent="0.2">
      <c r="A6" s="9"/>
      <c r="B6" s="7" t="s">
        <v>10</v>
      </c>
      <c r="C6" s="4">
        <v>308237</v>
      </c>
      <c r="D6" s="7">
        <v>4</v>
      </c>
      <c r="E6" s="12">
        <f>Таблица1[[#This Row],[стоимость 1 кв/м (Y)]]*Таблица1[[#This Row],[этаж (X)]]</f>
        <v>1232948</v>
      </c>
      <c r="F6" s="12">
        <f>Таблица1[[#This Row],[стоимость 1 кв/м (Y)]]^2</f>
        <v>95010048169</v>
      </c>
      <c r="G6" s="12">
        <f>Таблица1[[#This Row],[этаж (X)]]^2</f>
        <v>16</v>
      </c>
      <c r="H6" s="12">
        <f>(Таблица1[[#This Row],[стоимость 1 кв/м (Y)]] - $C$39)^2</f>
        <v>1089086168.3711424</v>
      </c>
      <c r="I6" s="12">
        <f>(Таблица1[[#This Row],[этаж (X)]]-$D$39)^2</f>
        <v>196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ht="18" x14ac:dyDescent="0.2">
      <c r="A7" s="9"/>
      <c r="B7" s="7" t="s">
        <v>11</v>
      </c>
      <c r="C7" s="4">
        <v>306153</v>
      </c>
      <c r="D7" s="7">
        <v>10</v>
      </c>
      <c r="E7" s="12">
        <f>Таблица1[[#This Row],[стоимость 1 кв/м (Y)]]*Таблица1[[#This Row],[этаж (X)]]</f>
        <v>3061530</v>
      </c>
      <c r="F7" s="12">
        <f>Таблица1[[#This Row],[стоимость 1 кв/м (Y)]]^2</f>
        <v>93729659409</v>
      </c>
      <c r="G7" s="12">
        <f>Таблица1[[#This Row],[этаж (X)]]^2</f>
        <v>100</v>
      </c>
      <c r="H7" s="12">
        <f>(Таблица1[[#This Row],[стоимость 1 кв/м (Y)]] - $C$39)^2</f>
        <v>1230978665.926698</v>
      </c>
      <c r="I7" s="12">
        <f>(Таблица1[[#This Row],[этаж (X)]]-$D$39)^2</f>
        <v>64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ht="18" x14ac:dyDescent="0.2">
      <c r="A8" s="9"/>
      <c r="B8" s="7" t="s">
        <v>12</v>
      </c>
      <c r="C8" s="4">
        <v>333235</v>
      </c>
      <c r="D8" s="7">
        <v>23</v>
      </c>
      <c r="E8" s="12">
        <f>Таблица1[[#This Row],[стоимость 1 кв/м (Y)]]*Таблица1[[#This Row],[этаж (X)]]</f>
        <v>7664405</v>
      </c>
      <c r="F8" s="12">
        <f>Таблица1[[#This Row],[стоимость 1 кв/м (Y)]]^2</f>
        <v>111045565225</v>
      </c>
      <c r="G8" s="12">
        <f>Таблица1[[#This Row],[этаж (X)]]^2</f>
        <v>529</v>
      </c>
      <c r="H8" s="12">
        <f>(Таблица1[[#This Row],[стоимость 1 кв/м (Y)]] - $C$39)^2</f>
        <v>64052899.815586522</v>
      </c>
      <c r="I8" s="12">
        <f>(Таблица1[[#This Row],[этаж (X)]]-$D$39)^2</f>
        <v>25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ht="18" x14ac:dyDescent="0.2">
      <c r="A9" s="9"/>
      <c r="B9" s="7" t="s">
        <v>13</v>
      </c>
      <c r="C9" s="4">
        <v>337589</v>
      </c>
      <c r="D9" s="7">
        <v>35</v>
      </c>
      <c r="E9" s="12">
        <f>Таблица1[[#This Row],[стоимость 1 кв/м (Y)]]*Таблица1[[#This Row],[этаж (X)]]</f>
        <v>11815615</v>
      </c>
      <c r="F9" s="12">
        <f>Таблица1[[#This Row],[стоимость 1 кв/м (Y)]]^2</f>
        <v>113966332921</v>
      </c>
      <c r="G9" s="12">
        <f>Таблица1[[#This Row],[этаж (X)]]^2</f>
        <v>1225</v>
      </c>
      <c r="H9" s="12">
        <f>(Таблица1[[#This Row],[стоимость 1 кв/м (Y)]] - $C$39)^2</f>
        <v>13317431.037808688</v>
      </c>
      <c r="I9" s="12">
        <f>(Таблица1[[#This Row],[этаж (X)]]-$D$39)^2</f>
        <v>289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ht="18" x14ac:dyDescent="0.2">
      <c r="A10" s="9"/>
      <c r="B10" s="7" t="s">
        <v>14</v>
      </c>
      <c r="C10" s="5">
        <v>274171</v>
      </c>
      <c r="D10" s="7">
        <v>4</v>
      </c>
      <c r="E10" s="12">
        <f>Таблица1[[#This Row],[стоимость 1 кв/м (Y)]]*Таблица1[[#This Row],[этаж (X)]]</f>
        <v>1096684</v>
      </c>
      <c r="F10" s="12">
        <f>Таблица1[[#This Row],[стоимость 1 кв/м (Y)]]^2</f>
        <v>75169737241</v>
      </c>
      <c r="G10" s="12">
        <f>Таблица1[[#This Row],[этаж (X)]]^2</f>
        <v>16</v>
      </c>
      <c r="H10" s="12">
        <f>(Таблица1[[#This Row],[стоимость 1 кв/м (Y)]] - $C$39)^2</f>
        <v>4498023474.482254</v>
      </c>
      <c r="I10" s="12">
        <f>(Таблица1[[#This Row],[этаж (X)]]-$D$39)^2</f>
        <v>196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ht="19" customHeight="1" x14ac:dyDescent="0.2">
      <c r="A11" s="9"/>
      <c r="B11" s="7" t="s">
        <v>15</v>
      </c>
      <c r="C11" s="6">
        <v>281596</v>
      </c>
      <c r="D11" s="7">
        <v>11</v>
      </c>
      <c r="E11" s="12">
        <f>Таблица1[[#This Row],[стоимость 1 кв/м (Y)]]*Таблица1[[#This Row],[этаж (X)]]</f>
        <v>3097556</v>
      </c>
      <c r="F11" s="12">
        <f>Таблица1[[#This Row],[стоимость 1 кв/м (Y)]]^2</f>
        <v>79296307216</v>
      </c>
      <c r="G11" s="12">
        <f>Таблица1[[#This Row],[этаж (X)]]^2</f>
        <v>121</v>
      </c>
      <c r="H11" s="12">
        <f>(Таблица1[[#This Row],[стоимость 1 кв/м (Y)]] - $C$39)^2</f>
        <v>3557204611.982254</v>
      </c>
      <c r="I11" s="12">
        <f>(Таблица1[[#This Row],[этаж (X)]]-$D$39)^2</f>
        <v>49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ht="18" x14ac:dyDescent="0.2">
      <c r="A12" s="9"/>
      <c r="B12" s="7" t="s">
        <v>16</v>
      </c>
      <c r="C12" s="6">
        <v>289955</v>
      </c>
      <c r="D12" s="7">
        <v>24</v>
      </c>
      <c r="E12" s="12">
        <f>Таблица1[[#This Row],[стоимость 1 кв/м (Y)]]*Таблица1[[#This Row],[этаж (X)]]</f>
        <v>6958920</v>
      </c>
      <c r="F12" s="12">
        <f>Таблица1[[#This Row],[стоимость 1 кв/м (Y)]]^2</f>
        <v>84073902025</v>
      </c>
      <c r="G12" s="12">
        <f>Таблица1[[#This Row],[этаж (X)]]^2</f>
        <v>576</v>
      </c>
      <c r="H12" s="12">
        <f>(Таблица1[[#This Row],[стоимость 1 кв/м (Y)]] - $C$39)^2</f>
        <v>2629977428.7044759</v>
      </c>
      <c r="I12" s="12">
        <f>(Таблица1[[#This Row],[этаж (X)]]-$D$39)^2</f>
        <v>36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ht="18" x14ac:dyDescent="0.2">
      <c r="A13" s="10"/>
      <c r="B13" s="7" t="s">
        <v>7</v>
      </c>
      <c r="C13" s="6">
        <v>355077</v>
      </c>
      <c r="D13" s="7">
        <v>35</v>
      </c>
      <c r="E13" s="12">
        <f>Таблица1[[#This Row],[стоимость 1 кв/м (Y)]]*Таблица1[[#This Row],[этаж (X)]]</f>
        <v>12427695</v>
      </c>
      <c r="F13" s="12">
        <f>Таблица1[[#This Row],[стоимость 1 кв/м (Y)]]^2</f>
        <v>126079675929</v>
      </c>
      <c r="G13" s="12">
        <f>Таблица1[[#This Row],[этаж (X)]]^2</f>
        <v>1225</v>
      </c>
      <c r="H13" s="12">
        <f>(Таблица1[[#This Row],[стоимость 1 кв/м (Y)]] - $C$39)^2</f>
        <v>191509463.92669734</v>
      </c>
      <c r="I13" s="12">
        <f>(Таблица1[[#This Row],[этаж (X)]]-$D$39)^2</f>
        <v>289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ht="18" x14ac:dyDescent="0.2">
      <c r="A14" s="7" t="s">
        <v>8</v>
      </c>
      <c r="B14" s="7" t="s">
        <v>17</v>
      </c>
      <c r="C14" s="2">
        <v>347455</v>
      </c>
      <c r="D14" s="7">
        <v>5</v>
      </c>
      <c r="E14" s="12">
        <f>Таблица1[[#This Row],[стоимость 1 кв/м (Y)]]*Таблица1[[#This Row],[этаж (X)]]</f>
        <v>1737275</v>
      </c>
      <c r="F14" s="12">
        <f>Таблица1[[#This Row],[стоимость 1 кв/м (Y)]]^2</f>
        <v>120724977025</v>
      </c>
      <c r="G14" s="12">
        <f>Таблица1[[#This Row],[этаж (X)]]^2</f>
        <v>25</v>
      </c>
      <c r="H14" s="12">
        <f>(Таблица1[[#This Row],[стоимость 1 кв/м (Y)]] - $C$39)^2</f>
        <v>38647289.815586336</v>
      </c>
      <c r="I14" s="12">
        <f>(Таблица1[[#This Row],[этаж (X)]]-$D$39)^2</f>
        <v>169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ht="18" x14ac:dyDescent="0.2">
      <c r="A15" s="8"/>
      <c r="B15" s="7" t="s">
        <v>18</v>
      </c>
      <c r="C15" s="2">
        <v>349415</v>
      </c>
      <c r="D15" s="7">
        <v>10</v>
      </c>
      <c r="E15" s="12">
        <f>Таблица1[[#This Row],[стоимость 1 кв/м (Y)]]*Таблица1[[#This Row],[этаж (X)]]</f>
        <v>3494150</v>
      </c>
      <c r="F15" s="12">
        <f>Таблица1[[#This Row],[стоимость 1 кв/м (Y)]]^2</f>
        <v>122090842225</v>
      </c>
      <c r="G15" s="12">
        <f>Таблица1[[#This Row],[этаж (X)]]^2</f>
        <v>100</v>
      </c>
      <c r="H15" s="12">
        <f>(Таблица1[[#This Row],[стоимость 1 кв/м (Y)]] - $C$39)^2</f>
        <v>66858332.037808537</v>
      </c>
      <c r="I15" s="12">
        <f>(Таблица1[[#This Row],[этаж (X)]]-$D$39)^2</f>
        <v>64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ht="18" x14ac:dyDescent="0.2">
      <c r="A16" s="9"/>
      <c r="B16" s="7" t="s">
        <v>19</v>
      </c>
      <c r="C16" s="2">
        <v>356315</v>
      </c>
      <c r="D16" s="7">
        <v>26</v>
      </c>
      <c r="E16" s="12">
        <f>Таблица1[[#This Row],[стоимость 1 кв/м (Y)]]*Таблица1[[#This Row],[этаж (X)]]</f>
        <v>9264190</v>
      </c>
      <c r="F16" s="12">
        <f>Таблица1[[#This Row],[стоимость 1 кв/м (Y)]]^2</f>
        <v>126960379225</v>
      </c>
      <c r="G16" s="12">
        <f>Таблица1[[#This Row],[этаж (X)]]^2</f>
        <v>676</v>
      </c>
      <c r="H16" s="12">
        <f>(Таблица1[[#This Row],[стоимость 1 кв/м (Y)]] - $C$39)^2</f>
        <v>227306715.37114179</v>
      </c>
      <c r="I16" s="12">
        <f>(Таблица1[[#This Row],[этаж (X)]]-$D$39)^2</f>
        <v>64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31" ht="18" x14ac:dyDescent="0.2">
      <c r="A17" s="9"/>
      <c r="B17" s="7" t="s">
        <v>20</v>
      </c>
      <c r="C17" s="2">
        <v>359294</v>
      </c>
      <c r="D17" s="7">
        <v>34</v>
      </c>
      <c r="E17" s="12">
        <f>Таблица1[[#This Row],[стоимость 1 кв/м (Y)]]*Таблица1[[#This Row],[этаж (X)]]</f>
        <v>12215996</v>
      </c>
      <c r="F17" s="12">
        <f>Таблица1[[#This Row],[стоимость 1 кв/м (Y)]]^2</f>
        <v>129092178436</v>
      </c>
      <c r="G17" s="12">
        <f>Таблица1[[#This Row],[этаж (X)]]^2</f>
        <v>1156</v>
      </c>
      <c r="H17" s="12">
        <f>(Таблица1[[#This Row],[стоимость 1 кв/м (Y)]] - $C$39)^2</f>
        <v>326008101.87114173</v>
      </c>
      <c r="I17" s="12">
        <f>(Таблица1[[#This Row],[этаж (X)]]-$D$39)^2</f>
        <v>256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31" ht="18" x14ac:dyDescent="0.2">
      <c r="A18" s="9"/>
      <c r="B18" s="7" t="s">
        <v>21</v>
      </c>
      <c r="C18" s="2">
        <v>385310</v>
      </c>
      <c r="D18" s="7">
        <v>5</v>
      </c>
      <c r="E18" s="12">
        <f>Таблица1[[#This Row],[стоимость 1 кв/м (Y)]]*Таблица1[[#This Row],[этаж (X)]]</f>
        <v>1926550</v>
      </c>
      <c r="F18" s="12">
        <f>Таблица1[[#This Row],[стоимость 1 кв/м (Y)]]^2</f>
        <v>148463796100</v>
      </c>
      <c r="G18" s="12">
        <f>Таблица1[[#This Row],[этаж (X)]]^2</f>
        <v>25</v>
      </c>
      <c r="H18" s="12">
        <f>(Таблица1[[#This Row],[стоимость 1 кв/м (Y)]] - $C$39)^2</f>
        <v>1942314251.2044747</v>
      </c>
      <c r="I18" s="12">
        <f>(Таблица1[[#This Row],[этаж (X)]]-$D$39)^2</f>
        <v>169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 spans="1:31" ht="18" x14ac:dyDescent="0.2">
      <c r="A19" s="9"/>
      <c r="B19" s="7" t="s">
        <v>22</v>
      </c>
      <c r="C19" s="3">
        <v>371019</v>
      </c>
      <c r="D19" s="7">
        <v>13</v>
      </c>
      <c r="E19" s="12">
        <f>Таблица1[[#This Row],[стоимость 1 кв/м (Y)]]*Таблица1[[#This Row],[этаж (X)]]</f>
        <v>4823247</v>
      </c>
      <c r="F19" s="12">
        <f>Таблица1[[#This Row],[стоимость 1 кв/м (Y)]]^2</f>
        <v>137655098361</v>
      </c>
      <c r="G19" s="12">
        <f>Таблица1[[#This Row],[этаж (X)]]^2</f>
        <v>169</v>
      </c>
      <c r="H19" s="12">
        <f>(Таблица1[[#This Row],[стоимость 1 кв/м (Y)]] - $C$39)^2</f>
        <v>886889761.59336376</v>
      </c>
      <c r="I19" s="12">
        <f>(Таблица1[[#This Row],[этаж (X)]]-$D$39)^2</f>
        <v>25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 spans="1:31" ht="18" x14ac:dyDescent="0.2">
      <c r="A20" s="9"/>
      <c r="B20" s="7" t="s">
        <v>23</v>
      </c>
      <c r="C20" s="3">
        <v>357606</v>
      </c>
      <c r="D20" s="7">
        <v>24</v>
      </c>
      <c r="E20" s="12">
        <f>Таблица1[[#This Row],[стоимость 1 кв/м (Y)]]*Таблица1[[#This Row],[этаж (X)]]</f>
        <v>8582544</v>
      </c>
      <c r="F20" s="12">
        <f>Таблица1[[#This Row],[стоимость 1 кв/м (Y)]]^2</f>
        <v>127882051236</v>
      </c>
      <c r="G20" s="12">
        <f>Таблица1[[#This Row],[этаж (X)]]^2</f>
        <v>576</v>
      </c>
      <c r="H20" s="12">
        <f>(Таблица1[[#This Row],[стоимость 1 кв/м (Y)]] - $C$39)^2</f>
        <v>267901421.42669731</v>
      </c>
      <c r="I20" s="12">
        <f>(Таблица1[[#This Row],[этаж (X)]]-$D$39)^2</f>
        <v>36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 spans="1:31" ht="18" x14ac:dyDescent="0.2">
      <c r="A21" s="9"/>
      <c r="B21" s="7" t="s">
        <v>24</v>
      </c>
      <c r="C21" s="3">
        <v>372752</v>
      </c>
      <c r="D21" s="7">
        <v>36</v>
      </c>
      <c r="E21" s="12">
        <f>Таблица1[[#This Row],[стоимость 1 кв/м (Y)]]*Таблица1[[#This Row],[этаж (X)]]</f>
        <v>13419072</v>
      </c>
      <c r="F21" s="12">
        <f>Таблица1[[#This Row],[стоимость 1 кв/м (Y)]]^2</f>
        <v>138944053504</v>
      </c>
      <c r="G21" s="12">
        <f>Таблица1[[#This Row],[этаж (X)]]^2</f>
        <v>1296</v>
      </c>
      <c r="H21" s="12">
        <f>(Таблица1[[#This Row],[стоимость 1 кв/м (Y)]] - $C$39)^2</f>
        <v>993112937.53780818</v>
      </c>
      <c r="I21" s="12">
        <f>(Таблица1[[#This Row],[этаж (X)]]-$D$39)^2</f>
        <v>324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ht="18" x14ac:dyDescent="0.2">
      <c r="A22" s="9"/>
      <c r="B22" s="7" t="s">
        <v>25</v>
      </c>
      <c r="C22" s="3">
        <v>343450</v>
      </c>
      <c r="D22" s="7">
        <v>5</v>
      </c>
      <c r="E22" s="12">
        <f>Таблица1[[#This Row],[стоимость 1 кв/м (Y)]]*Таблица1[[#This Row],[этаж (X)]]</f>
        <v>1717250</v>
      </c>
      <c r="F22" s="12">
        <f>Таблица1[[#This Row],[стоимость 1 кв/м (Y)]]^2</f>
        <v>117957902500</v>
      </c>
      <c r="G22" s="12">
        <f>Таблица1[[#This Row],[этаж (X)]]^2</f>
        <v>25</v>
      </c>
      <c r="H22" s="12">
        <f>(Таблица1[[#This Row],[стоимость 1 кв/м (Y)]] - $C$39)^2</f>
        <v>4891592.3155863909</v>
      </c>
      <c r="I22" s="12">
        <f>(Таблица1[[#This Row],[этаж (X)]]-$D$39)^2</f>
        <v>169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 ht="18" x14ac:dyDescent="0.2">
      <c r="A23" s="9"/>
      <c r="B23" s="7" t="s">
        <v>26</v>
      </c>
      <c r="C23" s="3">
        <v>346468</v>
      </c>
      <c r="D23" s="7">
        <v>11</v>
      </c>
      <c r="E23" s="12">
        <f>Таблица1[[#This Row],[стоимость 1 кв/м (Y)]]*Таблица1[[#This Row],[этаж (X)]]</f>
        <v>3811148</v>
      </c>
      <c r="F23" s="12">
        <f>Таблица1[[#This Row],[стоимость 1 кв/м (Y)]]^2</f>
        <v>120040075024</v>
      </c>
      <c r="G23" s="12">
        <f>Таблица1[[#This Row],[этаж (X)]]^2</f>
        <v>121</v>
      </c>
      <c r="H23" s="12">
        <f>(Таблица1[[#This Row],[стоимость 1 кв/м (Y)]] - $C$39)^2</f>
        <v>27349703.982253019</v>
      </c>
      <c r="I23" s="12">
        <f>(Таблица1[[#This Row],[этаж (X)]]-$D$39)^2</f>
        <v>49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 ht="18" x14ac:dyDescent="0.2">
      <c r="A24" s="9"/>
      <c r="B24" s="7" t="s">
        <v>27</v>
      </c>
      <c r="C24" s="3">
        <v>320681</v>
      </c>
      <c r="D24" s="7">
        <v>20</v>
      </c>
      <c r="E24" s="12">
        <f>Таблица1[[#This Row],[стоимость 1 кв/м (Y)]]*Таблица1[[#This Row],[этаж (X)]]</f>
        <v>6413620</v>
      </c>
      <c r="F24" s="12">
        <f>Таблица1[[#This Row],[стоимость 1 кв/м (Y)]]^2</f>
        <v>102836303761</v>
      </c>
      <c r="G24" s="12">
        <f>Таблица1[[#This Row],[этаж (X)]]^2</f>
        <v>400</v>
      </c>
      <c r="H24" s="12">
        <f>(Таблица1[[#This Row],[стоимость 1 кв/м (Y)]] - $C$39)^2</f>
        <v>422602811.70447558</v>
      </c>
      <c r="I24" s="12">
        <f>(Таблица1[[#This Row],[этаж (X)]]-$D$39)^2</f>
        <v>4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 ht="18" x14ac:dyDescent="0.2">
      <c r="A25" s="10"/>
      <c r="B25" s="7" t="s">
        <v>28</v>
      </c>
      <c r="C25" s="3">
        <v>352986</v>
      </c>
      <c r="D25" s="7">
        <v>37</v>
      </c>
      <c r="E25" s="12">
        <f>Таблица1[[#This Row],[стоимость 1 кв/м (Y)]]*Таблица1[[#This Row],[этаж (X)]]</f>
        <v>13060482</v>
      </c>
      <c r="F25" s="12">
        <f>Таблица1[[#This Row],[стоимость 1 кв/м (Y)]]^2</f>
        <v>124599116196</v>
      </c>
      <c r="G25" s="12">
        <f>Таблица1[[#This Row],[этаж (X)]]^2</f>
        <v>1369</v>
      </c>
      <c r="H25" s="12">
        <f>(Таблица1[[#This Row],[стоимость 1 кв/м (Y)]] - $C$39)^2</f>
        <v>138008324.76003072</v>
      </c>
      <c r="I25" s="12">
        <f>(Таблица1[[#This Row],[этаж (X)]]-$D$39)^2</f>
        <v>361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 spans="1:31" ht="18" x14ac:dyDescent="0.2">
      <c r="A26" s="8" t="s">
        <v>9</v>
      </c>
      <c r="B26" s="7" t="s">
        <v>29</v>
      </c>
      <c r="C26" s="3">
        <v>337561</v>
      </c>
      <c r="D26" s="7">
        <v>9</v>
      </c>
      <c r="E26" s="12">
        <f>Таблица1[[#This Row],[стоимость 1 кв/м (Y)]]*Таблица1[[#This Row],[этаж (X)]]</f>
        <v>3038049</v>
      </c>
      <c r="F26" s="12">
        <f>Таблица1[[#This Row],[стоимость 1 кв/м (Y)]]^2</f>
        <v>113947428721</v>
      </c>
      <c r="G26" s="12">
        <f>Таблица1[[#This Row],[этаж (X)]]^2</f>
        <v>81</v>
      </c>
      <c r="H26" s="12">
        <f>(Таблица1[[#This Row],[стоимость 1 кв/м (Y)]] - $C$39)^2</f>
        <v>13522576.1489198</v>
      </c>
      <c r="I26" s="12">
        <f>(Таблица1[[#This Row],[этаж (X)]]-$D$39)^2</f>
        <v>81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 spans="1:31" ht="18" x14ac:dyDescent="0.2">
      <c r="A27" s="9"/>
      <c r="B27" s="7" t="s">
        <v>30</v>
      </c>
      <c r="C27" s="3">
        <v>337869</v>
      </c>
      <c r="D27" s="7">
        <v>12</v>
      </c>
      <c r="E27" s="12">
        <f>Таблица1[[#This Row],[стоимость 1 кв/м (Y)]]*Таблица1[[#This Row],[этаж (X)]]</f>
        <v>4054428</v>
      </c>
      <c r="F27" s="12">
        <f>Таблица1[[#This Row],[стоимость 1 кв/м (Y)]]^2</f>
        <v>114155461161</v>
      </c>
      <c r="G27" s="12">
        <f>Таблица1[[#This Row],[этаж (X)]]^2</f>
        <v>144</v>
      </c>
      <c r="H27" s="12">
        <f>(Таблица1[[#This Row],[стоимость 1 кв/м (Y)]] - $C$39)^2</f>
        <v>11352219.926697575</v>
      </c>
      <c r="I27" s="12">
        <f>(Таблица1[[#This Row],[этаж (X)]]-$D$39)^2</f>
        <v>36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 spans="1:31" ht="18" x14ac:dyDescent="0.2">
      <c r="A28" s="9"/>
      <c r="B28" s="7" t="s">
        <v>31</v>
      </c>
      <c r="C28" s="3">
        <v>351051</v>
      </c>
      <c r="D28" s="7">
        <v>24</v>
      </c>
      <c r="E28" s="12">
        <f>Таблица1[[#This Row],[стоимость 1 кв/м (Y)]]*Таблица1[[#This Row],[этаж (X)]]</f>
        <v>8425224</v>
      </c>
      <c r="F28" s="12">
        <f>Таблица1[[#This Row],[стоимость 1 кв/м (Y)]]^2</f>
        <v>123236804601</v>
      </c>
      <c r="G28" s="12">
        <f>Таблица1[[#This Row],[этаж (X)]]^2</f>
        <v>576</v>
      </c>
      <c r="H28" s="12">
        <f>(Таблица1[[#This Row],[стоимость 1 кв/м (Y)]] - $C$39)^2</f>
        <v>96288972.260030732</v>
      </c>
      <c r="I28" s="12">
        <f>(Таблица1[[#This Row],[этаж (X)]]-$D$39)^2</f>
        <v>36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31" ht="18" x14ac:dyDescent="0.2">
      <c r="A29" s="9"/>
      <c r="B29" s="7" t="s">
        <v>32</v>
      </c>
      <c r="C29" s="3">
        <v>455683</v>
      </c>
      <c r="D29" s="7">
        <v>28</v>
      </c>
      <c r="E29" s="12">
        <f>Таблица1[[#This Row],[стоимость 1 кв/м (Y)]]*Таблица1[[#This Row],[этаж (X)]]</f>
        <v>12759124</v>
      </c>
      <c r="F29" s="12">
        <f>Таблица1[[#This Row],[стоимость 1 кв/м (Y)]]^2</f>
        <v>207646996489</v>
      </c>
      <c r="G29" s="12">
        <f>Таблица1[[#This Row],[этаж (X)]]^2</f>
        <v>784</v>
      </c>
      <c r="H29" s="12">
        <f>(Таблица1[[#This Row],[стоимость 1 кв/м (Y)]] - $C$39)^2</f>
        <v>13097588086.482252</v>
      </c>
      <c r="I29" s="12">
        <f>(Таблица1[[#This Row],[этаж (X)]]-$D$39)^2</f>
        <v>100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31" ht="18" x14ac:dyDescent="0.2">
      <c r="A30" s="9"/>
      <c r="B30" s="7" t="s">
        <v>33</v>
      </c>
      <c r="C30" s="3">
        <v>326609</v>
      </c>
      <c r="D30" s="7">
        <v>2</v>
      </c>
      <c r="E30" s="12">
        <f>Таблица1[[#This Row],[стоимость 1 кв/м (Y)]]*Таблица1[[#This Row],[этаж (X)]]</f>
        <v>653218</v>
      </c>
      <c r="F30" s="12">
        <f>Таблица1[[#This Row],[стоимость 1 кв/м (Y)]]^2</f>
        <v>106673438881</v>
      </c>
      <c r="G30" s="12">
        <f>Таблица1[[#This Row],[этаж (X)]]^2</f>
        <v>4</v>
      </c>
      <c r="H30" s="12">
        <f>(Таблица1[[#This Row],[стоимость 1 кв/м (Y)]] - $C$39)^2</f>
        <v>214016581.03780884</v>
      </c>
      <c r="I30" s="12">
        <f>(Таблица1[[#This Row],[этаж (X)]]-$D$39)^2</f>
        <v>256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31" ht="18" x14ac:dyDescent="0.2">
      <c r="A31" s="9"/>
      <c r="B31" s="7" t="s">
        <v>34</v>
      </c>
      <c r="C31" s="3">
        <v>335901</v>
      </c>
      <c r="D31" s="7">
        <v>11</v>
      </c>
      <c r="E31" s="12">
        <f>Таблица1[[#This Row],[стоимость 1 кв/м (Y)]]*Таблица1[[#This Row],[этаж (X)]]</f>
        <v>3694911</v>
      </c>
      <c r="F31" s="12">
        <f>Таблица1[[#This Row],[стоимость 1 кв/м (Y)]]^2</f>
        <v>112829481801</v>
      </c>
      <c r="G31" s="12">
        <f>Таблица1[[#This Row],[этаж (X)]]^2</f>
        <v>121</v>
      </c>
      <c r="H31" s="12">
        <f>(Таблица1[[#This Row],[стоимость 1 кв/м (Y)]] - $C$39)^2</f>
        <v>28486830.593364265</v>
      </c>
      <c r="I31" s="12">
        <f>(Таблица1[[#This Row],[этаж (X)]]-$D$39)^2</f>
        <v>49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 spans="1:31" ht="18" x14ac:dyDescent="0.2">
      <c r="A32" s="9"/>
      <c r="B32" s="7" t="s">
        <v>35</v>
      </c>
      <c r="C32" s="3">
        <v>345559</v>
      </c>
      <c r="D32" s="7">
        <v>23</v>
      </c>
      <c r="E32" s="12">
        <f>Таблица1[[#This Row],[стоимость 1 кв/м (Y)]]*Таблица1[[#This Row],[этаж (X)]]</f>
        <v>7947857</v>
      </c>
      <c r="F32" s="12">
        <f>Таблица1[[#This Row],[стоимость 1 кв/м (Y)]]^2</f>
        <v>119411022481</v>
      </c>
      <c r="G32" s="12">
        <f>Таблица1[[#This Row],[этаж (X)]]^2</f>
        <v>529</v>
      </c>
      <c r="H32" s="12">
        <f>(Таблица1[[#This Row],[стоимость 1 кв/м (Y)]] - $C$39)^2</f>
        <v>18668400.48225303</v>
      </c>
      <c r="I32" s="12">
        <f>(Таблица1[[#This Row],[этаж (X)]]-$D$39)^2</f>
        <v>25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 spans="1:31" ht="18" x14ac:dyDescent="0.2">
      <c r="A33" s="9"/>
      <c r="B33" s="7" t="s">
        <v>36</v>
      </c>
      <c r="C33" s="3">
        <v>395028</v>
      </c>
      <c r="D33" s="7">
        <v>30</v>
      </c>
      <c r="E33" s="12">
        <f>Таблица1[[#This Row],[стоимость 1 кв/м (Y)]]*Таблица1[[#This Row],[этаж (X)]]</f>
        <v>11850840</v>
      </c>
      <c r="F33" s="12">
        <f>Таблица1[[#This Row],[стоимость 1 кв/м (Y)]]^2</f>
        <v>156047120784</v>
      </c>
      <c r="G33" s="12">
        <f>Таблица1[[#This Row],[этаж (X)]]^2</f>
        <v>900</v>
      </c>
      <c r="H33" s="12">
        <f>(Таблица1[[#This Row],[стоимость 1 кв/м (Y)]] - $C$39)^2</f>
        <v>2893331228.4266968</v>
      </c>
      <c r="I33" s="12">
        <f>(Таблица1[[#This Row],[этаж (X)]]-$D$39)^2</f>
        <v>144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 spans="1:31" ht="18" x14ac:dyDescent="0.2">
      <c r="A34" s="9"/>
      <c r="B34" s="7" t="s">
        <v>37</v>
      </c>
      <c r="C34" s="3">
        <v>313297</v>
      </c>
      <c r="D34" s="7">
        <v>2</v>
      </c>
      <c r="E34" s="12">
        <f>Таблица1[[#This Row],[стоимость 1 кв/м (Y)]]*Таблица1[[#This Row],[этаж (X)]]</f>
        <v>626594</v>
      </c>
      <c r="F34" s="12">
        <f>Таблица1[[#This Row],[стоимость 1 кв/м (Y)]]^2</f>
        <v>98155010209</v>
      </c>
      <c r="G34" s="12">
        <f>Таблица1[[#This Row],[этаж (X)]]^2</f>
        <v>4</v>
      </c>
      <c r="H34" s="12">
        <f>(Таблица1[[#This Row],[стоимость 1 кв/м (Y)]] - $C$39)^2</f>
        <v>780716556.14892006</v>
      </c>
      <c r="I34" s="12">
        <f>(Таблица1[[#This Row],[этаж (X)]]-$D$39)^2</f>
        <v>256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 spans="1:31" ht="18" x14ac:dyDescent="0.2">
      <c r="A35" s="9"/>
      <c r="B35" s="7" t="s">
        <v>38</v>
      </c>
      <c r="C35" s="3">
        <v>337318</v>
      </c>
      <c r="D35" s="7">
        <v>10</v>
      </c>
      <c r="E35" s="12">
        <f>Таблица1[[#This Row],[стоимость 1 кв/м (Y)]]*Таблица1[[#This Row],[этаж (X)]]</f>
        <v>3373180</v>
      </c>
      <c r="F35" s="12">
        <f>Таблица1[[#This Row],[стоимость 1 кв/м (Y)]]^2</f>
        <v>113783433124</v>
      </c>
      <c r="G35" s="12">
        <f>Таблица1[[#This Row],[этаж (X)]]^2</f>
        <v>100</v>
      </c>
      <c r="H35" s="12">
        <f>(Таблица1[[#This Row],[стоимость 1 кв/м (Y)]] - $C$39)^2</f>
        <v>15368795.648919804</v>
      </c>
      <c r="I35" s="12">
        <f>(Таблица1[[#This Row],[этаж (X)]]-$D$39)^2</f>
        <v>64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 spans="1:31" ht="18" x14ac:dyDescent="0.2">
      <c r="A36" s="9"/>
      <c r="B36" s="7" t="s">
        <v>39</v>
      </c>
      <c r="C36" s="3">
        <v>320831</v>
      </c>
      <c r="D36" s="7">
        <v>23</v>
      </c>
      <c r="E36" s="12">
        <f>Таблица1[[#This Row],[стоимость 1 кв/м (Y)]]*Таблица1[[#This Row],[этаж (X)]]</f>
        <v>7379113</v>
      </c>
      <c r="F36" s="12">
        <f>Таблица1[[#This Row],[стоимость 1 кв/м (Y)]]^2</f>
        <v>102932530561</v>
      </c>
      <c r="G36" s="12">
        <f>Таблица1[[#This Row],[этаж (X)]]^2</f>
        <v>529</v>
      </c>
      <c r="H36" s="12">
        <f>(Таблица1[[#This Row],[стоимость 1 кв/м (Y)]] - $C$39)^2</f>
        <v>416458120.0378089</v>
      </c>
      <c r="I36" s="12">
        <f>(Таблица1[[#This Row],[этаж (X)]]-$D$39)^2</f>
        <v>25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 spans="1:31" ht="18" x14ac:dyDescent="0.2">
      <c r="A37" s="10"/>
      <c r="B37" s="7" t="s">
        <v>40</v>
      </c>
      <c r="C37" s="3">
        <v>327720</v>
      </c>
      <c r="D37" s="7">
        <v>29</v>
      </c>
      <c r="E37" s="12">
        <f>Таблица1[[#This Row],[стоимость 1 кв/м (Y)]]*Таблица1[[#This Row],[этаж (X)]]</f>
        <v>9503880</v>
      </c>
      <c r="F37" s="12">
        <f>Таблица1[[#This Row],[стоимость 1 кв/м (Y)]]^2</f>
        <v>107400398400</v>
      </c>
      <c r="G37" s="12">
        <f>Таблица1[[#This Row],[этаж (X)]]^2</f>
        <v>841</v>
      </c>
      <c r="H37" s="12">
        <f>(Таблица1[[#This Row],[стоимость 1 кв/м (Y)]] - $C$39)^2</f>
        <v>182744585.09336436</v>
      </c>
      <c r="I37" s="12">
        <f>(Таблица1[[#This Row],[этаж (X)]]-$D$39)^2</f>
        <v>121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 spans="1:31" ht="18" x14ac:dyDescent="0.2">
      <c r="A38" s="7"/>
      <c r="B38" s="7"/>
      <c r="C38" s="3"/>
      <c r="D38" s="7"/>
      <c r="E38" s="12"/>
      <c r="F38" s="12"/>
      <c r="G38" s="12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 spans="1:31" ht="18" x14ac:dyDescent="0.2">
      <c r="A39" s="7"/>
      <c r="B39" s="7" t="s">
        <v>46</v>
      </c>
      <c r="C39" s="12">
        <f>AVERAGE(Таблица1[стоимость 1 кв/м (Y)])</f>
        <v>341238.30555555556</v>
      </c>
      <c r="D39" s="7">
        <f>AVERAGE(Таблица1[этаж (X)])</f>
        <v>18</v>
      </c>
      <c r="E39" s="12">
        <f>AVERAGE(Таблица1[XY])</f>
        <v>6288238.833333333</v>
      </c>
      <c r="F39" s="12">
        <f>AVERAGE(Таблица1[Y^2])</f>
        <v>117474313945.97223</v>
      </c>
      <c r="G39" s="12">
        <f>AVERAGE(Таблица1[X^2])</f>
        <v>451.38888888888891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 spans="1:31" ht="18" x14ac:dyDescent="0.2">
      <c r="A40" s="7"/>
      <c r="B40" s="7"/>
      <c r="C40" s="3"/>
      <c r="D40" s="7"/>
      <c r="E40" s="12"/>
      <c r="F40" s="12"/>
      <c r="G40" s="12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 spans="1:31" ht="18" x14ac:dyDescent="0.2">
      <c r="A41" s="7"/>
      <c r="B41" s="7" t="s">
        <v>49</v>
      </c>
      <c r="C41" s="12">
        <f>C39^2</f>
        <v>116443581178.4267</v>
      </c>
      <c r="D41" s="7">
        <f>D39^2</f>
        <v>324</v>
      </c>
      <c r="E41" s="12">
        <f>E39^2</f>
        <v>39541947625041.359</v>
      </c>
      <c r="F41" s="12">
        <f>F39^2</f>
        <v>1.3800214437076845E+22</v>
      </c>
      <c r="G41" s="12">
        <f>G39^2</f>
        <v>203751.9290123457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 spans="1:31" ht="18" x14ac:dyDescent="0.2">
      <c r="A42" s="7"/>
      <c r="B42" s="7"/>
      <c r="C42" s="3"/>
      <c r="D42" s="7"/>
      <c r="E42" s="12"/>
      <c r="F42" s="12"/>
      <c r="G42" s="12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 spans="1:31" ht="18" x14ac:dyDescent="0.2">
      <c r="A43" s="7"/>
      <c r="B43" s="7" t="s">
        <v>82</v>
      </c>
      <c r="C43" s="3" t="s">
        <v>53</v>
      </c>
      <c r="D43" s="7" t="s">
        <v>54</v>
      </c>
      <c r="E43" s="12"/>
      <c r="F43" s="12"/>
      <c r="G43" s="1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 spans="1:31" ht="18" x14ac:dyDescent="0.2">
      <c r="A44" s="7"/>
      <c r="B44" s="7" t="s">
        <v>50</v>
      </c>
      <c r="C44" s="12">
        <f>F39-C41</f>
        <v>1030732767.5455322</v>
      </c>
      <c r="D44" s="14">
        <f>G39-D41</f>
        <v>127.38888888888891</v>
      </c>
      <c r="E44" s="12"/>
      <c r="F44" s="12"/>
      <c r="G44" s="1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 spans="1:31" ht="18" x14ac:dyDescent="0.2">
      <c r="A45" s="7"/>
      <c r="B45" s="7"/>
      <c r="C45" s="3"/>
      <c r="D45" s="7"/>
      <c r="E45" s="12"/>
      <c r="F45" s="12"/>
      <c r="G45" s="1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 spans="1:31" ht="18" x14ac:dyDescent="0.2">
      <c r="A46" s="7"/>
      <c r="B46" s="7" t="s">
        <v>51</v>
      </c>
      <c r="C46" s="12">
        <f>SQRT(C44)</f>
        <v>32105.027138215166</v>
      </c>
      <c r="D46" s="7">
        <f>SQRT(D44)</f>
        <v>11.28666863555801</v>
      </c>
      <c r="E46" s="12"/>
      <c r="F46" s="12"/>
      <c r="G46" s="12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 spans="1:31" ht="18" x14ac:dyDescent="0.2">
      <c r="A47" s="7"/>
      <c r="B47" s="7"/>
      <c r="C47" s="3"/>
      <c r="D47" s="7"/>
      <c r="E47" s="12"/>
      <c r="F47" s="12"/>
      <c r="G47" s="12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 spans="1:31" ht="18" x14ac:dyDescent="0.2">
      <c r="A48" s="7"/>
      <c r="B48" s="7" t="s">
        <v>52</v>
      </c>
      <c r="C48" s="12">
        <f>CORREL(Таблица1[стоимость 1 кв/м (Y)],Таблица1[этаж (X)])</f>
        <v>0.40277573550741774</v>
      </c>
      <c r="D48" s="7">
        <f>(E39-(D39*C39))/(D46*C46)</f>
        <v>0.40277573550741513</v>
      </c>
      <c r="E48" s="12"/>
      <c r="F48" s="12"/>
      <c r="G48" s="12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 spans="1:31" ht="18" x14ac:dyDescent="0.2">
      <c r="A49" s="7"/>
      <c r="B49" s="7"/>
      <c r="C49" s="3"/>
      <c r="D49" s="7" t="s">
        <v>55</v>
      </c>
      <c r="E49" s="12"/>
      <c r="F49" s="12"/>
      <c r="G49" s="1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 spans="1:31" ht="18" x14ac:dyDescent="0.2">
      <c r="A50" s="7"/>
      <c r="B50" s="7" t="s">
        <v>56</v>
      </c>
      <c r="C50" s="11">
        <f>C48^2</f>
        <v>0.16222829311354134</v>
      </c>
      <c r="D50" s="7"/>
      <c r="E50" s="12"/>
      <c r="F50" s="12"/>
      <c r="G50" s="12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 spans="1:31" ht="18" x14ac:dyDescent="0.2">
      <c r="A51" s="7"/>
      <c r="B51" s="7"/>
      <c r="C51" s="3"/>
      <c r="D51" s="7"/>
      <c r="E51" s="12"/>
      <c r="F51" s="12" t="s">
        <v>59</v>
      </c>
      <c r="G51" s="12"/>
      <c r="H51" s="7"/>
      <c r="I51" s="7"/>
      <c r="J51" s="7"/>
      <c r="K51" s="7"/>
      <c r="L51" s="7"/>
      <c r="M51" s="7"/>
      <c r="N51" s="7"/>
      <c r="O51" s="7" t="s">
        <v>68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 spans="1:31" ht="18" x14ac:dyDescent="0.2">
      <c r="A52" s="7"/>
      <c r="B52" s="7"/>
      <c r="C52" s="3"/>
      <c r="D52" s="7"/>
      <c r="E52" s="12"/>
      <c r="F52" s="12"/>
      <c r="G52" s="12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 spans="1:31" ht="18" x14ac:dyDescent="0.2">
      <c r="A53" s="7"/>
      <c r="B53" s="7"/>
      <c r="C53" s="3"/>
      <c r="D53" s="7"/>
      <c r="E53" s="12"/>
      <c r="F53" s="12" t="s">
        <v>60</v>
      </c>
      <c r="G53" s="12">
        <f>(E39-D39*C39)/(D44)</f>
        <v>1145.6990841692079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 spans="1:31" ht="18" x14ac:dyDescent="0.2">
      <c r="A54" s="7"/>
      <c r="B54" s="7"/>
      <c r="C54" s="3"/>
      <c r="D54" s="7"/>
      <c r="E54" s="12"/>
      <c r="F54" s="12" t="s">
        <v>61</v>
      </c>
      <c r="G54" s="12">
        <f>C39-G53*D39</f>
        <v>320615.72204050981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 spans="1:31" ht="18" x14ac:dyDescent="0.2">
      <c r="A55" s="7"/>
      <c r="B55" s="7"/>
      <c r="C55" s="3"/>
      <c r="D55" s="7"/>
      <c r="E55" s="12"/>
      <c r="F55" s="12"/>
      <c r="G55" s="12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 spans="1:31" ht="18" x14ac:dyDescent="0.2">
      <c r="A56" s="7"/>
      <c r="B56" s="7"/>
      <c r="C56" s="3"/>
      <c r="D56" s="7"/>
      <c r="E56" s="7"/>
      <c r="F56" s="12"/>
      <c r="G56" s="12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 spans="1:31" ht="18" x14ac:dyDescent="0.2">
      <c r="A57" s="7"/>
      <c r="B57" s="7"/>
      <c r="C57" s="3"/>
      <c r="D57" s="7"/>
      <c r="E57" s="12"/>
      <c r="F57" s="12" t="s">
        <v>76</v>
      </c>
      <c r="G57" s="12"/>
      <c r="H57" s="7"/>
      <c r="I57" s="7"/>
      <c r="J57" s="7"/>
      <c r="K57" s="7"/>
      <c r="L57" s="7"/>
      <c r="M57" s="7"/>
      <c r="N57" s="7"/>
      <c r="O57" s="7"/>
      <c r="P57" s="15" t="s">
        <v>1</v>
      </c>
      <c r="Q57" s="16" t="s">
        <v>0</v>
      </c>
      <c r="R57" s="17" t="s">
        <v>41</v>
      </c>
      <c r="S57" s="16" t="s">
        <v>42</v>
      </c>
      <c r="T57" s="35" t="s">
        <v>70</v>
      </c>
      <c r="U57" s="35" t="s">
        <v>69</v>
      </c>
      <c r="V57" s="35" t="s">
        <v>71</v>
      </c>
      <c r="W57" s="38" t="s">
        <v>80</v>
      </c>
      <c r="X57" s="38" t="s">
        <v>78</v>
      </c>
      <c r="Y57" s="38" t="s">
        <v>64</v>
      </c>
      <c r="Z57" s="7"/>
      <c r="AA57" s="7"/>
      <c r="AB57" s="7"/>
      <c r="AC57" s="7"/>
      <c r="AD57" s="7"/>
      <c r="AE57" s="7"/>
    </row>
    <row r="58" spans="1:31" ht="18" x14ac:dyDescent="0.2">
      <c r="A58" s="7"/>
      <c r="B58" s="7"/>
      <c r="C58" s="3"/>
      <c r="D58" s="7"/>
      <c r="E58" s="12"/>
      <c r="F58" s="15" t="s">
        <v>1</v>
      </c>
      <c r="G58" s="16" t="s">
        <v>0</v>
      </c>
      <c r="H58" s="17" t="s">
        <v>41</v>
      </c>
      <c r="I58" s="16" t="s">
        <v>42</v>
      </c>
      <c r="J58" s="35" t="s">
        <v>62</v>
      </c>
      <c r="K58" s="35" t="s">
        <v>63</v>
      </c>
      <c r="L58" s="36" t="s">
        <v>64</v>
      </c>
      <c r="M58" s="7"/>
      <c r="N58" s="7"/>
      <c r="O58" s="7"/>
      <c r="P58" s="18" t="s">
        <v>2</v>
      </c>
      <c r="Q58" s="19" t="s">
        <v>3</v>
      </c>
      <c r="R58" s="20">
        <v>318699</v>
      </c>
      <c r="S58" s="19">
        <v>4</v>
      </c>
      <c r="T58" s="7">
        <f>1/S58</f>
        <v>0.25</v>
      </c>
      <c r="U58" s="12">
        <f>R58*T58</f>
        <v>79674.75</v>
      </c>
      <c r="V58" s="7">
        <f>T58^2</f>
        <v>6.25E-2</v>
      </c>
      <c r="W58" s="14">
        <f>$Q$100+$Q$96*Таблица4[[#This Row],[Z = 1/X ]]</f>
        <v>328733.68244790751</v>
      </c>
      <c r="X58" s="12">
        <f>(Таблица4[[#This Row],[стоимость 1 кв/м (Y)]]-Таблица4[[#This Row],[Y(x)=b0+b1*1/x]])^2</f>
        <v>100694851.83034316</v>
      </c>
      <c r="Y58" s="39">
        <f>ABS((Таблица4[[#This Row],[стоимость 1 кв/м (Y)]]-Таблица4[[#This Row],[Y(x)=b0+b1*1/x]])/Таблица4[[#This Row],[стоимость 1 кв/м (Y)]])</f>
        <v>3.1486394522441286E-2</v>
      </c>
      <c r="Z58" s="7"/>
      <c r="AA58" s="7"/>
      <c r="AB58" s="7"/>
      <c r="AC58" s="7"/>
      <c r="AD58" s="7"/>
      <c r="AE58" s="7"/>
    </row>
    <row r="59" spans="1:31" ht="18" x14ac:dyDescent="0.2">
      <c r="A59" s="7"/>
      <c r="B59" s="7"/>
      <c r="C59" s="3"/>
      <c r="D59" s="7"/>
      <c r="E59" s="12"/>
      <c r="F59" s="18" t="s">
        <v>2</v>
      </c>
      <c r="G59" s="19" t="s">
        <v>3</v>
      </c>
      <c r="H59" s="20">
        <v>318699</v>
      </c>
      <c r="I59" s="19">
        <v>4</v>
      </c>
      <c r="J59" s="14">
        <f>$G$54+$G$53*I59</f>
        <v>325198.51837718661</v>
      </c>
      <c r="K59" s="3">
        <f>(H59-J59)^2</f>
        <v>42243739.135386519</v>
      </c>
      <c r="L59" s="40">
        <f>ABS((H59-Таблица3[[#This Row],[Y(x) (Y(x)=a0+a1*x1)]])/H59)</f>
        <v>2.0393908914639249E-2</v>
      </c>
      <c r="M59" s="7"/>
      <c r="N59" s="7"/>
      <c r="O59" s="7"/>
      <c r="P59" s="21"/>
      <c r="Q59" s="22" t="s">
        <v>4</v>
      </c>
      <c r="R59" s="23">
        <v>336522</v>
      </c>
      <c r="S59" s="22">
        <v>11</v>
      </c>
      <c r="T59" s="7">
        <f t="shared" ref="T59:T94" si="0">1/S59</f>
        <v>9.0909090909090912E-2</v>
      </c>
      <c r="U59" s="12">
        <f t="shared" ref="U59:U93" si="1">R59*T59</f>
        <v>30592.909090909092</v>
      </c>
      <c r="V59" s="7">
        <f t="shared" ref="V59:V93" si="2">T59^2</f>
        <v>8.2644628099173556E-3</v>
      </c>
      <c r="W59" s="14">
        <f>$Q$100+$Q$96*Таблица4[[#This Row],[Z = 1/X ]]</f>
        <v>342903.66967347031</v>
      </c>
      <c r="X59" s="12">
        <f>(Таблица4[[#This Row],[стоимость 1 кв/м (Y)]]-Таблица4[[#This Row],[Y(x)=b0+b1*1/x]])^2</f>
        <v>40725707.821290709</v>
      </c>
      <c r="Y59" s="39">
        <f>ABS((Таблица4[[#This Row],[стоимость 1 кв/м (Y)]]-Таблица4[[#This Row],[Y(x)=b0+b1*1/x]])/Таблица4[[#This Row],[стоимость 1 кв/м (Y)]])</f>
        <v>1.8963603192273654E-2</v>
      </c>
      <c r="Z59" s="7"/>
      <c r="AA59" s="7"/>
      <c r="AB59" s="7"/>
      <c r="AC59" s="7"/>
      <c r="AD59" s="7"/>
      <c r="AE59" s="7"/>
    </row>
    <row r="60" spans="1:31" ht="18" x14ac:dyDescent="0.2">
      <c r="A60" s="7"/>
      <c r="B60" s="7"/>
      <c r="C60" s="3"/>
      <c r="D60" s="7"/>
      <c r="E60" s="12"/>
      <c r="F60" s="21"/>
      <c r="G60" s="22" t="s">
        <v>4</v>
      </c>
      <c r="H60" s="23">
        <v>336522</v>
      </c>
      <c r="I60" s="22">
        <v>11</v>
      </c>
      <c r="J60" s="14">
        <f>$G$54+$G$53*I60</f>
        <v>333218.41196637112</v>
      </c>
      <c r="K60" s="3">
        <f>(H60-J60)^2</f>
        <v>10913693.895935949</v>
      </c>
      <c r="L60" s="40">
        <f>ABS((H60-Таблица3[[#This Row],[Y(x) (Y(x)=a0+a1*x1)]])/H60)</f>
        <v>9.816856055856327E-3</v>
      </c>
      <c r="M60" s="7"/>
      <c r="N60" s="7"/>
      <c r="O60" s="7"/>
      <c r="P60" s="24"/>
      <c r="Q60" s="19" t="s">
        <v>5</v>
      </c>
      <c r="R60" s="20">
        <v>341090</v>
      </c>
      <c r="S60" s="19">
        <v>23</v>
      </c>
      <c r="T60" s="7">
        <f t="shared" si="0"/>
        <v>4.3478260869565216E-2</v>
      </c>
      <c r="U60" s="12">
        <f t="shared" si="1"/>
        <v>14830</v>
      </c>
      <c r="V60" s="7">
        <f t="shared" si="2"/>
        <v>1.8903591682419658E-3</v>
      </c>
      <c r="W60" s="14">
        <f>$Q$100+$Q$96*Таблица4[[#This Row],[Z = 1/X ]]</f>
        <v>347128.26213823439</v>
      </c>
      <c r="X60" s="12">
        <f>(Таблица4[[#This Row],[стоимость 1 кв/м (Y)]]-Таблица4[[#This Row],[Y(x)=b0+b1*1/x]])^2</f>
        <v>36460609.650034986</v>
      </c>
      <c r="Y60" s="39">
        <f>ABS((Таблица4[[#This Row],[стоимость 1 кв/м (Y)]]-Таблица4[[#This Row],[Y(x)=b0+b1*1/x]])/Таблица4[[#This Row],[стоимость 1 кв/м (Y)]])</f>
        <v>1.7702841297705572E-2</v>
      </c>
      <c r="Z60" s="7"/>
      <c r="AA60" s="7"/>
      <c r="AB60" s="7"/>
      <c r="AC60" s="7"/>
      <c r="AD60" s="7"/>
      <c r="AE60" s="7"/>
    </row>
    <row r="61" spans="1:31" ht="18" x14ac:dyDescent="0.2">
      <c r="A61" s="7"/>
      <c r="B61" s="7"/>
      <c r="C61" s="3"/>
      <c r="D61" s="7"/>
      <c r="E61" s="12"/>
      <c r="F61" s="24"/>
      <c r="G61" s="19" t="s">
        <v>5</v>
      </c>
      <c r="H61" s="20">
        <v>341090</v>
      </c>
      <c r="I61" s="19">
        <v>23</v>
      </c>
      <c r="J61" s="14">
        <f>$G$54+$G$53*I61</f>
        <v>346966.8009764016</v>
      </c>
      <c r="K61" s="3">
        <f>(H61-J61)^2</f>
        <v>34536789.716234826</v>
      </c>
      <c r="L61" s="40">
        <f>ABS((H61-Таблица3[[#This Row],[Y(x) (Y(x)=a0+a1*x1)]])/H61)</f>
        <v>1.7229473090391398E-2</v>
      </c>
      <c r="M61" s="7"/>
      <c r="N61" s="7"/>
      <c r="O61" s="7"/>
      <c r="P61" s="21"/>
      <c r="Q61" s="22" t="s">
        <v>6</v>
      </c>
      <c r="R61" s="23">
        <v>355077</v>
      </c>
      <c r="S61" s="22">
        <v>35</v>
      </c>
      <c r="T61" s="7">
        <f t="shared" si="0"/>
        <v>2.8571428571428571E-2</v>
      </c>
      <c r="U61" s="12">
        <f t="shared" si="1"/>
        <v>10145.057142857142</v>
      </c>
      <c r="V61" s="7">
        <f t="shared" si="2"/>
        <v>8.1632653061224482E-4</v>
      </c>
      <c r="W61" s="14">
        <f>$Q$100+$Q$96*Таблица4[[#This Row],[Z = 1/X ]]</f>
        <v>348455.99119858886</v>
      </c>
      <c r="X61" s="12">
        <f>(Таблица4[[#This Row],[стоимость 1 кв/м (Y)]]-Таблица4[[#This Row],[Y(x)=b0+b1*1/x]])^2</f>
        <v>43837757.548363768</v>
      </c>
      <c r="Y61" s="39">
        <f>ABS((Таблица4[[#This Row],[стоимость 1 кв/м (Y)]]-Таблица4[[#This Row],[Y(x)=b0+b1*1/x]])/Таблица4[[#This Row],[стоимость 1 кв/м (Y)]])</f>
        <v>1.8646684525922937E-2</v>
      </c>
      <c r="Z61" s="7"/>
      <c r="AA61" s="7"/>
      <c r="AB61" s="7"/>
      <c r="AC61" s="7"/>
      <c r="AD61" s="7"/>
      <c r="AE61" s="7"/>
    </row>
    <row r="62" spans="1:31" ht="18" x14ac:dyDescent="0.2">
      <c r="A62" s="7"/>
      <c r="B62" s="7"/>
      <c r="C62" s="3"/>
      <c r="D62" s="7"/>
      <c r="E62" s="12"/>
      <c r="F62" s="21"/>
      <c r="G62" s="22" t="s">
        <v>6</v>
      </c>
      <c r="H62" s="23">
        <v>355077</v>
      </c>
      <c r="I62" s="22">
        <v>35</v>
      </c>
      <c r="J62" s="14">
        <f>$G$54+$G$53*I62</f>
        <v>360715.18998643209</v>
      </c>
      <c r="K62" s="3">
        <f>(H62-J62)^2</f>
        <v>31789186.323103063</v>
      </c>
      <c r="L62" s="40">
        <f>ABS((H62-Таблица3[[#This Row],[Y(x) (Y(x)=a0+a1*x1)]])/H62)</f>
        <v>1.587878118388994E-2</v>
      </c>
      <c r="M62" s="7"/>
      <c r="N62" s="7"/>
      <c r="O62" s="7"/>
      <c r="P62" s="24"/>
      <c r="Q62" s="19" t="s">
        <v>10</v>
      </c>
      <c r="R62" s="20">
        <v>308237</v>
      </c>
      <c r="S62" s="19">
        <v>4</v>
      </c>
      <c r="T62" s="7">
        <f t="shared" si="0"/>
        <v>0.25</v>
      </c>
      <c r="U62" s="12">
        <f t="shared" si="1"/>
        <v>77059.25</v>
      </c>
      <c r="V62" s="7">
        <f t="shared" si="2"/>
        <v>6.25E-2</v>
      </c>
      <c r="W62" s="14">
        <f>$Q$100+$Q$96*Таблица4[[#This Row],[Z = 1/X ]]</f>
        <v>328733.68244790751</v>
      </c>
      <c r="X62" s="12">
        <f>(Таблица4[[#This Row],[стоимость 1 кв/м (Y)]]-Таблица4[[#This Row],[Y(x)=b0+b1*1/x]])^2</f>
        <v>420113991.37036002</v>
      </c>
      <c r="Y62" s="39">
        <f>ABS((Таблица4[[#This Row],[стоимость 1 кв/м (Y)]]-Таблица4[[#This Row],[Y(x)=b0+b1*1/x]])/Таблица4[[#This Row],[стоимость 1 кв/м (Y)]])</f>
        <v>6.649650252210966E-2</v>
      </c>
      <c r="Z62" s="7"/>
      <c r="AA62" s="7"/>
      <c r="AB62" s="7"/>
      <c r="AC62" s="7"/>
      <c r="AD62" s="7"/>
      <c r="AE62" s="7"/>
    </row>
    <row r="63" spans="1:31" ht="18" x14ac:dyDescent="0.2">
      <c r="A63" s="7"/>
      <c r="B63" s="7"/>
      <c r="C63" s="3"/>
      <c r="D63" s="7"/>
      <c r="E63" s="12"/>
      <c r="F63" s="24"/>
      <c r="G63" s="19" t="s">
        <v>10</v>
      </c>
      <c r="H63" s="20">
        <v>308237</v>
      </c>
      <c r="I63" s="19">
        <v>4</v>
      </c>
      <c r="J63" s="14">
        <f>$G$54+$G$53*I63</f>
        <v>325198.51837718661</v>
      </c>
      <c r="K63" s="3">
        <f>(H63-J63)^2</f>
        <v>287693105.65963924</v>
      </c>
      <c r="L63" s="40">
        <f>ABS((H63-Таблица3[[#This Row],[Y(x) (Y(x)=a0+a1*x1)]])/H63)</f>
        <v>5.5027522254585313E-2</v>
      </c>
      <c r="M63" s="7"/>
      <c r="N63" s="7"/>
      <c r="O63" s="7"/>
      <c r="P63" s="21"/>
      <c r="Q63" s="22" t="s">
        <v>11</v>
      </c>
      <c r="R63" s="23">
        <v>306153</v>
      </c>
      <c r="S63" s="22">
        <v>10</v>
      </c>
      <c r="T63" s="7">
        <f t="shared" si="0"/>
        <v>0.1</v>
      </c>
      <c r="U63" s="12">
        <f t="shared" si="1"/>
        <v>30615.300000000003</v>
      </c>
      <c r="V63" s="7">
        <f t="shared" si="2"/>
        <v>1.0000000000000002E-2</v>
      </c>
      <c r="W63" s="14">
        <f>$Q$100+$Q$96*Таблица4[[#This Row],[Z = 1/X ]]</f>
        <v>342093.95611772389</v>
      </c>
      <c r="X63" s="12">
        <f>(Таблица4[[#This Row],[стоимость 1 кв/м (Y)]]-Таблица4[[#This Row],[Y(x)=b0+b1*1/x]])^2</f>
        <v>1291752326.6561546</v>
      </c>
      <c r="Y63" s="39">
        <f>ABS((Таблица4[[#This Row],[стоимость 1 кв/м (Y)]]-Таблица4[[#This Row],[Y(x)=b0+b1*1/x]])/Таблица4[[#This Row],[стоимость 1 кв/м (Y)]])</f>
        <v>0.11739540725625387</v>
      </c>
      <c r="Z63" s="7"/>
      <c r="AA63" s="7"/>
      <c r="AB63" s="7"/>
      <c r="AC63" s="7"/>
      <c r="AD63" s="7"/>
      <c r="AE63" s="7"/>
    </row>
    <row r="64" spans="1:31" ht="18" x14ac:dyDescent="0.2">
      <c r="A64" s="7"/>
      <c r="B64" s="7"/>
      <c r="C64" s="3"/>
      <c r="D64" s="7"/>
      <c r="E64" s="12"/>
      <c r="F64" s="21"/>
      <c r="G64" s="22" t="s">
        <v>11</v>
      </c>
      <c r="H64" s="23">
        <v>306153</v>
      </c>
      <c r="I64" s="22">
        <v>10</v>
      </c>
      <c r="J64" s="14">
        <f>$G$54+$G$53*I64</f>
        <v>332072.71288220189</v>
      </c>
      <c r="K64" s="3">
        <f>(H64-J64)^2</f>
        <v>671831515.89578235</v>
      </c>
      <c r="L64" s="40">
        <f>ABS((H64-Таблица3[[#This Row],[Y(x) (Y(x)=a0+a1*x1)]])/H64)</f>
        <v>8.4662612753106728E-2</v>
      </c>
      <c r="M64" s="7"/>
      <c r="N64" s="7"/>
      <c r="O64" s="7"/>
      <c r="P64" s="24"/>
      <c r="Q64" s="19" t="s">
        <v>12</v>
      </c>
      <c r="R64" s="20">
        <v>333235</v>
      </c>
      <c r="S64" s="19">
        <v>23</v>
      </c>
      <c r="T64" s="7">
        <f t="shared" si="0"/>
        <v>4.3478260869565216E-2</v>
      </c>
      <c r="U64" s="12">
        <f t="shared" si="1"/>
        <v>14488.478260869564</v>
      </c>
      <c r="V64" s="7">
        <f t="shared" si="2"/>
        <v>1.8903591682419658E-3</v>
      </c>
      <c r="W64" s="14">
        <f>$Q$100+$Q$96*Таблица4[[#This Row],[Z = 1/X ]]</f>
        <v>347128.26213823439</v>
      </c>
      <c r="X64" s="12">
        <f>(Таблица4[[#This Row],[стоимость 1 кв/м (Y)]]-Таблица4[[#This Row],[Y(x)=b0+b1*1/x]])^2</f>
        <v>193022732.84169731</v>
      </c>
      <c r="Y64" s="39">
        <f>ABS((Таблица4[[#This Row],[стоимость 1 кв/м (Y)]]-Таблица4[[#This Row],[Y(x)=b0+b1*1/x]])/Таблица4[[#This Row],[стоимость 1 кв/м (Y)]])</f>
        <v>4.1692085579949266E-2</v>
      </c>
      <c r="Z64" s="7"/>
      <c r="AA64" s="7"/>
      <c r="AB64" s="7"/>
      <c r="AC64" s="7"/>
      <c r="AD64" s="7"/>
      <c r="AE64" s="7"/>
    </row>
    <row r="65" spans="1:31" ht="18" x14ac:dyDescent="0.2">
      <c r="A65" s="7"/>
      <c r="B65" s="7"/>
      <c r="C65" s="3"/>
      <c r="D65" s="7"/>
      <c r="E65" s="12"/>
      <c r="F65" s="24"/>
      <c r="G65" s="19" t="s">
        <v>12</v>
      </c>
      <c r="H65" s="20">
        <v>333235</v>
      </c>
      <c r="I65" s="19">
        <v>23</v>
      </c>
      <c r="J65" s="14">
        <f>$G$54+$G$53*I65</f>
        <v>346966.8009764016</v>
      </c>
      <c r="K65" s="3">
        <f>(H65-J65)^2</f>
        <v>188562358.05550399</v>
      </c>
      <c r="L65" s="40">
        <f>ABS((H65-Таблица3[[#This Row],[Y(x) (Y(x)=a0+a1*x1)]])/H65)</f>
        <v>4.1207559159156755E-2</v>
      </c>
      <c r="M65" s="7"/>
      <c r="N65" s="7"/>
      <c r="O65" s="7"/>
      <c r="P65" s="21"/>
      <c r="Q65" s="22" t="s">
        <v>13</v>
      </c>
      <c r="R65" s="23">
        <v>337589</v>
      </c>
      <c r="S65" s="22">
        <v>35</v>
      </c>
      <c r="T65" s="7">
        <f t="shared" si="0"/>
        <v>2.8571428571428571E-2</v>
      </c>
      <c r="U65" s="12">
        <f t="shared" si="1"/>
        <v>9645.4</v>
      </c>
      <c r="V65" s="7">
        <f t="shared" si="2"/>
        <v>8.1632653061224482E-4</v>
      </c>
      <c r="W65" s="14">
        <f>$Q$100+$Q$96*Таблица4[[#This Row],[Z = 1/X ]]</f>
        <v>348455.99119858886</v>
      </c>
      <c r="X65" s="12">
        <f>(Таблица4[[#This Row],[стоимость 1 кв/м (Y)]]-Таблица4[[#This Row],[Y(x)=b0+b1*1/x]])^2</f>
        <v>118091497.71020778</v>
      </c>
      <c r="Y65" s="39">
        <f>ABS((Таблица4[[#This Row],[стоимость 1 кв/м (Y)]]-Таблица4[[#This Row],[Y(x)=b0+b1*1/x]])/Таблица4[[#This Row],[стоимость 1 кв/м (Y)]])</f>
        <v>3.2190003817034504E-2</v>
      </c>
      <c r="Z65" s="7"/>
      <c r="AA65" s="7"/>
      <c r="AB65" s="7"/>
      <c r="AC65" s="7"/>
      <c r="AD65" s="7"/>
      <c r="AE65" s="7"/>
    </row>
    <row r="66" spans="1:31" ht="18" x14ac:dyDescent="0.2">
      <c r="A66" s="7"/>
      <c r="B66" s="7"/>
      <c r="C66" s="3"/>
      <c r="D66" s="7"/>
      <c r="E66" s="12"/>
      <c r="F66" s="21"/>
      <c r="G66" s="22" t="s">
        <v>13</v>
      </c>
      <c r="H66" s="23">
        <v>337589</v>
      </c>
      <c r="I66" s="22">
        <v>35</v>
      </c>
      <c r="J66" s="14">
        <f>$G$54+$G$53*I66</f>
        <v>360715.18998643209</v>
      </c>
      <c r="K66" s="3">
        <f>(H66-J66)^2</f>
        <v>534820663.28855175</v>
      </c>
      <c r="L66" s="40">
        <f>ABS((H66-Таблица3[[#This Row],[Y(x) (Y(x)=a0+a1*x1)]])/H66)</f>
        <v>6.8503979651090785E-2</v>
      </c>
      <c r="M66" s="7"/>
      <c r="N66" s="7"/>
      <c r="O66" s="7"/>
      <c r="P66" s="24"/>
      <c r="Q66" s="19" t="s">
        <v>14</v>
      </c>
      <c r="R66" s="25">
        <v>274171</v>
      </c>
      <c r="S66" s="19">
        <v>4</v>
      </c>
      <c r="T66" s="7">
        <f t="shared" si="0"/>
        <v>0.25</v>
      </c>
      <c r="U66" s="12">
        <f t="shared" si="1"/>
        <v>68542.75</v>
      </c>
      <c r="V66" s="7">
        <f t="shared" si="2"/>
        <v>6.25E-2</v>
      </c>
      <c r="W66" s="14">
        <f>$Q$100+$Q$96*Таблица4[[#This Row],[Z = 1/X ]]</f>
        <v>328733.68244790751</v>
      </c>
      <c r="X66" s="12">
        <f>(Таблица4[[#This Row],[стоимость 1 кв/м (Y)]]-Таблица4[[#This Row],[Y(x)=b0+b1*1/x]])^2</f>
        <v>2977086315.9111948</v>
      </c>
      <c r="Y66" s="39">
        <f>ABS((Таблица4[[#This Row],[стоимость 1 кв/м (Y)]]-Таблица4[[#This Row],[Y(x)=b0+b1*1/x]])/Таблица4[[#This Row],[стоимость 1 кв/м (Y)]])</f>
        <v>0.19900967807648334</v>
      </c>
      <c r="Z66" s="7"/>
      <c r="AA66" s="7"/>
      <c r="AB66" s="7"/>
      <c r="AC66" s="7"/>
      <c r="AD66" s="7"/>
      <c r="AE66" s="7"/>
    </row>
    <row r="67" spans="1:31" ht="18" x14ac:dyDescent="0.2">
      <c r="A67" s="7"/>
      <c r="B67" s="7"/>
      <c r="C67" s="3"/>
      <c r="D67" s="7"/>
      <c r="E67" s="12"/>
      <c r="F67" s="24"/>
      <c r="G67" s="19" t="s">
        <v>14</v>
      </c>
      <c r="H67" s="25">
        <v>274171</v>
      </c>
      <c r="I67" s="19">
        <v>4</v>
      </c>
      <c r="J67" s="14">
        <f>$G$54+$G$53*I67</f>
        <v>325198.51837718661</v>
      </c>
      <c r="K67" s="3">
        <f>(H67-J67)^2</f>
        <v>2603807631.7341175</v>
      </c>
      <c r="L67" s="40">
        <f>ABS((H67-Таблица3[[#This Row],[Y(x) (Y(x)=a0+a1*x1)]])/H67)</f>
        <v>0.18611566641689534</v>
      </c>
      <c r="M67" s="7"/>
      <c r="N67" s="7"/>
      <c r="O67" s="7"/>
      <c r="P67" s="21"/>
      <c r="Q67" s="22" t="s">
        <v>15</v>
      </c>
      <c r="R67" s="26">
        <v>281596</v>
      </c>
      <c r="S67" s="22">
        <v>11</v>
      </c>
      <c r="T67" s="7">
        <f t="shared" si="0"/>
        <v>9.0909090909090912E-2</v>
      </c>
      <c r="U67" s="12">
        <f t="shared" si="1"/>
        <v>25599.636363636364</v>
      </c>
      <c r="V67" s="7">
        <f t="shared" si="2"/>
        <v>8.2644628099173556E-3</v>
      </c>
      <c r="W67" s="14">
        <f>$Q$100+$Q$96*Таблица4[[#This Row],[Z = 1/X ]]</f>
        <v>342903.66967347031</v>
      </c>
      <c r="X67" s="12">
        <f>(Таблица4[[#This Row],[стоимость 1 кв/м (Y)]]-Таблица4[[#This Row],[Y(x)=b0+b1*1/x]])^2</f>
        <v>3758630360.7913518</v>
      </c>
      <c r="Y67" s="39">
        <f>ABS((Таблица4[[#This Row],[стоимость 1 кв/м (Y)]]-Таблица4[[#This Row],[Y(x)=b0+b1*1/x]])/Таблица4[[#This Row],[стоимость 1 кв/м (Y)]])</f>
        <v>0.21771498768970551</v>
      </c>
      <c r="Z67" s="7"/>
      <c r="AA67" s="7"/>
      <c r="AB67" s="7"/>
      <c r="AC67" s="7"/>
      <c r="AD67" s="7"/>
      <c r="AE67" s="7"/>
    </row>
    <row r="68" spans="1:31" ht="18" x14ac:dyDescent="0.2">
      <c r="A68" s="7"/>
      <c r="B68" s="7" t="s">
        <v>57</v>
      </c>
      <c r="C68" s="3"/>
      <c r="D68" s="7"/>
      <c r="E68" s="12"/>
      <c r="F68" s="21"/>
      <c r="G68" s="22" t="s">
        <v>15</v>
      </c>
      <c r="H68" s="26">
        <v>281596</v>
      </c>
      <c r="I68" s="22">
        <v>11</v>
      </c>
      <c r="J68" s="14">
        <f>$G$54+$G$53*I68</f>
        <v>333218.41196637112</v>
      </c>
      <c r="K68" s="3">
        <f>(H68-J68)^2</f>
        <v>2664873417.2257361</v>
      </c>
      <c r="L68" s="40">
        <f>ABS((H68-Таблица3[[#This Row],[Y(x) (Y(x)=a0+a1*x1)]])/H68)</f>
        <v>0.18332082830143581</v>
      </c>
      <c r="M68" s="7"/>
      <c r="N68" s="7"/>
      <c r="O68" s="7"/>
      <c r="P68" s="24"/>
      <c r="Q68" s="19" t="s">
        <v>16</v>
      </c>
      <c r="R68" s="27">
        <v>289955</v>
      </c>
      <c r="S68" s="19">
        <v>24</v>
      </c>
      <c r="T68" s="7">
        <f t="shared" si="0"/>
        <v>4.1666666666666664E-2</v>
      </c>
      <c r="U68" s="12">
        <f t="shared" si="1"/>
        <v>12081.458333333332</v>
      </c>
      <c r="V68" s="7">
        <f t="shared" si="2"/>
        <v>1.736111111111111E-3</v>
      </c>
      <c r="W68" s="14">
        <f>$Q$100+$Q$96*Таблица4[[#This Row],[Z = 1/X ]]</f>
        <v>347289.61810043023</v>
      </c>
      <c r="X68" s="12">
        <f>(Таблица4[[#This Row],[стоимость 1 кв/м (Y)]]-Таблица4[[#This Row],[Y(x)=b0+b1*1/x]])^2</f>
        <v>3287258432.7221823</v>
      </c>
      <c r="Y68" s="39">
        <f>ABS((Таблица4[[#This Row],[стоимость 1 кв/м (Y)]]-Таблица4[[#This Row],[Y(x)=b0+b1*1/x]])/Таблица4[[#This Row],[стоимость 1 кв/м (Y)]])</f>
        <v>0.19773626286985993</v>
      </c>
      <c r="Z68" s="7"/>
      <c r="AA68" s="7"/>
      <c r="AB68" s="7"/>
      <c r="AC68" s="7"/>
      <c r="AD68" s="7"/>
      <c r="AE68" s="7"/>
    </row>
    <row r="69" spans="1:31" ht="18" x14ac:dyDescent="0.2">
      <c r="A69" s="7"/>
      <c r="B69" s="7" t="s">
        <v>58</v>
      </c>
      <c r="C69" s="3"/>
      <c r="D69" s="7"/>
      <c r="E69" s="12"/>
      <c r="F69" s="24"/>
      <c r="G69" s="19" t="s">
        <v>16</v>
      </c>
      <c r="H69" s="27">
        <v>289955</v>
      </c>
      <c r="I69" s="19">
        <v>24</v>
      </c>
      <c r="J69" s="14">
        <f>$G$54+$G$53*I69</f>
        <v>348112.50006057078</v>
      </c>
      <c r="K69" s="3">
        <f>(H69-J69)^2</f>
        <v>3382294813.29529</v>
      </c>
      <c r="L69" s="40">
        <f>ABS((H69-Таблица3[[#This Row],[Y(x) (Y(x)=a0+a1*x1)]])/H69)</f>
        <v>0.20057422724412677</v>
      </c>
      <c r="M69" s="7"/>
      <c r="N69" s="7"/>
      <c r="O69" s="7"/>
      <c r="P69" s="28"/>
      <c r="Q69" s="22" t="s">
        <v>7</v>
      </c>
      <c r="R69" s="26">
        <v>355077</v>
      </c>
      <c r="S69" s="22">
        <v>35</v>
      </c>
      <c r="T69" s="7">
        <f t="shared" si="0"/>
        <v>2.8571428571428571E-2</v>
      </c>
      <c r="U69" s="12">
        <f t="shared" si="1"/>
        <v>10145.057142857142</v>
      </c>
      <c r="V69" s="7">
        <f t="shared" si="2"/>
        <v>8.1632653061224482E-4</v>
      </c>
      <c r="W69" s="14">
        <f>$Q$100+$Q$96*Таблица4[[#This Row],[Z = 1/X ]]</f>
        <v>348455.99119858886</v>
      </c>
      <c r="X69" s="12">
        <f>(Таблица4[[#This Row],[стоимость 1 кв/м (Y)]]-Таблица4[[#This Row],[Y(x)=b0+b1*1/x]])^2</f>
        <v>43837757.548363768</v>
      </c>
      <c r="Y69" s="39">
        <f>ABS((Таблица4[[#This Row],[стоимость 1 кв/м (Y)]]-Таблица4[[#This Row],[Y(x)=b0+b1*1/x]])/Таблица4[[#This Row],[стоимость 1 кв/м (Y)]])</f>
        <v>1.8646684525922937E-2</v>
      </c>
      <c r="Z69" s="7"/>
      <c r="AA69" s="7"/>
      <c r="AB69" s="7"/>
      <c r="AC69" s="7"/>
      <c r="AD69" s="7"/>
      <c r="AE69" s="7"/>
    </row>
    <row r="70" spans="1:31" ht="18" x14ac:dyDescent="0.2">
      <c r="A70" s="7"/>
      <c r="B70" s="7"/>
      <c r="C70" s="3"/>
      <c r="D70" s="7"/>
      <c r="E70" s="12"/>
      <c r="F70" s="28"/>
      <c r="G70" s="22" t="s">
        <v>7</v>
      </c>
      <c r="H70" s="26">
        <v>355077</v>
      </c>
      <c r="I70" s="22">
        <v>35</v>
      </c>
      <c r="J70" s="14">
        <f>$G$54+$G$53*I70</f>
        <v>360715.18998643209</v>
      </c>
      <c r="K70" s="3">
        <f>(H70-J70)^2</f>
        <v>31789186.323103063</v>
      </c>
      <c r="L70" s="40">
        <f>ABS((H70-Таблица3[[#This Row],[Y(x) (Y(x)=a0+a1*x1)]])/H70)</f>
        <v>1.587878118388994E-2</v>
      </c>
      <c r="M70" s="7"/>
      <c r="N70" s="7"/>
      <c r="O70" s="7"/>
      <c r="P70" s="29" t="s">
        <v>8</v>
      </c>
      <c r="Q70" s="19" t="s">
        <v>17</v>
      </c>
      <c r="R70" s="30">
        <v>347455</v>
      </c>
      <c r="S70" s="19">
        <v>5</v>
      </c>
      <c r="T70" s="7">
        <f t="shared" si="0"/>
        <v>0.2</v>
      </c>
      <c r="U70" s="12">
        <f t="shared" si="1"/>
        <v>69491</v>
      </c>
      <c r="V70" s="7">
        <f t="shared" si="2"/>
        <v>4.0000000000000008E-2</v>
      </c>
      <c r="W70" s="14">
        <f>$Q$100+$Q$96*Таблица4[[#This Row],[Z = 1/X ]]</f>
        <v>333187.10700451297</v>
      </c>
      <c r="X70" s="12">
        <f>(Таблица4[[#This Row],[стоимость 1 кв/м (Y)]]-Таблица4[[#This Row],[Y(x)=b0+b1*1/x]])^2</f>
        <v>203572770.53066772</v>
      </c>
      <c r="Y70" s="39">
        <f>ABS((Таблица4[[#This Row],[стоимость 1 кв/м (Y)]]-Таблица4[[#This Row],[Y(x)=b0+b1*1/x]])/Таблица4[[#This Row],[стоимость 1 кв/м (Y)]])</f>
        <v>4.106400251971342E-2</v>
      </c>
      <c r="Z70" s="7"/>
      <c r="AA70" s="7"/>
      <c r="AB70" s="7"/>
      <c r="AC70" s="7"/>
      <c r="AD70" s="7"/>
      <c r="AE70" s="7"/>
    </row>
    <row r="71" spans="1:31" ht="18" x14ac:dyDescent="0.2">
      <c r="A71" s="7"/>
      <c r="B71" s="7"/>
      <c r="C71" s="3"/>
      <c r="D71" s="7"/>
      <c r="E71" s="12"/>
      <c r="F71" s="29" t="s">
        <v>8</v>
      </c>
      <c r="G71" s="19" t="s">
        <v>17</v>
      </c>
      <c r="H71" s="30">
        <v>347455</v>
      </c>
      <c r="I71" s="19">
        <v>5</v>
      </c>
      <c r="J71" s="14">
        <f>$G$54+$G$53*I71</f>
        <v>326344.21746135585</v>
      </c>
      <c r="K71" s="3">
        <f>(H71-J71)^2</f>
        <v>445665139.39392292</v>
      </c>
      <c r="L71" s="40">
        <f>ABS((H71-Таблица3[[#This Row],[Y(x) (Y(x)=a0+a1*x1)]])/H71)</f>
        <v>6.075832133267374E-2</v>
      </c>
      <c r="M71" s="7"/>
      <c r="N71" s="7"/>
      <c r="O71" s="7"/>
      <c r="P71" s="31"/>
      <c r="Q71" s="22" t="s">
        <v>18</v>
      </c>
      <c r="R71" s="32">
        <v>349415</v>
      </c>
      <c r="S71" s="22">
        <v>10</v>
      </c>
      <c r="T71" s="7">
        <f t="shared" si="0"/>
        <v>0.1</v>
      </c>
      <c r="U71" s="12">
        <f t="shared" si="1"/>
        <v>34941.5</v>
      </c>
      <c r="V71" s="7">
        <f t="shared" si="2"/>
        <v>1.0000000000000002E-2</v>
      </c>
      <c r="W71" s="14">
        <f>$Q$100+$Q$96*Таблица4[[#This Row],[Z = 1/X ]]</f>
        <v>342093.95611772389</v>
      </c>
      <c r="X71" s="12">
        <f>(Таблица4[[#This Row],[стоимость 1 кв/м (Y)]]-Таблица4[[#This Row],[Y(x)=b0+b1*1/x]])^2</f>
        <v>53597683.526212402</v>
      </c>
      <c r="Y71" s="39">
        <f>ABS((Таблица4[[#This Row],[стоимость 1 кв/м (Y)]]-Таблица4[[#This Row],[Y(x)=b0+b1*1/x]])/Таблица4[[#This Row],[стоимость 1 кв/м (Y)]])</f>
        <v>2.0952288488691403E-2</v>
      </c>
      <c r="Z71" s="7"/>
      <c r="AA71" s="7"/>
      <c r="AB71" s="7"/>
      <c r="AC71" s="7"/>
      <c r="AD71" s="7"/>
      <c r="AE71" s="7"/>
    </row>
    <row r="72" spans="1:31" ht="18" x14ac:dyDescent="0.2">
      <c r="A72" s="7"/>
      <c r="B72" s="7"/>
      <c r="C72" s="3"/>
      <c r="D72" s="7"/>
      <c r="E72" s="12"/>
      <c r="F72" s="31"/>
      <c r="G72" s="22" t="s">
        <v>18</v>
      </c>
      <c r="H72" s="32">
        <v>349415</v>
      </c>
      <c r="I72" s="22">
        <v>10</v>
      </c>
      <c r="J72" s="14">
        <f>$G$54+$G$53*I72</f>
        <v>332072.71288220189</v>
      </c>
      <c r="K72" s="3">
        <f>(H72-J72)^2</f>
        <v>300754922.4761464</v>
      </c>
      <c r="L72" s="40">
        <f>ABS((H72-Таблица3[[#This Row],[Y(x) (Y(x)=a0+a1*x1)]])/H72)</f>
        <v>4.9632348690806391E-2</v>
      </c>
      <c r="M72" s="7"/>
      <c r="N72" s="7"/>
      <c r="O72" s="7"/>
      <c r="P72" s="24"/>
      <c r="Q72" s="19" t="s">
        <v>19</v>
      </c>
      <c r="R72" s="30">
        <v>356315</v>
      </c>
      <c r="S72" s="19">
        <v>26</v>
      </c>
      <c r="T72" s="7">
        <f t="shared" si="0"/>
        <v>3.8461538461538464E-2</v>
      </c>
      <c r="U72" s="12">
        <f t="shared" si="1"/>
        <v>13704.423076923078</v>
      </c>
      <c r="V72" s="7">
        <f t="shared" si="2"/>
        <v>1.4792899408284025E-3</v>
      </c>
      <c r="W72" s="14">
        <f>$Q$100+$Q$96*Таблица4[[#This Row],[Z = 1/X ]]</f>
        <v>347575.09403354599</v>
      </c>
      <c r="X72" s="12">
        <f>(Таблица4[[#This Row],[стоимость 1 кв/м (Y)]]-Таблица4[[#This Row],[Y(x)=b0+b1*1/x]])^2</f>
        <v>76385956.30245842</v>
      </c>
      <c r="Y72" s="39">
        <f>ABS((Таблица4[[#This Row],[стоимость 1 кв/м (Y)]]-Таблица4[[#This Row],[Y(x)=b0+b1*1/x]])/Таблица4[[#This Row],[стоимость 1 кв/м (Y)]])</f>
        <v>2.4528593986932939E-2</v>
      </c>
      <c r="Z72" s="7"/>
      <c r="AA72" s="7"/>
      <c r="AB72" s="7"/>
      <c r="AC72" s="7"/>
      <c r="AD72" s="7"/>
      <c r="AE72" s="7"/>
    </row>
    <row r="73" spans="1:31" ht="18" x14ac:dyDescent="0.2">
      <c r="A73" s="7"/>
      <c r="B73" s="7"/>
      <c r="C73" s="3"/>
      <c r="D73" s="7"/>
      <c r="E73" s="12"/>
      <c r="F73" s="24"/>
      <c r="G73" s="19" t="s">
        <v>19</v>
      </c>
      <c r="H73" s="30">
        <v>356315</v>
      </c>
      <c r="I73" s="19">
        <v>26</v>
      </c>
      <c r="J73" s="14">
        <f>$G$54+$G$53*I73</f>
        <v>350403.89822890924</v>
      </c>
      <c r="K73" s="3">
        <f>(H73-J73)^2</f>
        <v>34941124.148192339</v>
      </c>
      <c r="L73" s="40">
        <f>ABS((H73-Таблица3[[#This Row],[Y(x) (Y(x)=a0+a1*x1)]])/H73)</f>
        <v>1.6589539511642118E-2</v>
      </c>
      <c r="M73" s="7"/>
      <c r="N73" s="7"/>
      <c r="O73" s="7"/>
      <c r="P73" s="21"/>
      <c r="Q73" s="22" t="s">
        <v>20</v>
      </c>
      <c r="R73" s="32">
        <v>359294</v>
      </c>
      <c r="S73" s="22">
        <v>34</v>
      </c>
      <c r="T73" s="7">
        <f t="shared" si="0"/>
        <v>2.9411764705882353E-2</v>
      </c>
      <c r="U73" s="12">
        <f t="shared" si="1"/>
        <v>10567.470588235294</v>
      </c>
      <c r="V73" s="7">
        <f t="shared" si="2"/>
        <v>8.6505190311418688E-4</v>
      </c>
      <c r="W73" s="14">
        <f>$Q$100+$Q$96*Таблица4[[#This Row],[Z = 1/X ]]</f>
        <v>348381.14372704923</v>
      </c>
      <c r="X73" s="12">
        <f>(Таблица4[[#This Row],[стоимость 1 кв/м (Y)]]-Таблица4[[#This Row],[Y(x)=b0+b1*1/x]])^2</f>
        <v>119090432.03408094</v>
      </c>
      <c r="Y73" s="39">
        <f>ABS((Таблица4[[#This Row],[стоимость 1 кв/м (Y)]]-Таблица4[[#This Row],[Y(x)=b0+b1*1/x]])/Таблица4[[#This Row],[стоимость 1 кв/м (Y)]])</f>
        <v>3.0373054581904424E-2</v>
      </c>
      <c r="Z73" s="7"/>
      <c r="AA73" s="7"/>
      <c r="AB73" s="7"/>
      <c r="AC73" s="7"/>
      <c r="AD73" s="7"/>
      <c r="AE73" s="7"/>
    </row>
    <row r="74" spans="1:31" ht="18" x14ac:dyDescent="0.2">
      <c r="A74" s="7"/>
      <c r="B74" s="7"/>
      <c r="C74" s="3"/>
      <c r="D74" s="7"/>
      <c r="E74" s="12"/>
      <c r="F74" s="21"/>
      <c r="G74" s="22" t="s">
        <v>20</v>
      </c>
      <c r="H74" s="32">
        <v>359294</v>
      </c>
      <c r="I74" s="22">
        <v>34</v>
      </c>
      <c r="J74" s="14">
        <f>$G$54+$G$53*I74</f>
        <v>359569.49090226286</v>
      </c>
      <c r="K74" s="3">
        <f>(H74-J74)^2</f>
        <v>75895.237229602615</v>
      </c>
      <c r="L74" s="40">
        <f>ABS((H74-Таблица3[[#This Row],[Y(x) (Y(x)=a0+a1*x1)]])/H74)</f>
        <v>7.6675620038980962E-4</v>
      </c>
      <c r="M74" s="7"/>
      <c r="N74" s="7"/>
      <c r="O74" s="7"/>
      <c r="P74" s="24"/>
      <c r="Q74" s="19" t="s">
        <v>21</v>
      </c>
      <c r="R74" s="30">
        <v>385310</v>
      </c>
      <c r="S74" s="19">
        <v>5</v>
      </c>
      <c r="T74" s="7">
        <f t="shared" si="0"/>
        <v>0.2</v>
      </c>
      <c r="U74" s="12">
        <f t="shared" si="1"/>
        <v>77062</v>
      </c>
      <c r="V74" s="7">
        <f t="shared" si="2"/>
        <v>4.0000000000000008E-2</v>
      </c>
      <c r="W74" s="14">
        <f>$Q$100+$Q$96*Таблица4[[#This Row],[Z = 1/X ]]</f>
        <v>333187.10700451297</v>
      </c>
      <c r="X74" s="12">
        <f>(Таблица4[[#This Row],[стоимость 1 кв/м (Y)]]-Таблица4[[#This Row],[Y(x)=b0+b1*1/x]])^2</f>
        <v>2716795974.2189903</v>
      </c>
      <c r="Y74" s="39">
        <f>ABS((Таблица4[[#This Row],[стоимость 1 кв/м (Y)]]-Таблица4[[#This Row],[Y(x)=b0+b1*1/x]])/Таблица4[[#This Row],[стоимость 1 кв/м (Y)]])</f>
        <v>0.135275214750427</v>
      </c>
      <c r="Z74" s="7"/>
      <c r="AA74" s="7"/>
      <c r="AB74" s="7"/>
      <c r="AC74" s="7"/>
      <c r="AD74" s="7"/>
      <c r="AE74" s="7"/>
    </row>
    <row r="75" spans="1:31" ht="18" x14ac:dyDescent="0.2">
      <c r="A75" s="7"/>
      <c r="B75" s="7"/>
      <c r="C75" s="3"/>
      <c r="D75" s="7"/>
      <c r="E75" s="12"/>
      <c r="F75" s="24"/>
      <c r="G75" s="19" t="s">
        <v>21</v>
      </c>
      <c r="H75" s="30">
        <v>385310</v>
      </c>
      <c r="I75" s="19">
        <v>5</v>
      </c>
      <c r="J75" s="14">
        <f>$G$54+$G$53*I75</f>
        <v>326344.21746135585</v>
      </c>
      <c r="K75" s="3">
        <f>(H75-J75)^2</f>
        <v>3476963510.3946719</v>
      </c>
      <c r="L75" s="40">
        <f>ABS((H75-Таблица3[[#This Row],[Y(x) (Y(x)=a0+a1*x1)]])/H75)</f>
        <v>0.15303465401532312</v>
      </c>
      <c r="M75" s="7"/>
      <c r="N75" s="7"/>
      <c r="O75" s="7"/>
      <c r="P75" s="21"/>
      <c r="Q75" s="22" t="s">
        <v>22</v>
      </c>
      <c r="R75" s="33">
        <v>371019</v>
      </c>
      <c r="S75" s="22">
        <v>13</v>
      </c>
      <c r="T75" s="7">
        <f t="shared" si="0"/>
        <v>7.6923076923076927E-2</v>
      </c>
      <c r="U75" s="12">
        <f t="shared" si="1"/>
        <v>28539.923076923078</v>
      </c>
      <c r="V75" s="7">
        <f t="shared" si="2"/>
        <v>5.9171597633136102E-3</v>
      </c>
      <c r="W75" s="14">
        <f>$Q$100+$Q$96*Таблица4[[#This Row],[Z = 1/X ]]</f>
        <v>344149.38283615717</v>
      </c>
      <c r="X75" s="12">
        <f>(Таблица4[[#This Row],[стоимость 1 кв/м (Y)]]-Таблица4[[#This Row],[Y(x)=b0+b1*1/x]])^2</f>
        <v>721976326.53147745</v>
      </c>
      <c r="Y75" s="39">
        <f>ABS((Таблица4[[#This Row],[стоимость 1 кв/м (Y)]]-Таблица4[[#This Row],[Y(x)=b0+b1*1/x]])/Таблица4[[#This Row],[стоимость 1 кв/м (Y)]])</f>
        <v>7.2421135208285387E-2</v>
      </c>
      <c r="Z75" s="7"/>
      <c r="AA75" s="7"/>
      <c r="AB75" s="7"/>
      <c r="AC75" s="7"/>
      <c r="AD75" s="7"/>
      <c r="AE75" s="7"/>
    </row>
    <row r="76" spans="1:31" ht="18" x14ac:dyDescent="0.2">
      <c r="A76" s="7"/>
      <c r="B76" s="7"/>
      <c r="C76" s="3"/>
      <c r="D76" s="7"/>
      <c r="E76" s="12"/>
      <c r="F76" s="21"/>
      <c r="G76" s="22" t="s">
        <v>22</v>
      </c>
      <c r="H76" s="33">
        <v>371019</v>
      </c>
      <c r="I76" s="22">
        <v>13</v>
      </c>
      <c r="J76" s="14">
        <f>$G$54+$G$53*I76</f>
        <v>335509.81013470952</v>
      </c>
      <c r="K76" s="3">
        <f>(H76-J76)^2</f>
        <v>1260902564.8892481</v>
      </c>
      <c r="L76" s="40">
        <f>ABS((H76-Таблица3[[#This Row],[Y(x) (Y(x)=a0+a1*x1)]])/H76)</f>
        <v>9.5707200615845756E-2</v>
      </c>
      <c r="M76" s="7"/>
      <c r="N76" s="7"/>
      <c r="O76" s="7"/>
      <c r="P76" s="24"/>
      <c r="Q76" s="19" t="s">
        <v>23</v>
      </c>
      <c r="R76" s="34">
        <v>357606</v>
      </c>
      <c r="S76" s="19">
        <v>24</v>
      </c>
      <c r="T76" s="7">
        <f t="shared" si="0"/>
        <v>4.1666666666666664E-2</v>
      </c>
      <c r="U76" s="12">
        <f t="shared" si="1"/>
        <v>14900.25</v>
      </c>
      <c r="V76" s="7">
        <f t="shared" si="2"/>
        <v>1.736111111111111E-3</v>
      </c>
      <c r="W76" s="14">
        <f>$Q$100+$Q$96*Таблица4[[#This Row],[Z = 1/X ]]</f>
        <v>347289.61810043023</v>
      </c>
      <c r="X76" s="12">
        <f>(Таблица4[[#This Row],[стоимость 1 кв/м (Y)]]-Таблица4[[#This Row],[Y(x)=b0+b1*1/x]])^2</f>
        <v>106427735.49777068</v>
      </c>
      <c r="Y76" s="39">
        <f>ABS((Таблица4[[#This Row],[стоимость 1 кв/м (Y)]]-Таблица4[[#This Row],[Y(x)=b0+b1*1/x]])/Таблица4[[#This Row],[стоимость 1 кв/м (Y)]])</f>
        <v>2.8848458637634061E-2</v>
      </c>
      <c r="Z76" s="7"/>
      <c r="AA76" s="7"/>
      <c r="AB76" s="7"/>
      <c r="AC76" s="7"/>
      <c r="AD76" s="7"/>
      <c r="AE76" s="7"/>
    </row>
    <row r="77" spans="1:31" ht="18" x14ac:dyDescent="0.2">
      <c r="A77" s="7"/>
      <c r="B77" s="7"/>
      <c r="C77" s="3"/>
      <c r="D77" s="7"/>
      <c r="E77" s="12"/>
      <c r="F77" s="24"/>
      <c r="G77" s="19" t="s">
        <v>23</v>
      </c>
      <c r="H77" s="34">
        <v>357606</v>
      </c>
      <c r="I77" s="19">
        <v>24</v>
      </c>
      <c r="J77" s="14">
        <f>$G$54+$G$53*I77</f>
        <v>348112.50006057078</v>
      </c>
      <c r="K77" s="3">
        <f>(H77-J77)^2</f>
        <v>90126541.099942684</v>
      </c>
      <c r="L77" s="40">
        <f>ABS((H77-Таблица3[[#This Row],[Y(x) (Y(x)=a0+a1*x1)]])/H77)</f>
        <v>2.6547373196840165E-2</v>
      </c>
      <c r="M77" s="7"/>
      <c r="N77" s="7"/>
      <c r="O77" s="7"/>
      <c r="P77" s="21"/>
      <c r="Q77" s="22" t="s">
        <v>24</v>
      </c>
      <c r="R77" s="33">
        <v>372752</v>
      </c>
      <c r="S77" s="22">
        <v>36</v>
      </c>
      <c r="T77" s="7">
        <f t="shared" si="0"/>
        <v>2.7777777777777776E-2</v>
      </c>
      <c r="U77" s="12">
        <f t="shared" si="1"/>
        <v>10354.222222222221</v>
      </c>
      <c r="V77" s="7">
        <f t="shared" si="2"/>
        <v>7.716049382716049E-4</v>
      </c>
      <c r="W77" s="14">
        <f>$Q$100+$Q$96*Таблица4[[#This Row],[Z = 1/X ]]</f>
        <v>348526.68047726509</v>
      </c>
      <c r="X77" s="12">
        <f>(Таблица4[[#This Row],[стоимость 1 кв/м (Y)]]-Таблица4[[#This Row],[Y(x)=b0+b1*1/x]])^2</f>
        <v>586866105.97860098</v>
      </c>
      <c r="Y77" s="39">
        <f>ABS((Таблица4[[#This Row],[стоимость 1 кв/м (Y)]]-Таблица4[[#This Row],[Y(x)=b0+b1*1/x]])/Таблица4[[#This Row],[стоимость 1 кв/м (Y)]])</f>
        <v>6.4990448133705261E-2</v>
      </c>
      <c r="Z77" s="7"/>
      <c r="AA77" s="7"/>
      <c r="AB77" s="7"/>
      <c r="AC77" s="7"/>
      <c r="AD77" s="7"/>
      <c r="AE77" s="7"/>
    </row>
    <row r="78" spans="1:31" ht="18" x14ac:dyDescent="0.2">
      <c r="A78" s="7"/>
      <c r="B78" s="7"/>
      <c r="C78" s="3"/>
      <c r="D78" s="7"/>
      <c r="E78" s="12"/>
      <c r="F78" s="21"/>
      <c r="G78" s="22" t="s">
        <v>24</v>
      </c>
      <c r="H78" s="33">
        <v>372752</v>
      </c>
      <c r="I78" s="22">
        <v>36</v>
      </c>
      <c r="J78" s="14">
        <f>$G$54+$G$53*I78</f>
        <v>361860.88907060132</v>
      </c>
      <c r="K78" s="3">
        <f>(H78-J78)^2</f>
        <v>118616297.2764674</v>
      </c>
      <c r="L78" s="40">
        <f>ABS((H78-Таблица3[[#This Row],[Y(x) (Y(x)=a0+a1*x1)]])/H78)</f>
        <v>2.9218115340490947E-2</v>
      </c>
      <c r="M78" s="7"/>
      <c r="N78" s="7"/>
      <c r="O78" s="7"/>
      <c r="P78" s="24"/>
      <c r="Q78" s="19" t="s">
        <v>25</v>
      </c>
      <c r="R78" s="34">
        <v>343450</v>
      </c>
      <c r="S78" s="19">
        <v>5</v>
      </c>
      <c r="T78" s="7">
        <f t="shared" si="0"/>
        <v>0.2</v>
      </c>
      <c r="U78" s="12">
        <f t="shared" si="1"/>
        <v>68690</v>
      </c>
      <c r="V78" s="7">
        <f t="shared" si="2"/>
        <v>4.0000000000000008E-2</v>
      </c>
      <c r="W78" s="14">
        <f>$Q$100+$Q$96*Таблица4[[#This Row],[Z = 1/X ]]</f>
        <v>333187.10700451297</v>
      </c>
      <c r="X78" s="12">
        <f>(Таблица4[[#This Row],[стоимость 1 кв/м (Y)]]-Таблица4[[#This Row],[Y(x)=b0+b1*1/x]])^2</f>
        <v>105326972.63681665</v>
      </c>
      <c r="Y78" s="39">
        <f>ABS((Таблица4[[#This Row],[стоимость 1 кв/м (Y)]]-Таблица4[[#This Row],[Y(x)=b0+b1*1/x]])/Таблица4[[#This Row],[стоимость 1 кв/м (Y)]])</f>
        <v>2.9881767347465497E-2</v>
      </c>
      <c r="Z78" s="7"/>
      <c r="AA78" s="7"/>
      <c r="AB78" s="7"/>
      <c r="AC78" s="7"/>
      <c r="AD78" s="7"/>
      <c r="AE78" s="7"/>
    </row>
    <row r="79" spans="1:31" ht="18" x14ac:dyDescent="0.2">
      <c r="A79" s="7"/>
      <c r="B79" s="7"/>
      <c r="C79" s="3"/>
      <c r="D79" s="7"/>
      <c r="E79" s="12"/>
      <c r="F79" s="24"/>
      <c r="G79" s="19" t="s">
        <v>25</v>
      </c>
      <c r="H79" s="34">
        <v>343450</v>
      </c>
      <c r="I79" s="19">
        <v>5</v>
      </c>
      <c r="J79" s="14">
        <f>$G$54+$G$53*I79</f>
        <v>326344.21746135585</v>
      </c>
      <c r="K79" s="3">
        <f>(H79-J79)^2</f>
        <v>292607796.25938326</v>
      </c>
      <c r="L79" s="40">
        <f>ABS((H79-Таблица3[[#This Row],[Y(x) (Y(x)=a0+a1*x1)]])/H79)</f>
        <v>4.9805743306577825E-2</v>
      </c>
      <c r="M79" s="7"/>
      <c r="N79" s="7"/>
      <c r="O79" s="7"/>
      <c r="P79" s="21"/>
      <c r="Q79" s="22" t="s">
        <v>26</v>
      </c>
      <c r="R79" s="33">
        <v>346468</v>
      </c>
      <c r="S79" s="22">
        <v>11</v>
      </c>
      <c r="T79" s="7">
        <f t="shared" si="0"/>
        <v>9.0909090909090912E-2</v>
      </c>
      <c r="U79" s="12">
        <f t="shared" si="1"/>
        <v>31497.090909090912</v>
      </c>
      <c r="V79" s="7">
        <f t="shared" si="2"/>
        <v>8.2644628099173556E-3</v>
      </c>
      <c r="W79" s="14">
        <f>$Q$100+$Q$96*Таблица4[[#This Row],[Z = 1/X ]]</f>
        <v>342903.66967347031</v>
      </c>
      <c r="X79" s="12">
        <f>(Таблица4[[#This Row],[стоимость 1 кв/м (Y)]]-Таблица4[[#This Row],[Y(x)=b0+b1*1/x]])^2</f>
        <v>12704450.676619213</v>
      </c>
      <c r="Y79" s="39">
        <f>ABS((Таблица4[[#This Row],[стоимость 1 кв/м (Y)]]-Таблица4[[#This Row],[Y(x)=b0+b1*1/x]])/Таблица4[[#This Row],[стоимость 1 кв/м (Y)]])</f>
        <v>1.028761769205146E-2</v>
      </c>
      <c r="Z79" s="7"/>
      <c r="AA79" s="7"/>
      <c r="AB79" s="7"/>
      <c r="AC79" s="7"/>
      <c r="AD79" s="7"/>
      <c r="AE79" s="7"/>
    </row>
    <row r="80" spans="1:31" ht="18" x14ac:dyDescent="0.2">
      <c r="A80" s="7"/>
      <c r="B80" s="7"/>
      <c r="C80" s="3"/>
      <c r="D80" s="7"/>
      <c r="E80" s="12"/>
      <c r="F80" s="21"/>
      <c r="G80" s="22" t="s">
        <v>26</v>
      </c>
      <c r="H80" s="33">
        <v>346468</v>
      </c>
      <c r="I80" s="22">
        <v>11</v>
      </c>
      <c r="J80" s="14">
        <f>$G$54+$G$53*I80</f>
        <v>333218.41196637112</v>
      </c>
      <c r="K80" s="3">
        <f>(H80-J80)^2</f>
        <v>175551583.06088167</v>
      </c>
      <c r="L80" s="40">
        <f>ABS((H80-Таблица3[[#This Row],[Y(x) (Y(x)=a0+a1*x1)]])/H80)</f>
        <v>3.8241881021130041E-2</v>
      </c>
      <c r="M80" s="7"/>
      <c r="N80" s="7"/>
      <c r="O80" s="7"/>
      <c r="P80" s="24"/>
      <c r="Q80" s="19" t="s">
        <v>27</v>
      </c>
      <c r="R80" s="34">
        <v>320681</v>
      </c>
      <c r="S80" s="19">
        <v>20</v>
      </c>
      <c r="T80" s="7">
        <f t="shared" si="0"/>
        <v>0.05</v>
      </c>
      <c r="U80" s="12">
        <f t="shared" si="1"/>
        <v>16034.050000000001</v>
      </c>
      <c r="V80" s="7">
        <f t="shared" si="2"/>
        <v>2.5000000000000005E-3</v>
      </c>
      <c r="W80" s="14">
        <f>$Q$100+$Q$96*Таблица4[[#This Row],[Z = 1/X ]]</f>
        <v>346547.38067432935</v>
      </c>
      <c r="X80" s="12">
        <f>(Таблица4[[#This Row],[стоимость 1 кв/м (Y)]]-Таблица4[[#This Row],[Y(x)=b0+b1*1/x]])^2</f>
        <v>669069649.18931901</v>
      </c>
      <c r="Y80" s="39">
        <f>ABS((Таблица4[[#This Row],[стоимость 1 кв/м (Y)]]-Таблица4[[#This Row],[Y(x)=b0+b1*1/x]])/Таблица4[[#This Row],[стоимость 1 кв/м (Y)]])</f>
        <v>8.0660783377653658E-2</v>
      </c>
      <c r="Z80" s="7"/>
      <c r="AA80" s="7"/>
      <c r="AB80" s="7"/>
      <c r="AC80" s="7"/>
      <c r="AD80" s="7"/>
      <c r="AE80" s="7"/>
    </row>
    <row r="81" spans="1:31" ht="18" x14ac:dyDescent="0.2">
      <c r="A81" s="7"/>
      <c r="B81" s="7"/>
      <c r="C81" s="3"/>
      <c r="D81" s="7"/>
      <c r="E81" s="12"/>
      <c r="F81" s="24"/>
      <c r="G81" s="19" t="s">
        <v>27</v>
      </c>
      <c r="H81" s="34">
        <v>320681</v>
      </c>
      <c r="I81" s="19">
        <v>20</v>
      </c>
      <c r="J81" s="14">
        <f>$G$54+$G$53*I81</f>
        <v>343529.70372389397</v>
      </c>
      <c r="K81" s="3">
        <f>(H81-J81)^2</f>
        <v>522063261.86228603</v>
      </c>
      <c r="L81" s="40">
        <f>ABS((H81-Таблица3[[#This Row],[Y(x) (Y(x)=a0+a1*x1)]])/H81)</f>
        <v>7.1250569019973009E-2</v>
      </c>
      <c r="M81" s="7"/>
      <c r="N81" s="7"/>
      <c r="O81" s="7"/>
      <c r="P81" s="28"/>
      <c r="Q81" s="22" t="s">
        <v>28</v>
      </c>
      <c r="R81" s="33">
        <v>352986</v>
      </c>
      <c r="S81" s="22">
        <v>37</v>
      </c>
      <c r="T81" s="7">
        <f t="shared" si="0"/>
        <v>2.7027027027027029E-2</v>
      </c>
      <c r="U81" s="12">
        <f t="shared" si="1"/>
        <v>9540.1621621621634</v>
      </c>
      <c r="V81" s="7">
        <f t="shared" si="2"/>
        <v>7.304601899196495E-4</v>
      </c>
      <c r="W81" s="14">
        <f>$Q$100+$Q$96*Таблица4[[#This Row],[Z = 1/X ]]</f>
        <v>348593.54871385079</v>
      </c>
      <c r="X81" s="12">
        <f>(Таблица4[[#This Row],[стоимость 1 кв/м (Y)]]-Таблица4[[#This Row],[Y(x)=b0+b1*1/x]])^2</f>
        <v>19293628.301193859</v>
      </c>
      <c r="Y81" s="39">
        <f>ABS((Таблица4[[#This Row],[стоимость 1 кв/м (Y)]]-Таблица4[[#This Row],[Y(x)=b0+b1*1/x]])/Таблица4[[#This Row],[стоимость 1 кв/м (Y)]])</f>
        <v>1.2443698294406043E-2</v>
      </c>
      <c r="Z81" s="7"/>
      <c r="AA81" s="7"/>
      <c r="AB81" s="7"/>
      <c r="AC81" s="7"/>
      <c r="AD81" s="7"/>
      <c r="AE81" s="7"/>
    </row>
    <row r="82" spans="1:31" ht="18" x14ac:dyDescent="0.2">
      <c r="A82" s="7"/>
      <c r="B82" s="7"/>
      <c r="C82" s="3"/>
      <c r="D82" s="7"/>
      <c r="E82" s="12"/>
      <c r="F82" s="28"/>
      <c r="G82" s="22" t="s">
        <v>28</v>
      </c>
      <c r="H82" s="33">
        <v>352986</v>
      </c>
      <c r="I82" s="22">
        <v>37</v>
      </c>
      <c r="J82" s="14">
        <f>$G$54+$G$53*I82</f>
        <v>363006.58815477049</v>
      </c>
      <c r="K82" s="3">
        <f>(H82-J82)^2</f>
        <v>100412186.96752669</v>
      </c>
      <c r="L82" s="40">
        <f>ABS((H82-Таблица3[[#This Row],[Y(x) (Y(x)=a0+a1*x1)]])/H82)</f>
        <v>2.838806115474974E-2</v>
      </c>
      <c r="M82" s="7"/>
      <c r="N82" s="7"/>
      <c r="O82" s="7"/>
      <c r="P82" s="18" t="s">
        <v>9</v>
      </c>
      <c r="Q82" s="19" t="s">
        <v>29</v>
      </c>
      <c r="R82" s="34">
        <v>337561</v>
      </c>
      <c r="S82" s="19">
        <v>9</v>
      </c>
      <c r="T82" s="7">
        <f t="shared" si="0"/>
        <v>0.1111111111111111</v>
      </c>
      <c r="U82" s="12">
        <f t="shared" si="1"/>
        <v>37506.777777777774</v>
      </c>
      <c r="V82" s="7">
        <f t="shared" si="2"/>
        <v>1.2345679012345678E-2</v>
      </c>
      <c r="W82" s="14">
        <f>$Q$100+$Q$96*Таблица4[[#This Row],[Z = 1/X ]]</f>
        <v>341104.30621625599</v>
      </c>
      <c r="X82" s="12">
        <f>(Таблица4[[#This Row],[стоимость 1 кв/м (Y)]]-Таблица4[[#This Row],[Y(x)=b0+b1*1/x]])^2</f>
        <v>12555018.942158373</v>
      </c>
      <c r="Y82" s="39">
        <f>ABS((Таблица4[[#This Row],[стоимость 1 кв/м (Y)]]-Таблица4[[#This Row],[Y(x)=b0+b1*1/x]])/Таблица4[[#This Row],[стоимость 1 кв/м (Y)]])</f>
        <v>1.0496787887984674E-2</v>
      </c>
      <c r="Z82" s="7"/>
      <c r="AA82" s="7"/>
      <c r="AB82" s="7"/>
      <c r="AC82" s="7"/>
      <c r="AD82" s="7"/>
      <c r="AE82" s="7"/>
    </row>
    <row r="83" spans="1:31" ht="18" x14ac:dyDescent="0.2">
      <c r="A83" s="7"/>
      <c r="B83" s="7"/>
      <c r="C83" s="3"/>
      <c r="D83" s="7"/>
      <c r="E83" s="12"/>
      <c r="F83" s="18" t="s">
        <v>9</v>
      </c>
      <c r="G83" s="19" t="s">
        <v>29</v>
      </c>
      <c r="H83" s="34">
        <v>337561</v>
      </c>
      <c r="I83" s="19">
        <v>9</v>
      </c>
      <c r="J83" s="14">
        <f>$G$54+$G$53*I83</f>
        <v>330927.01379803265</v>
      </c>
      <c r="K83" s="3">
        <f>(H83-J83)^2</f>
        <v>44009772.927893125</v>
      </c>
      <c r="L83" s="40">
        <f>ABS((H83-Таблица3[[#This Row],[Y(x) (Y(x)=a0+a1*x1)]])/H83)</f>
        <v>1.9652703369072096E-2</v>
      </c>
      <c r="M83" s="7"/>
      <c r="N83" s="7"/>
      <c r="O83" s="7"/>
      <c r="P83" s="21"/>
      <c r="Q83" s="22" t="s">
        <v>30</v>
      </c>
      <c r="R83" s="33">
        <v>337869</v>
      </c>
      <c r="S83" s="22">
        <v>12</v>
      </c>
      <c r="T83" s="7">
        <f t="shared" si="0"/>
        <v>8.3333333333333329E-2</v>
      </c>
      <c r="U83" s="12">
        <f t="shared" si="1"/>
        <v>28155.75</v>
      </c>
      <c r="V83" s="7">
        <f t="shared" si="2"/>
        <v>6.9444444444444441E-3</v>
      </c>
      <c r="W83" s="14">
        <f>$Q$100+$Q$96*Таблица4[[#This Row],[Z = 1/X ]]</f>
        <v>343578.43096992571</v>
      </c>
      <c r="X83" s="12">
        <f>(Таблица4[[#This Row],[стоимость 1 кв/м (Y)]]-Таблица4[[#This Row],[Y(x)=b0+b1*1/x]])^2</f>
        <v>32597602.000346877</v>
      </c>
      <c r="Y83" s="39">
        <f>ABS((Таблица4[[#This Row],[стоимость 1 кв/м (Y)]]-Таблица4[[#This Row],[Y(x)=b0+b1*1/x]])/Таблица4[[#This Row],[стоимость 1 кв/м (Y)]])</f>
        <v>1.689835696653352E-2</v>
      </c>
      <c r="Z83" s="7"/>
      <c r="AA83" s="7"/>
      <c r="AB83" s="7"/>
      <c r="AC83" s="7"/>
      <c r="AD83" s="7"/>
      <c r="AE83" s="7"/>
    </row>
    <row r="84" spans="1:31" ht="18" x14ac:dyDescent="0.2">
      <c r="A84" s="7"/>
      <c r="B84" s="7"/>
      <c r="C84" s="3"/>
      <c r="D84" s="7"/>
      <c r="E84" s="12"/>
      <c r="F84" s="21"/>
      <c r="G84" s="22" t="s">
        <v>30</v>
      </c>
      <c r="H84" s="33">
        <v>337869</v>
      </c>
      <c r="I84" s="22">
        <v>12</v>
      </c>
      <c r="J84" s="14">
        <f>$G$54+$G$53*I84</f>
        <v>334364.11105054029</v>
      </c>
      <c r="K84" s="3">
        <f>(H84-J84)^2</f>
        <v>12284246.548044788</v>
      </c>
      <c r="L84" s="40">
        <f>ABS((H84-Таблица3[[#This Row],[Y(x) (Y(x)=a0+a1*x1)]])/H84)</f>
        <v>1.0373514437429033E-2</v>
      </c>
      <c r="M84" s="7"/>
      <c r="N84" s="7"/>
      <c r="O84" s="7"/>
      <c r="P84" s="24"/>
      <c r="Q84" s="19" t="s">
        <v>31</v>
      </c>
      <c r="R84" s="34">
        <v>351051</v>
      </c>
      <c r="S84" s="19">
        <v>24</v>
      </c>
      <c r="T84" s="7">
        <f t="shared" si="0"/>
        <v>4.1666666666666664E-2</v>
      </c>
      <c r="U84" s="12">
        <f t="shared" si="1"/>
        <v>14627.125</v>
      </c>
      <c r="V84" s="7">
        <f t="shared" si="2"/>
        <v>1.736111111111111E-3</v>
      </c>
      <c r="W84" s="14">
        <f>$Q$100+$Q$96*Таблица4[[#This Row],[Z = 1/X ]]</f>
        <v>347289.61810043023</v>
      </c>
      <c r="X84" s="12">
        <f>(Таблица4[[#This Row],[стоимость 1 кв/м (Y)]]-Таблица4[[#This Row],[Y(x)=b0+b1*1/x]])^2</f>
        <v>14147993.794411059</v>
      </c>
      <c r="Y84" s="39">
        <f>ABS((Таблица4[[#This Row],[стоимость 1 кв/м (Y)]]-Таблица4[[#This Row],[Y(x)=b0+b1*1/x]])/Таблица4[[#This Row],[стоимость 1 кв/м (Y)]])</f>
        <v>1.0714630921346942E-2</v>
      </c>
      <c r="Z84" s="7"/>
      <c r="AA84" s="7"/>
      <c r="AB84" s="7"/>
      <c r="AC84" s="7"/>
      <c r="AD84" s="7"/>
      <c r="AE84" s="7"/>
    </row>
    <row r="85" spans="1:31" ht="18" x14ac:dyDescent="0.2">
      <c r="A85" s="7"/>
      <c r="B85" s="7"/>
      <c r="C85" s="3"/>
      <c r="D85" s="7"/>
      <c r="E85" s="12"/>
      <c r="F85" s="24"/>
      <c r="G85" s="19" t="s">
        <v>31</v>
      </c>
      <c r="H85" s="34">
        <v>351051</v>
      </c>
      <c r="I85" s="19">
        <v>24</v>
      </c>
      <c r="J85" s="14">
        <f>$G$54+$G$53*I85</f>
        <v>348112.50006057078</v>
      </c>
      <c r="K85" s="3">
        <f>(H85-J85)^2</f>
        <v>8634781.8940255567</v>
      </c>
      <c r="L85" s="40">
        <f>ABS((H85-Таблица3[[#This Row],[Y(x) (Y(x)=a0+a1*x1)]])/H85)</f>
        <v>8.3705784613324688E-3</v>
      </c>
      <c r="M85" s="7"/>
      <c r="N85" s="7"/>
      <c r="O85" s="7"/>
      <c r="P85" s="21"/>
      <c r="Q85" s="22" t="s">
        <v>32</v>
      </c>
      <c r="R85" s="33">
        <v>455683</v>
      </c>
      <c r="S85" s="22">
        <v>28</v>
      </c>
      <c r="T85" s="7">
        <f t="shared" si="0"/>
        <v>3.5714285714285712E-2</v>
      </c>
      <c r="U85" s="12">
        <f t="shared" si="1"/>
        <v>16274.392857142857</v>
      </c>
      <c r="V85" s="7">
        <f t="shared" si="2"/>
        <v>1.2755102040816326E-3</v>
      </c>
      <c r="W85" s="14">
        <f>$Q$100+$Q$96*Таблица4[[#This Row],[Z = 1/X ]]</f>
        <v>347819.78769050236</v>
      </c>
      <c r="X85" s="12">
        <f>(Таблица4[[#This Row],[стоимость 1 кв/м (Y)]]-Таблица4[[#This Row],[Y(x)=b0+b1*1/x]])^2</f>
        <v>11634472569.723764</v>
      </c>
      <c r="Y85" s="39">
        <f>ABS((Таблица4[[#This Row],[стоимость 1 кв/м (Y)]]-Таблица4[[#This Row],[Y(x)=b0+b1*1/x]])/Таблица4[[#This Row],[стоимость 1 кв/м (Y)]])</f>
        <v>0.23670668493118602</v>
      </c>
      <c r="Z85" s="7"/>
      <c r="AA85" s="7"/>
      <c r="AB85" s="7"/>
      <c r="AC85" s="7"/>
      <c r="AD85" s="7"/>
      <c r="AE85" s="7"/>
    </row>
    <row r="86" spans="1:31" ht="18" x14ac:dyDescent="0.2">
      <c r="A86" s="7"/>
      <c r="B86" s="7"/>
      <c r="C86" s="3"/>
      <c r="D86" s="7"/>
      <c r="E86" s="12"/>
      <c r="F86" s="21"/>
      <c r="G86" s="22" t="s">
        <v>32</v>
      </c>
      <c r="H86" s="33">
        <v>455683</v>
      </c>
      <c r="I86" s="22">
        <v>28</v>
      </c>
      <c r="J86" s="14">
        <f>$G$54+$G$53*I86</f>
        <v>352695.29639724764</v>
      </c>
      <c r="K86" s="3">
        <f>(H86-J86)^2</f>
        <v>10606467093.36837</v>
      </c>
      <c r="L86" s="40">
        <f>ABS((H86-Таблица3[[#This Row],[Y(x) (Y(x)=a0+a1*x1)]])/H86)</f>
        <v>0.22600734195208588</v>
      </c>
      <c r="M86" s="7"/>
      <c r="N86" s="7"/>
      <c r="O86" s="7"/>
      <c r="P86" s="24"/>
      <c r="Q86" s="19" t="s">
        <v>33</v>
      </c>
      <c r="R86" s="34">
        <v>326609</v>
      </c>
      <c r="S86" s="19">
        <v>2</v>
      </c>
      <c r="T86" s="7">
        <f t="shared" si="0"/>
        <v>0.5</v>
      </c>
      <c r="U86" s="12">
        <f t="shared" si="1"/>
        <v>163304.5</v>
      </c>
      <c r="V86" s="7">
        <f t="shared" si="2"/>
        <v>0.25</v>
      </c>
      <c r="W86" s="14">
        <f>$Q$100+$Q$96*Таблица4[[#This Row],[Z = 1/X ]]</f>
        <v>306466.55966488022</v>
      </c>
      <c r="X86" s="12">
        <f>(Таблица4[[#This Row],[стоимость 1 кв/м (Y)]]-Таблица4[[#This Row],[Y(x)=b0+b1*1/x]])^2</f>
        <v>405717902.65386039</v>
      </c>
      <c r="Y86" s="39">
        <f>ABS((Таблица4[[#This Row],[стоимость 1 кв/м (Y)]]-Таблица4[[#This Row],[Y(x)=b0+b1*1/x]])/Таблица4[[#This Row],[стоимость 1 кв/м (Y)]])</f>
        <v>6.1671418531393143E-2</v>
      </c>
      <c r="Z86" s="7"/>
      <c r="AA86" s="7"/>
      <c r="AB86" s="7"/>
      <c r="AC86" s="7"/>
      <c r="AD86" s="7"/>
      <c r="AE86" s="7"/>
    </row>
    <row r="87" spans="1:31" ht="18" x14ac:dyDescent="0.2">
      <c r="A87" s="7"/>
      <c r="B87" s="7"/>
      <c r="C87" s="3"/>
      <c r="D87" s="7"/>
      <c r="E87" s="12"/>
      <c r="F87" s="24"/>
      <c r="G87" s="19" t="s">
        <v>33</v>
      </c>
      <c r="H87" s="34">
        <v>326609</v>
      </c>
      <c r="I87" s="19">
        <v>2</v>
      </c>
      <c r="J87" s="14">
        <f>$G$54+$G$53*I87</f>
        <v>322907.12020884821</v>
      </c>
      <c r="K87" s="3">
        <f>(H87-J87)^2</f>
        <v>13703913.988138024</v>
      </c>
      <c r="L87" s="40">
        <f>ABS((H87-Таблица3[[#This Row],[Y(x) (Y(x)=a0+a1*x1)]])/H87)</f>
        <v>1.1334285923387874E-2</v>
      </c>
      <c r="M87" s="7"/>
      <c r="N87" s="7"/>
      <c r="O87" s="7"/>
      <c r="P87" s="21"/>
      <c r="Q87" s="22" t="s">
        <v>34</v>
      </c>
      <c r="R87" s="33">
        <v>335901</v>
      </c>
      <c r="S87" s="22">
        <v>11</v>
      </c>
      <c r="T87" s="7">
        <f t="shared" si="0"/>
        <v>9.0909090909090912E-2</v>
      </c>
      <c r="U87" s="12">
        <f t="shared" si="1"/>
        <v>30536.454545454548</v>
      </c>
      <c r="V87" s="7">
        <f t="shared" si="2"/>
        <v>8.2644628099173556E-3</v>
      </c>
      <c r="W87" s="14">
        <f>$Q$100+$Q$96*Таблица4[[#This Row],[Z = 1/X ]]</f>
        <v>342903.66967347031</v>
      </c>
      <c r="X87" s="12">
        <f>(Таблица4[[#This Row],[стоимость 1 кв/м (Y)]]-Таблица4[[#This Row],[Y(x)=b0+b1*1/x]])^2</f>
        <v>49037382.555740841</v>
      </c>
      <c r="Y87" s="39">
        <f>ABS((Таблица4[[#This Row],[стоимость 1 кв/м (Y)]]-Таблица4[[#This Row],[Y(x)=b0+b1*1/x]])/Таблица4[[#This Row],[стоимость 1 кв/м (Y)]])</f>
        <v>2.0847421333876095E-2</v>
      </c>
      <c r="Z87" s="7"/>
      <c r="AA87" s="7"/>
      <c r="AB87" s="7"/>
      <c r="AC87" s="7"/>
      <c r="AD87" s="7"/>
      <c r="AE87" s="7"/>
    </row>
    <row r="88" spans="1:31" ht="18" x14ac:dyDescent="0.2">
      <c r="A88" s="7"/>
      <c r="B88" s="7"/>
      <c r="C88" s="3"/>
      <c r="D88" s="7"/>
      <c r="E88" s="12"/>
      <c r="F88" s="21"/>
      <c r="G88" s="22" t="s">
        <v>34</v>
      </c>
      <c r="H88" s="33">
        <v>335901</v>
      </c>
      <c r="I88" s="22">
        <v>11</v>
      </c>
      <c r="J88" s="14">
        <f>$G$54+$G$53*I88</f>
        <v>333218.41196637112</v>
      </c>
      <c r="K88" s="3">
        <f>(H88-J88)^2</f>
        <v>7196278.558168876</v>
      </c>
      <c r="L88" s="40">
        <f>ABS((H88-Таблица3[[#This Row],[Y(x) (Y(x)=a0+a1*x1)]])/H88)</f>
        <v>7.9862460475821229E-3</v>
      </c>
      <c r="M88" s="7"/>
      <c r="N88" s="7"/>
      <c r="O88" s="7"/>
      <c r="P88" s="24"/>
      <c r="Q88" s="19" t="s">
        <v>35</v>
      </c>
      <c r="R88" s="34">
        <v>345559</v>
      </c>
      <c r="S88" s="19">
        <v>23</v>
      </c>
      <c r="T88" s="7">
        <f t="shared" si="0"/>
        <v>4.3478260869565216E-2</v>
      </c>
      <c r="U88" s="12">
        <f t="shared" si="1"/>
        <v>15024.304347826086</v>
      </c>
      <c r="V88" s="7">
        <f t="shared" si="2"/>
        <v>1.8903591682419658E-3</v>
      </c>
      <c r="W88" s="14">
        <f>$Q$100+$Q$96*Таблица4[[#This Row],[Z = 1/X ]]</f>
        <v>347128.26213823439</v>
      </c>
      <c r="X88" s="12">
        <f>(Таблица4[[#This Row],[стоимость 1 кв/м (Y)]]-Таблица4[[#This Row],[Y(x)=b0+b1*1/x]])^2</f>
        <v>2462583.6584959798</v>
      </c>
      <c r="Y88" s="39">
        <f>ABS((Таблица4[[#This Row],[стоимость 1 кв/м (Y)]]-Таблица4[[#This Row],[Y(x)=b0+b1*1/x]])/Таблица4[[#This Row],[стоимость 1 кв/м (Y)]])</f>
        <v>4.5412278025876718E-3</v>
      </c>
      <c r="Z88" s="7"/>
      <c r="AA88" s="7"/>
      <c r="AB88" s="7"/>
      <c r="AC88" s="7"/>
      <c r="AD88" s="7"/>
      <c r="AE88" s="7"/>
    </row>
    <row r="89" spans="1:31" ht="18" x14ac:dyDescent="0.2">
      <c r="A89" s="7"/>
      <c r="B89" s="7"/>
      <c r="C89" s="3"/>
      <c r="D89" s="7"/>
      <c r="E89" s="12"/>
      <c r="F89" s="24"/>
      <c r="G89" s="19" t="s">
        <v>35</v>
      </c>
      <c r="H89" s="34">
        <v>345559</v>
      </c>
      <c r="I89" s="19">
        <v>23</v>
      </c>
      <c r="J89" s="14">
        <f>$G$54+$G$53*I89</f>
        <v>346966.8009764016</v>
      </c>
      <c r="K89" s="3">
        <f>(H89-J89)^2</f>
        <v>1981903.589157305</v>
      </c>
      <c r="L89" s="40">
        <f>ABS((H89-Таблица3[[#This Row],[Y(x) (Y(x)=a0+a1*x1)]])/H89)</f>
        <v>4.0739815093850905E-3</v>
      </c>
      <c r="M89" s="7"/>
      <c r="N89" s="7"/>
      <c r="O89" s="7"/>
      <c r="P89" s="21"/>
      <c r="Q89" s="22" t="s">
        <v>36</v>
      </c>
      <c r="R89" s="33">
        <v>395028</v>
      </c>
      <c r="S89" s="22">
        <v>30</v>
      </c>
      <c r="T89" s="7">
        <f t="shared" si="0"/>
        <v>3.3333333333333333E-2</v>
      </c>
      <c r="U89" s="12">
        <f t="shared" si="1"/>
        <v>13167.6</v>
      </c>
      <c r="V89" s="7">
        <f t="shared" si="2"/>
        <v>1.1111111111111111E-3</v>
      </c>
      <c r="W89" s="14">
        <f>$Q$100+$Q$96*Таблица4[[#This Row],[Z = 1/X ]]</f>
        <v>348031.85552653117</v>
      </c>
      <c r="X89" s="12">
        <f>(Таблица4[[#This Row],[стоимость 1 кв/м (Y)]]-Таблица4[[#This Row],[Y(x)=b0+b1*1/x]])^2</f>
        <v>2208637595.3711543</v>
      </c>
      <c r="Y89" s="39">
        <f>ABS((Таблица4[[#This Row],[стоимость 1 кв/м (Y)]]-Таблица4[[#This Row],[Y(x)=b0+b1*1/x]])/Таблица4[[#This Row],[стоимость 1 кв/м (Y)]])</f>
        <v>0.11896914768945195</v>
      </c>
      <c r="Z89" s="7"/>
      <c r="AA89" s="7"/>
      <c r="AB89" s="7"/>
      <c r="AC89" s="7"/>
      <c r="AD89" s="7"/>
      <c r="AE89" s="7"/>
    </row>
    <row r="90" spans="1:31" ht="18" x14ac:dyDescent="0.2">
      <c r="A90" s="7"/>
      <c r="B90" s="7"/>
      <c r="C90" s="3"/>
      <c r="D90" s="7"/>
      <c r="E90" s="12"/>
      <c r="F90" s="21"/>
      <c r="G90" s="22" t="s">
        <v>36</v>
      </c>
      <c r="H90" s="33">
        <v>395028</v>
      </c>
      <c r="I90" s="22">
        <v>30</v>
      </c>
      <c r="J90" s="14">
        <f>$G$54+$G$53*I90</f>
        <v>354986.69456558605</v>
      </c>
      <c r="K90" s="3">
        <f>(H90-J90)^2</f>
        <v>1603306140.8920283</v>
      </c>
      <c r="L90" s="40">
        <f>ABS((H90-Таблица3[[#This Row],[Y(x) (Y(x)=a0+a1*x1)]])/H90)</f>
        <v>0.10136320826476593</v>
      </c>
      <c r="M90" s="7"/>
      <c r="N90" s="7"/>
      <c r="O90" s="7"/>
      <c r="P90" s="24"/>
      <c r="Q90" s="19" t="s">
        <v>37</v>
      </c>
      <c r="R90" s="34">
        <v>313297</v>
      </c>
      <c r="S90" s="19">
        <v>2</v>
      </c>
      <c r="T90" s="7">
        <f t="shared" si="0"/>
        <v>0.5</v>
      </c>
      <c r="U90" s="12">
        <f t="shared" si="1"/>
        <v>156648.5</v>
      </c>
      <c r="V90" s="7">
        <f t="shared" si="2"/>
        <v>0.25</v>
      </c>
      <c r="W90" s="14">
        <f>$Q$100+$Q$96*Таблица4[[#This Row],[Z = 1/X ]]</f>
        <v>306466.55966488022</v>
      </c>
      <c r="X90" s="12">
        <f>(Таблица4[[#This Row],[стоимость 1 кв/м (Y)]]-Таблица4[[#This Row],[Y(x)=b0+b1*1/x]])^2</f>
        <v>46654915.171631262</v>
      </c>
      <c r="Y90" s="39">
        <f>ABS((Таблица4[[#This Row],[стоимость 1 кв/м (Y)]]-Таблица4[[#This Row],[Y(x)=b0+b1*1/x]])/Таблица4[[#This Row],[стоимость 1 кв/м (Y)]])</f>
        <v>2.1801805747006141E-2</v>
      </c>
      <c r="Z90" s="7"/>
      <c r="AA90" s="7"/>
      <c r="AB90" s="7"/>
      <c r="AC90" s="7"/>
      <c r="AD90" s="7"/>
      <c r="AE90" s="7"/>
    </row>
    <row r="91" spans="1:31" ht="18" x14ac:dyDescent="0.2">
      <c r="A91" s="7"/>
      <c r="B91" s="7"/>
      <c r="C91" s="3"/>
      <c r="D91" s="7"/>
      <c r="E91" s="12"/>
      <c r="F91" s="24"/>
      <c r="G91" s="19" t="s">
        <v>37</v>
      </c>
      <c r="H91" s="34">
        <v>313297</v>
      </c>
      <c r="I91" s="19">
        <v>2</v>
      </c>
      <c r="J91" s="14">
        <f>$G$54+$G$53*I91</f>
        <v>322907.12020884821</v>
      </c>
      <c r="K91" s="3">
        <f>(H91-J91)^2</f>
        <v>92354410.428512752</v>
      </c>
      <c r="L91" s="40">
        <f>ABS((H91-Таблица3[[#This Row],[Y(x) (Y(x)=a0+a1*x1)]])/H91)</f>
        <v>3.0674153307718267E-2</v>
      </c>
      <c r="M91" s="7"/>
      <c r="N91" s="7"/>
      <c r="O91" s="7"/>
      <c r="P91" s="21"/>
      <c r="Q91" s="22" t="s">
        <v>38</v>
      </c>
      <c r="R91" s="33">
        <v>337318</v>
      </c>
      <c r="S91" s="22">
        <v>10</v>
      </c>
      <c r="T91" s="7">
        <f t="shared" si="0"/>
        <v>0.1</v>
      </c>
      <c r="U91" s="12">
        <f t="shared" si="1"/>
        <v>33731.800000000003</v>
      </c>
      <c r="V91" s="7">
        <f t="shared" si="2"/>
        <v>1.0000000000000002E-2</v>
      </c>
      <c r="W91" s="14">
        <f>$Q$100+$Q$96*Таблица4[[#This Row],[Z = 1/X ]]</f>
        <v>342093.95611772389</v>
      </c>
      <c r="X91" s="12">
        <f>(Таблица4[[#This Row],[стоимость 1 кв/м (Y)]]-Таблица4[[#This Row],[Y(x)=b0+b1*1/x]])^2</f>
        <v>22809756.838424288</v>
      </c>
      <c r="Y91" s="39">
        <f>ABS((Таблица4[[#This Row],[стоимость 1 кв/м (Y)]]-Таблица4[[#This Row],[Y(x)=b0+b1*1/x]])/Таблица4[[#This Row],[стоимость 1 кв/м (Y)]])</f>
        <v>1.4158616254465798E-2</v>
      </c>
      <c r="Z91" s="7"/>
      <c r="AA91" s="7"/>
      <c r="AB91" s="7"/>
      <c r="AC91" s="7"/>
      <c r="AD91" s="7"/>
      <c r="AE91" s="7"/>
    </row>
    <row r="92" spans="1:31" ht="18" x14ac:dyDescent="0.2">
      <c r="A92" s="7"/>
      <c r="B92" s="7"/>
      <c r="C92" s="3"/>
      <c r="D92" s="7"/>
      <c r="E92" s="12"/>
      <c r="F92" s="21"/>
      <c r="G92" s="22" t="s">
        <v>38</v>
      </c>
      <c r="H92" s="33">
        <v>337318</v>
      </c>
      <c r="I92" s="22">
        <v>10</v>
      </c>
      <c r="J92" s="14">
        <f>$G$54+$G$53*I92</f>
        <v>332072.71288220189</v>
      </c>
      <c r="K92" s="3">
        <f>(H92-J92)^2</f>
        <v>27513036.948138848</v>
      </c>
      <c r="L92" s="40">
        <f>ABS((H92-Таблица3[[#This Row],[Y(x) (Y(x)=a0+a1*x1)]])/H92)</f>
        <v>1.554997692918289E-2</v>
      </c>
      <c r="M92" s="7"/>
      <c r="N92" s="7"/>
      <c r="O92" s="7"/>
      <c r="P92" s="24"/>
      <c r="Q92" s="19" t="s">
        <v>39</v>
      </c>
      <c r="R92" s="34">
        <v>320831</v>
      </c>
      <c r="S92" s="19">
        <v>23</v>
      </c>
      <c r="T92" s="7">
        <f t="shared" si="0"/>
        <v>4.3478260869565216E-2</v>
      </c>
      <c r="U92" s="12">
        <f t="shared" si="1"/>
        <v>13949.173913043478</v>
      </c>
      <c r="V92" s="7">
        <f t="shared" si="2"/>
        <v>1.8903591682419658E-3</v>
      </c>
      <c r="W92" s="14">
        <f>$Q$100+$Q$96*Таблица4[[#This Row],[Z = 1/X ]]</f>
        <v>347128.26213823439</v>
      </c>
      <c r="X92" s="12">
        <f>(Таблица4[[#This Row],[стоимость 1 кв/м (Y)]]-Таблица4[[#This Row],[Y(x)=b0+b1*1/x]])^2</f>
        <v>691545995.9670161</v>
      </c>
      <c r="Y92" s="39">
        <f>ABS((Таблица4[[#This Row],[стоимость 1 кв/м (Y)]]-Таблица4[[#This Row],[Y(x)=b0+b1*1/x]])/Таблица4[[#This Row],[стоимость 1 кв/м (Y)]])</f>
        <v>8.1966088495919631E-2</v>
      </c>
      <c r="Z92" s="7"/>
      <c r="AA92" s="7"/>
      <c r="AB92" s="7"/>
      <c r="AC92" s="7"/>
      <c r="AD92" s="7"/>
      <c r="AE92" s="7"/>
    </row>
    <row r="93" spans="1:31" ht="18" x14ac:dyDescent="0.2">
      <c r="A93" s="7"/>
      <c r="B93" s="7"/>
      <c r="C93" s="3"/>
      <c r="D93" s="7"/>
      <c r="E93" s="12"/>
      <c r="F93" s="24"/>
      <c r="G93" s="19" t="s">
        <v>39</v>
      </c>
      <c r="H93" s="34">
        <v>320831</v>
      </c>
      <c r="I93" s="19">
        <v>23</v>
      </c>
      <c r="J93" s="14">
        <f>$G$54+$G$53*I93</f>
        <v>346966.8009764016</v>
      </c>
      <c r="K93" s="3">
        <f>(H93-J93)^2</f>
        <v>683080092.67807496</v>
      </c>
      <c r="L93" s="40">
        <f>ABS((H93-Таблица3[[#This Row],[Y(x) (Y(x)=a0+a1*x1)]])/H93)</f>
        <v>8.1462829266503556E-2</v>
      </c>
      <c r="M93" s="7"/>
      <c r="N93" s="7"/>
      <c r="O93" s="7"/>
      <c r="P93" s="28"/>
      <c r="Q93" s="22" t="s">
        <v>40</v>
      </c>
      <c r="R93" s="33">
        <v>327720</v>
      </c>
      <c r="S93" s="22">
        <v>29</v>
      </c>
      <c r="T93" s="7">
        <f t="shared" si="0"/>
        <v>3.4482758620689655E-2</v>
      </c>
      <c r="U93" s="12">
        <f t="shared" si="1"/>
        <v>11300.689655172413</v>
      </c>
      <c r="V93" s="7">
        <f t="shared" si="2"/>
        <v>1.1890606420927466E-3</v>
      </c>
      <c r="W93" s="14">
        <f>$Q$100+$Q$96*Таблица4[[#This Row],[Z = 1/X ]]</f>
        <v>347929.47795051726</v>
      </c>
      <c r="X93" s="12">
        <f>(Таблица4[[#This Row],[стоимость 1 кв/м (Y)]]-Таблица4[[#This Row],[Y(x)=b0+b1*1/x]])^2</f>
        <v>408422999.0324434</v>
      </c>
      <c r="Y93" s="39">
        <f>ABS((Таблица4[[#This Row],[стоимость 1 кв/м (Y)]]-Таблица4[[#This Row],[Y(x)=b0+b1*1/x]])/Таблица4[[#This Row],[стоимость 1 кв/м (Y)]])</f>
        <v>6.1666904523731428E-2</v>
      </c>
      <c r="Z93" s="7"/>
      <c r="AA93" s="7"/>
      <c r="AB93" s="7"/>
      <c r="AC93" s="7"/>
      <c r="AD93" s="7"/>
      <c r="AE93" s="7"/>
    </row>
    <row r="94" spans="1:31" ht="18" x14ac:dyDescent="0.2">
      <c r="A94" s="7"/>
      <c r="B94" s="7"/>
      <c r="C94" s="3"/>
      <c r="D94" s="7"/>
      <c r="E94" s="12"/>
      <c r="F94" s="28"/>
      <c r="G94" s="22" t="s">
        <v>40</v>
      </c>
      <c r="H94" s="33">
        <v>327720</v>
      </c>
      <c r="I94" s="22">
        <v>29</v>
      </c>
      <c r="J94" s="14">
        <f>$G$54+$G$53*I94</f>
        <v>353840.99548141682</v>
      </c>
      <c r="K94" s="3">
        <f>(H94-J94)^2</f>
        <v>682306404.94019771</v>
      </c>
      <c r="L94" s="40">
        <f>ABS((H94-Таблица3[[#This Row],[Y(x) (Y(x)=a0+a1*x1)]])/H94)</f>
        <v>7.9705222389286026E-2</v>
      </c>
      <c r="M94" s="7"/>
      <c r="N94" s="7"/>
      <c r="O94" s="7"/>
      <c r="P94" s="7" t="s">
        <v>75</v>
      </c>
      <c r="Q94" s="7"/>
      <c r="R94" s="3">
        <f>AVERAGE(R58:R93)</f>
        <v>341238.30555555556</v>
      </c>
      <c r="S94" s="7">
        <f>AVERAGE(S58:S93)</f>
        <v>18</v>
      </c>
      <c r="T94" s="7">
        <f>AVERAGE(T58:T93)</f>
        <v>0.1096066583288046</v>
      </c>
      <c r="U94" s="12">
        <f>AVERAGE(U58:U93)</f>
        <v>36193.589068512127</v>
      </c>
      <c r="V94" s="7">
        <f>AVERAGE(V58:V93)</f>
        <v>2.5580721471870287E-2</v>
      </c>
      <c r="W94" s="14"/>
      <c r="X94" s="3"/>
      <c r="Y94" s="7"/>
      <c r="Z94" s="7"/>
      <c r="AA94" s="7"/>
      <c r="AB94" s="7"/>
      <c r="AC94" s="7"/>
      <c r="AD94" s="7"/>
      <c r="AE94" s="7"/>
    </row>
    <row r="95" spans="1:31" ht="18" x14ac:dyDescent="0.2">
      <c r="A95" s="7"/>
      <c r="B95" s="7"/>
      <c r="C95" s="3"/>
      <c r="D95" s="7"/>
      <c r="E95" s="12"/>
      <c r="F95" s="12"/>
      <c r="G95" s="12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 spans="1:31" ht="18" x14ac:dyDescent="0.2">
      <c r="A96" s="7"/>
      <c r="B96" s="7"/>
      <c r="C96" s="3"/>
      <c r="D96" s="7"/>
      <c r="E96" s="12"/>
      <c r="F96" s="12"/>
      <c r="G96" s="12"/>
      <c r="H96" s="7"/>
      <c r="I96" s="7"/>
      <c r="J96" s="7"/>
      <c r="K96" s="7"/>
      <c r="L96" s="7"/>
      <c r="M96" s="7"/>
      <c r="N96" s="7"/>
      <c r="O96" s="7"/>
      <c r="P96" s="7" t="s">
        <v>72</v>
      </c>
      <c r="Q96" s="14">
        <f>(U94-T94*R94)/Q98</f>
        <v>-89068.491132109222</v>
      </c>
      <c r="R96" s="7" t="s">
        <v>79</v>
      </c>
      <c r="S96" s="11">
        <f>AVERAGE(Y58:Y93)</f>
        <v>6.0829091388333749E-2</v>
      </c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 spans="1:31" ht="18" x14ac:dyDescent="0.2">
      <c r="A97" s="7"/>
      <c r="B97" s="7"/>
      <c r="C97" s="3"/>
      <c r="D97" s="7"/>
      <c r="E97" s="12"/>
      <c r="F97" s="12"/>
      <c r="G97" s="12"/>
      <c r="H97" s="7"/>
      <c r="I97" s="7"/>
      <c r="J97" s="7"/>
      <c r="K97" s="7" t="s">
        <v>65</v>
      </c>
      <c r="L97" s="7">
        <f>G53*(D39/C39)</f>
        <v>6.0434550222815665E-2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 spans="1:31" ht="18" x14ac:dyDescent="0.2">
      <c r="A98" s="7"/>
      <c r="B98" s="7"/>
      <c r="C98" s="3"/>
      <c r="D98" s="7"/>
      <c r="E98" s="12"/>
      <c r="F98" s="12"/>
      <c r="G98" s="12"/>
      <c r="H98" s="7"/>
      <c r="I98" s="7"/>
      <c r="J98" s="7"/>
      <c r="K98" s="7"/>
      <c r="L98" s="7"/>
      <c r="M98" s="7"/>
      <c r="N98" s="7"/>
      <c r="O98" s="7"/>
      <c r="P98" s="7" t="s">
        <v>73</v>
      </c>
      <c r="Q98" s="7">
        <f>V94-T94^2</f>
        <v>1.3567101921862975E-2</v>
      </c>
      <c r="R98" s="7" t="s">
        <v>51</v>
      </c>
      <c r="S98" s="7">
        <f>SQRT(AVERAGE(X58:X93))</f>
        <v>30382.598429371083</v>
      </c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 spans="1:31" ht="18" x14ac:dyDescent="0.2">
      <c r="A99" s="7"/>
      <c r="B99" s="7"/>
      <c r="C99" s="3"/>
      <c r="D99" s="7"/>
      <c r="E99" s="12"/>
      <c r="F99" s="12"/>
      <c r="G99" s="12"/>
      <c r="H99" s="7"/>
      <c r="I99" s="7"/>
      <c r="J99" s="7"/>
      <c r="K99" s="7" t="s">
        <v>51</v>
      </c>
      <c r="L99" s="7">
        <f>SQRT(AVERAGE(Таблица3[(Y-Y(x))^2]))</f>
        <v>29385.689544579647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 spans="1:31" ht="18" x14ac:dyDescent="0.2">
      <c r="A100" s="7"/>
      <c r="B100" s="7"/>
      <c r="C100" s="3"/>
      <c r="D100" s="7"/>
      <c r="E100" s="12"/>
      <c r="F100" s="12"/>
      <c r="G100" s="12"/>
      <c r="H100" s="7"/>
      <c r="I100" s="7"/>
      <c r="J100" s="7"/>
      <c r="K100" s="7"/>
      <c r="L100" s="7"/>
      <c r="M100" s="7"/>
      <c r="N100" s="7"/>
      <c r="O100" s="7"/>
      <c r="P100" s="7" t="s">
        <v>74</v>
      </c>
      <c r="Q100" s="12">
        <f>R94-Q96*T94</f>
        <v>351000.80523093481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 spans="1:31" ht="18" x14ac:dyDescent="0.2">
      <c r="A101" s="7"/>
      <c r="B101" s="7"/>
      <c r="C101" s="3"/>
      <c r="D101" s="7"/>
      <c r="E101" s="12"/>
      <c r="F101" s="12"/>
      <c r="G101" s="12"/>
      <c r="H101" s="7"/>
      <c r="I101" s="7"/>
      <c r="J101" s="7"/>
      <c r="K101" s="7" t="s">
        <v>66</v>
      </c>
      <c r="L101" s="11">
        <f>AVERAGE(Таблица3[|Y-Y(x)|/Y])</f>
        <v>5.875291115203439E-2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 spans="1:31" ht="18" x14ac:dyDescent="0.2">
      <c r="A102" s="7"/>
      <c r="B102" s="7"/>
      <c r="C102" s="3"/>
      <c r="D102" s="7"/>
      <c r="E102" s="12"/>
      <c r="F102" s="12"/>
      <c r="G102" s="12"/>
      <c r="H102" s="7"/>
      <c r="I102" s="7"/>
      <c r="J102" s="7"/>
      <c r="K102" s="7"/>
      <c r="L102" s="7"/>
      <c r="M102" s="7"/>
      <c r="N102" s="7"/>
      <c r="O102" s="7"/>
      <c r="P102" s="37" t="s">
        <v>77</v>
      </c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 spans="1:31" ht="18" x14ac:dyDescent="0.2">
      <c r="A103" s="7"/>
      <c r="B103" s="7"/>
      <c r="C103" s="3"/>
      <c r="D103" s="7"/>
      <c r="E103" s="12"/>
      <c r="F103" s="12"/>
      <c r="G103" s="12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 spans="1:31" ht="18" x14ac:dyDescent="0.2">
      <c r="A104" s="7"/>
      <c r="B104" s="7"/>
      <c r="C104" s="3"/>
      <c r="D104" s="7"/>
      <c r="E104" s="12"/>
      <c r="F104" s="12"/>
      <c r="G104" s="1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 spans="1:31" ht="18" x14ac:dyDescent="0.2">
      <c r="A105" s="7"/>
      <c r="B105" s="7"/>
      <c r="C105" s="3"/>
      <c r="D105" s="7"/>
      <c r="E105" s="12"/>
      <c r="F105" s="12"/>
      <c r="G105" s="12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 spans="1:31" ht="18" x14ac:dyDescent="0.2">
      <c r="A106" s="7"/>
      <c r="B106" s="7"/>
      <c r="C106" s="3"/>
      <c r="D106" s="7"/>
      <c r="E106" s="12"/>
      <c r="F106" s="12"/>
      <c r="G106" s="12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 spans="1:31" ht="18" x14ac:dyDescent="0.2">
      <c r="A107" s="7"/>
      <c r="B107" s="7"/>
      <c r="C107" s="3"/>
      <c r="D107" s="7"/>
      <c r="E107" s="12"/>
      <c r="F107" s="12"/>
      <c r="G107" s="12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 spans="1:31" ht="18" x14ac:dyDescent="0.2">
      <c r="A108" s="7"/>
      <c r="B108" s="7"/>
      <c r="C108" s="3"/>
      <c r="D108" s="7"/>
      <c r="E108" s="12"/>
      <c r="F108" s="12"/>
      <c r="G108" s="12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 spans="1:31" ht="18" x14ac:dyDescent="0.2">
      <c r="A109" s="7"/>
      <c r="B109" s="7"/>
      <c r="C109" s="3"/>
      <c r="D109" s="7"/>
      <c r="E109" s="12"/>
      <c r="F109" s="12"/>
      <c r="G109" s="12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 spans="1:31" ht="18" x14ac:dyDescent="0.2">
      <c r="A110" s="7"/>
      <c r="B110" s="7"/>
      <c r="C110" s="3"/>
      <c r="D110" s="7"/>
      <c r="E110" s="12"/>
      <c r="F110" s="12"/>
      <c r="G110" s="12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 t="s">
        <v>81</v>
      </c>
      <c r="W110" s="7"/>
      <c r="X110" s="7"/>
      <c r="Y110" s="7"/>
      <c r="Z110" s="7"/>
      <c r="AA110" s="7"/>
      <c r="AB110" s="7"/>
      <c r="AC110" s="7"/>
      <c r="AD110" s="7"/>
      <c r="AE110" s="7"/>
    </row>
    <row r="111" spans="1:31" ht="18" x14ac:dyDescent="0.2">
      <c r="A111" s="7"/>
      <c r="B111" s="7"/>
      <c r="C111" s="3"/>
      <c r="D111" s="7"/>
      <c r="E111" s="12"/>
      <c r="F111" s="12"/>
      <c r="G111" s="12" t="s">
        <v>67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 t="s">
        <v>58</v>
      </c>
      <c r="W111" s="7"/>
      <c r="X111" s="7"/>
      <c r="Y111" s="7"/>
      <c r="Z111" s="7"/>
      <c r="AA111" s="7"/>
      <c r="AB111" s="7"/>
      <c r="AC111" s="7"/>
      <c r="AD111" s="7"/>
      <c r="AE111" s="7"/>
    </row>
    <row r="112" spans="1:31" ht="18" x14ac:dyDescent="0.2">
      <c r="A112" s="7"/>
      <c r="B112" s="7"/>
      <c r="C112" s="3"/>
      <c r="D112" s="7"/>
      <c r="E112" s="12"/>
      <c r="F112" s="12"/>
      <c r="G112" s="12" t="s">
        <v>58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 spans="1:31" ht="18" x14ac:dyDescent="0.2">
      <c r="A113" s="7"/>
      <c r="B113" s="7"/>
      <c r="C113" s="3"/>
      <c r="D113" s="7"/>
      <c r="E113" s="12"/>
      <c r="F113" s="12"/>
      <c r="G113" s="12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 spans="1:31" ht="18" x14ac:dyDescent="0.2">
      <c r="A114" s="7"/>
      <c r="B114" s="7"/>
      <c r="C114" s="3"/>
      <c r="D114" s="7"/>
      <c r="E114" s="12"/>
      <c r="F114" s="12"/>
      <c r="G114" s="12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 spans="1:31" ht="18" x14ac:dyDescent="0.2">
      <c r="A115" s="7"/>
      <c r="B115" s="7"/>
      <c r="C115" s="3"/>
      <c r="D115" s="7"/>
      <c r="E115" s="12"/>
      <c r="F115" s="12"/>
      <c r="G115" s="12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</sheetData>
  <phoneticPr fontId="2" type="noConversion"/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Коррел и регресс модели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Савин Сергей Константинович</dc:creator>
  <cp:lastModifiedBy>Савин Сергей Константинович</cp:lastModifiedBy>
  <dcterms:created xsi:type="dcterms:W3CDTF">2023-12-09T19:05:48Z</dcterms:created>
  <dcterms:modified xsi:type="dcterms:W3CDTF">2023-12-10T20:56:49Z</dcterms:modified>
</cp:coreProperties>
</file>