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acha\OneDrive\Desktop\"/>
    </mc:Choice>
  </mc:AlternateContent>
  <xr:revisionPtr revIDLastSave="0" documentId="13_ncr:1_{F43E5323-E04E-4E5A-A811-51B256875543}" xr6:coauthVersionLast="47" xr6:coauthVersionMax="47" xr10:uidLastSave="{00000000-0000-0000-0000-000000000000}"/>
  <bookViews>
    <workbookView xWindow="-103" yWindow="-103" windowWidth="33120" windowHeight="18000" activeTab="6" xr2:uid="{8996EC2D-A42E-4940-B642-1ED08B9F8A40}"/>
  </bookViews>
  <sheets>
    <sheet name="NZ Staff" sheetId="1" r:id="rId1"/>
    <sheet name="India Staff" sheetId="2" r:id="rId2"/>
    <sheet name="All" sheetId="3" r:id="rId3"/>
    <sheet name="INSIGHT" sheetId="6" r:id="rId4"/>
    <sheet name="Salary Spread" sheetId="7" r:id="rId5"/>
    <sheet name="SalaryVsRating" sheetId="8" r:id="rId6"/>
    <sheet name="Company Growth" sheetId="10" r:id="rId7"/>
    <sheet name="Regional Card" sheetId="11" r:id="rId8"/>
    <sheet name="Information Finder" sheetId="4" r:id="rId9"/>
  </sheets>
  <definedNames>
    <definedName name="_xlnm._FilterDatabase" localSheetId="1" hidden="1">'India Staff'!$B$2:$H$115</definedName>
    <definedName name="_xlnm._FilterDatabase" localSheetId="0" hidden="1">'NZ Staff'!$C$5:$I$105</definedName>
    <definedName name="_xlchart.v1.0" hidden="1">All!$G$2:$G$184</definedName>
    <definedName name="_xlchart.v1.1" hidden="1">All!$G$2:$G$184</definedName>
    <definedName name="_xlcn.WorksheetConnection_Book1Table_Staff1" hidden="1">Staff[]</definedName>
    <definedName name="ExternalData_1" localSheetId="2" hidden="1">All!$A$1:$H$184</definedName>
    <definedName name="Slicer_Country">#N/A</definedName>
  </definedNames>
  <calcPr calcId="191029"/>
  <pivotCaches>
    <pivotCache cacheId="0" r:id="rId10"/>
    <pivotCache cacheId="1" r:id="rId11"/>
    <pivotCache cacheId="34" r:id="rId12"/>
  </pivotCaches>
  <extLst>
    <ext xmlns:x14="http://schemas.microsoft.com/office/spreadsheetml/2009/9/main" uri="{876F7934-8845-4945-9796-88D515C7AA90}">
      <x14:pivotCaches>
        <pivotCache cacheId="5"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Book1!Table_Staff"/>
        </x15:modelTables>
        <x15:extLst>
          <ext xmlns:x16="http://schemas.microsoft.com/office/spreadsheetml/2014/11/main" uri="{9835A34E-60A6-4A7C-AAB8-D5F71C897F49}">
            <x16:modelTimeGroupings>
              <x16:modelTimeGrouping tableName="Table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4" l="1" a="1"/>
  <c r="E4" i="4" s="1"/>
  <c r="M3" i="11"/>
  <c r="I3" i="11"/>
  <c r="K3" i="11" s="1"/>
  <c r="G3" i="11"/>
  <c r="C3" i="11"/>
  <c r="E3" i="11" s="1"/>
  <c r="R6" i="10"/>
  <c r="Q4" i="10"/>
  <c r="Q5" i="10"/>
  <c r="Q6" i="10"/>
  <c r="Q7" i="10"/>
  <c r="Q8" i="10"/>
  <c r="Q9" i="10"/>
  <c r="Q10" i="10"/>
  <c r="R14" i="10" s="1"/>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 i="10"/>
  <c r="R7" i="10" s="1"/>
  <c r="O3" i="10" a="1"/>
  <c r="O3" i="10" s="1"/>
  <c r="P3" i="10" s="1"/>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K63" i="3"/>
  <c r="K157" i="3"/>
  <c r="K123" i="3"/>
  <c r="K161" i="3"/>
  <c r="K27" i="3"/>
  <c r="K179" i="3"/>
  <c r="K5" i="3"/>
  <c r="K126" i="3"/>
  <c r="K14" i="3"/>
  <c r="K155" i="3"/>
  <c r="K37" i="3"/>
  <c r="K130" i="3"/>
  <c r="K47" i="3"/>
  <c r="K77" i="3"/>
  <c r="K48" i="3"/>
  <c r="K138" i="3"/>
  <c r="K88" i="3"/>
  <c r="K182" i="3"/>
  <c r="K56" i="3"/>
  <c r="K105" i="3"/>
  <c r="K43" i="3"/>
  <c r="K154" i="3"/>
  <c r="K15" i="3"/>
  <c r="K79" i="3"/>
  <c r="K53" i="3"/>
  <c r="K127" i="3"/>
  <c r="K8" i="3"/>
  <c r="K65" i="3"/>
  <c r="K54" i="3"/>
  <c r="K173" i="3"/>
  <c r="K40" i="3"/>
  <c r="K177" i="3"/>
  <c r="K64" i="3"/>
  <c r="K90" i="3"/>
  <c r="K13" i="3"/>
  <c r="K164" i="3"/>
  <c r="K34" i="3"/>
  <c r="K59" i="3"/>
  <c r="K71" i="3"/>
  <c r="K184" i="3"/>
  <c r="K128" i="3"/>
  <c r="K180" i="3"/>
  <c r="K7" i="3"/>
  <c r="K143" i="3"/>
  <c r="K115" i="3"/>
  <c r="K125" i="3"/>
  <c r="K91" i="3"/>
  <c r="K150" i="3"/>
  <c r="K28" i="3"/>
  <c r="K129" i="3"/>
  <c r="K96" i="3"/>
  <c r="K124" i="3"/>
  <c r="K101" i="3"/>
  <c r="K176" i="3"/>
  <c r="K16" i="3"/>
  <c r="K119" i="3"/>
  <c r="K81" i="3"/>
  <c r="K99" i="3"/>
  <c r="K110" i="3"/>
  <c r="K112" i="3"/>
  <c r="K57" i="3"/>
  <c r="K175" i="3"/>
  <c r="K38" i="3"/>
  <c r="K170" i="3"/>
  <c r="K93" i="3"/>
  <c r="K166" i="3"/>
  <c r="K2" i="3"/>
  <c r="K89" i="3"/>
  <c r="K4" i="3"/>
  <c r="K113" i="3"/>
  <c r="K73" i="3"/>
  <c r="K85" i="3"/>
  <c r="K50" i="3"/>
  <c r="K108" i="3"/>
  <c r="K45" i="3"/>
  <c r="K74" i="3"/>
  <c r="K78" i="3"/>
  <c r="K118" i="3"/>
  <c r="K11" i="3"/>
  <c r="K133" i="3"/>
  <c r="K120" i="3"/>
  <c r="K152" i="3"/>
  <c r="K31" i="3"/>
  <c r="K151" i="3"/>
  <c r="K9" i="3"/>
  <c r="K135" i="3"/>
  <c r="K21" i="3"/>
  <c r="K97" i="3"/>
  <c r="K60" i="3"/>
  <c r="K183" i="3"/>
  <c r="K19" i="3"/>
  <c r="K121" i="3"/>
  <c r="K51" i="3"/>
  <c r="K68" i="3"/>
  <c r="K17" i="3"/>
  <c r="K29" i="3"/>
  <c r="K142" i="3"/>
  <c r="K149" i="3"/>
  <c r="K25" i="3"/>
  <c r="K76" i="3"/>
  <c r="K156" i="3"/>
  <c r="K178" i="3"/>
  <c r="K6" i="3"/>
  <c r="K139" i="3"/>
  <c r="K62" i="3"/>
  <c r="K158" i="3"/>
  <c r="K92" i="3"/>
  <c r="K169" i="3"/>
  <c r="K26" i="3"/>
  <c r="K172" i="3"/>
  <c r="K3" i="3"/>
  <c r="K98" i="3"/>
  <c r="K86" i="3"/>
  <c r="K163" i="3"/>
  <c r="K106" i="3"/>
  <c r="K159" i="3"/>
  <c r="K61" i="3"/>
  <c r="K114" i="3"/>
  <c r="K33" i="3"/>
  <c r="K58" i="3"/>
  <c r="K44" i="3"/>
  <c r="K87" i="3"/>
  <c r="K104" i="3"/>
  <c r="K137" i="3"/>
  <c r="K52" i="3"/>
  <c r="K84" i="3"/>
  <c r="K42" i="3"/>
  <c r="K100" i="3"/>
  <c r="K69" i="3"/>
  <c r="K131" i="3"/>
  <c r="K162" i="3"/>
  <c r="K167" i="3"/>
  <c r="K36" i="3"/>
  <c r="K116" i="3"/>
  <c r="K20" i="3"/>
  <c r="K160" i="3"/>
  <c r="K23" i="3"/>
  <c r="K174" i="3"/>
  <c r="K10" i="3"/>
  <c r="K35" i="3"/>
  <c r="K49" i="3"/>
  <c r="K147" i="3"/>
  <c r="K32" i="3"/>
  <c r="K146" i="3"/>
  <c r="K30" i="3"/>
  <c r="K111" i="3"/>
  <c r="K80" i="3"/>
  <c r="K153" i="3"/>
  <c r="K94" i="3"/>
  <c r="K140" i="3"/>
  <c r="K72" i="3"/>
  <c r="K82" i="3"/>
  <c r="K132" i="3"/>
  <c r="K148" i="3"/>
  <c r="K39" i="3"/>
  <c r="K103" i="3"/>
  <c r="K24" i="3"/>
  <c r="K122" i="3"/>
  <c r="K66" i="3"/>
  <c r="K109" i="3"/>
  <c r="K18" i="3"/>
  <c r="K41" i="3"/>
  <c r="K117" i="3"/>
  <c r="K95" i="3"/>
  <c r="K102" i="3"/>
  <c r="K75" i="3"/>
  <c r="K107" i="3"/>
  <c r="K70" i="3"/>
  <c r="K145" i="3"/>
  <c r="K134" i="3"/>
  <c r="K181" i="3"/>
  <c r="K46" i="3"/>
  <c r="K168" i="3"/>
  <c r="K22" i="3"/>
  <c r="K141" i="3"/>
  <c r="K136" i="3"/>
  <c r="K144" i="3"/>
  <c r="K83" i="3"/>
  <c r="K171" i="3"/>
  <c r="K67" i="3"/>
  <c r="K165" i="3"/>
  <c r="K12" i="3"/>
  <c r="K55" i="3"/>
  <c r="I38" i="4"/>
  <c r="I37" i="4"/>
  <c r="I36" i="4"/>
  <c r="I31" i="4"/>
  <c r="I32" i="4"/>
  <c r="I35" i="4"/>
  <c r="I34" i="4"/>
  <c r="I33" i="4"/>
  <c r="O27" i="4"/>
  <c r="N27" i="4"/>
  <c r="M27" i="4"/>
  <c r="L27" i="4"/>
  <c r="K27" i="4"/>
  <c r="J27" i="4"/>
  <c r="I29" i="4"/>
  <c r="H29" i="4"/>
  <c r="I9" i="4"/>
  <c r="I7" i="4"/>
  <c r="I5" i="4"/>
  <c r="I4" i="4"/>
  <c r="I3" i="4"/>
  <c r="I11" i="4" s="1"/>
  <c r="C5" i="4"/>
  <c r="I41" i="3"/>
  <c r="J41" i="3" s="1"/>
  <c r="I182" i="3"/>
  <c r="J182" i="3" s="1"/>
  <c r="I147" i="3"/>
  <c r="J147" i="3" s="1"/>
  <c r="I105" i="3"/>
  <c r="J105" i="3" s="1"/>
  <c r="I141" i="3"/>
  <c r="J141" i="3" s="1"/>
  <c r="I115" i="3"/>
  <c r="J115" i="3" s="1"/>
  <c r="I131" i="3"/>
  <c r="J131" i="3" s="1"/>
  <c r="I137" i="3"/>
  <c r="J137" i="3" s="1"/>
  <c r="I183" i="3"/>
  <c r="J183" i="3" s="1"/>
  <c r="I39" i="3"/>
  <c r="J39" i="3" s="1"/>
  <c r="I111" i="3"/>
  <c r="J111" i="3" s="1"/>
  <c r="I116" i="3"/>
  <c r="J116" i="3" s="1"/>
  <c r="I15" i="3"/>
  <c r="J15" i="3" s="1"/>
  <c r="I5" i="3"/>
  <c r="J5" i="3" s="1"/>
  <c r="I18" i="3"/>
  <c r="J18" i="3" s="1"/>
  <c r="I40" i="3"/>
  <c r="P27" i="4" s="1"/>
  <c r="I67" i="3"/>
  <c r="J67" i="3" s="1"/>
  <c r="I152" i="3"/>
  <c r="J152" i="3" s="1"/>
  <c r="I169" i="3"/>
  <c r="J169" i="3" s="1"/>
  <c r="I156" i="3"/>
  <c r="J156" i="3" s="1"/>
  <c r="I143" i="3"/>
  <c r="J143" i="3" s="1"/>
  <c r="I58" i="3"/>
  <c r="J58" i="3" s="1"/>
  <c r="I179" i="3"/>
  <c r="J179" i="3" s="1"/>
  <c r="I121" i="3"/>
  <c r="J121" i="3" s="1"/>
  <c r="I155" i="3"/>
  <c r="J155" i="3" s="1"/>
  <c r="I10" i="3"/>
  <c r="J10" i="3" s="1"/>
  <c r="I129" i="3"/>
  <c r="J129" i="3" s="1"/>
  <c r="I134" i="3"/>
  <c r="J134" i="3" s="1"/>
  <c r="I130" i="3"/>
  <c r="J130" i="3" s="1"/>
  <c r="I109" i="3"/>
  <c r="J109" i="3" s="1"/>
  <c r="I154" i="3"/>
  <c r="J154" i="3" s="1"/>
  <c r="I4" i="3"/>
  <c r="J4" i="3" s="1"/>
  <c r="I174" i="3"/>
  <c r="J174" i="3" s="1"/>
  <c r="I26" i="3"/>
  <c r="J26" i="3" s="1"/>
  <c r="I64" i="3"/>
  <c r="J64" i="3" s="1"/>
  <c r="I122" i="3"/>
  <c r="J122" i="3" s="1"/>
  <c r="I12" i="3"/>
  <c r="J12" i="3" s="1"/>
  <c r="I95" i="3"/>
  <c r="J95" i="3" s="1"/>
  <c r="I46" i="3"/>
  <c r="J46" i="3" s="1"/>
  <c r="I173" i="3"/>
  <c r="J173" i="3" s="1"/>
  <c r="I142" i="3"/>
  <c r="J142" i="3" s="1"/>
  <c r="I13" i="3"/>
  <c r="J13" i="3" s="1"/>
  <c r="I163" i="3"/>
  <c r="J163" i="3" s="1"/>
  <c r="I157" i="3"/>
  <c r="J157" i="3" s="1"/>
  <c r="I68" i="3"/>
  <c r="J68" i="3" s="1"/>
  <c r="I96" i="3"/>
  <c r="J96" i="3" s="1"/>
  <c r="I153" i="3"/>
  <c r="J153" i="3" s="1"/>
  <c r="I150" i="3"/>
  <c r="J150" i="3" s="1"/>
  <c r="I84" i="3"/>
  <c r="J84" i="3" s="1"/>
  <c r="I31" i="3"/>
  <c r="J31" i="3" s="1"/>
  <c r="I76" i="3"/>
  <c r="J76" i="3" s="1"/>
  <c r="I87" i="3"/>
  <c r="J87" i="3" s="1"/>
  <c r="I112" i="3"/>
  <c r="J112" i="3" s="1"/>
  <c r="I144" i="3"/>
  <c r="J144" i="3" s="1"/>
  <c r="I93" i="3"/>
  <c r="J93" i="3" s="1"/>
  <c r="I170" i="3"/>
  <c r="J170" i="3" s="1"/>
  <c r="I42" i="3"/>
  <c r="J42" i="3" s="1"/>
  <c r="I8" i="3"/>
  <c r="J8" i="3" s="1"/>
  <c r="I98" i="3"/>
  <c r="J98" i="3" s="1"/>
  <c r="I61" i="3"/>
  <c r="J61" i="3" s="1"/>
  <c r="I45" i="3"/>
  <c r="J45" i="3" s="1"/>
  <c r="I59" i="3"/>
  <c r="J59" i="3" s="1"/>
  <c r="I138" i="3"/>
  <c r="J138" i="3" s="1"/>
  <c r="I148" i="3"/>
  <c r="J148" i="3" s="1"/>
  <c r="I20" i="3"/>
  <c r="J20" i="3" s="1"/>
  <c r="I77" i="3"/>
  <c r="J77" i="3" s="1"/>
  <c r="I97" i="3"/>
  <c r="J97" i="3" s="1"/>
  <c r="I75" i="3"/>
  <c r="J75" i="3" s="1"/>
  <c r="I106" i="3"/>
  <c r="J106" i="3" s="1"/>
  <c r="I34" i="3"/>
  <c r="J34" i="3" s="1"/>
  <c r="I78" i="3"/>
  <c r="J78" i="3" s="1"/>
  <c r="I85" i="3"/>
  <c r="J85" i="3" s="1"/>
  <c r="I133" i="3"/>
  <c r="J133" i="3" s="1"/>
  <c r="I99" i="3"/>
  <c r="J99" i="3" s="1"/>
  <c r="I140" i="3"/>
  <c r="J140" i="3" s="1"/>
  <c r="I83" i="3"/>
  <c r="J83" i="3" s="1"/>
  <c r="I139" i="3"/>
  <c r="J139" i="3" s="1"/>
  <c r="I145" i="3"/>
  <c r="J145" i="3" s="1"/>
  <c r="I146" i="3"/>
  <c r="J146" i="3" s="1"/>
  <c r="I108" i="3"/>
  <c r="J108" i="3" s="1"/>
  <c r="I161" i="3"/>
  <c r="J161" i="3" s="1"/>
  <c r="I57" i="3"/>
  <c r="J57" i="3" s="1"/>
  <c r="I72" i="3"/>
  <c r="J72" i="3" s="1"/>
  <c r="I2" i="3"/>
  <c r="J2" i="3" s="1"/>
  <c r="I17" i="3"/>
  <c r="J17" i="3" s="1"/>
  <c r="I128" i="3"/>
  <c r="J128" i="3" s="1"/>
  <c r="I158" i="3"/>
  <c r="J158" i="3" s="1"/>
  <c r="I176" i="3"/>
  <c r="J176" i="3" s="1"/>
  <c r="I135" i="3"/>
  <c r="J135" i="3" s="1"/>
  <c r="I16" i="3"/>
  <c r="J16" i="3" s="1"/>
  <c r="I127" i="3"/>
  <c r="J127" i="3" s="1"/>
  <c r="I162" i="3"/>
  <c r="J162" i="3" s="1"/>
  <c r="I102" i="3"/>
  <c r="J102" i="3" s="1"/>
  <c r="I9" i="3"/>
  <c r="J9" i="3" s="1"/>
  <c r="I164" i="3"/>
  <c r="J164" i="3" s="1"/>
  <c r="I22" i="3"/>
  <c r="J22" i="3" s="1"/>
  <c r="I71" i="3"/>
  <c r="J71" i="3" s="1"/>
  <c r="I66" i="3"/>
  <c r="J66" i="3" s="1"/>
  <c r="I53" i="3"/>
  <c r="J53" i="3" s="1"/>
  <c r="I175" i="3"/>
  <c r="J175" i="3" s="1"/>
  <c r="I180" i="3"/>
  <c r="J180" i="3" s="1"/>
  <c r="I55" i="3"/>
  <c r="J55" i="3" s="1"/>
  <c r="I24" i="3"/>
  <c r="J24" i="3" s="1"/>
  <c r="I89" i="3"/>
  <c r="J89" i="3" s="1"/>
  <c r="I118" i="3"/>
  <c r="J118" i="3" s="1"/>
  <c r="I82" i="3"/>
  <c r="J82" i="3" s="1"/>
  <c r="I88" i="3"/>
  <c r="J88" i="3" s="1"/>
  <c r="I160" i="3"/>
  <c r="J160" i="3" s="1"/>
  <c r="I126" i="3"/>
  <c r="J126" i="3" s="1"/>
  <c r="I91" i="3"/>
  <c r="J91" i="3" s="1"/>
  <c r="I47" i="3"/>
  <c r="J47" i="3" s="1"/>
  <c r="I149" i="3"/>
  <c r="J149" i="3" s="1"/>
  <c r="I124" i="3"/>
  <c r="J124" i="3" s="1"/>
  <c r="I73" i="3"/>
  <c r="J73" i="3" s="1"/>
  <c r="I28" i="3"/>
  <c r="J28" i="3" s="1"/>
  <c r="I54" i="3"/>
  <c r="J54" i="3" s="1"/>
  <c r="I38" i="3"/>
  <c r="J38" i="3" s="1"/>
  <c r="I19" i="3"/>
  <c r="J19" i="3" s="1"/>
  <c r="I114" i="3"/>
  <c r="J114" i="3" s="1"/>
  <c r="I123" i="3"/>
  <c r="J123" i="3" s="1"/>
  <c r="I25" i="3"/>
  <c r="J25" i="3" s="1"/>
  <c r="I81" i="3"/>
  <c r="J81" i="3" s="1"/>
  <c r="I29" i="3"/>
  <c r="J29" i="3" s="1"/>
  <c r="I136" i="3"/>
  <c r="J136" i="3" s="1"/>
  <c r="I62" i="3"/>
  <c r="J62" i="3" s="1"/>
  <c r="I103" i="3"/>
  <c r="J103" i="3" s="1"/>
  <c r="I177" i="3"/>
  <c r="J177" i="3" s="1"/>
  <c r="I23" i="3"/>
  <c r="J23" i="3" s="1"/>
  <c r="I167" i="3"/>
  <c r="J167" i="3" s="1"/>
  <c r="I49" i="3"/>
  <c r="J49" i="3" s="1"/>
  <c r="I65" i="3"/>
  <c r="J65" i="3" s="1"/>
  <c r="I90" i="3"/>
  <c r="J90" i="3" s="1"/>
  <c r="I6" i="3"/>
  <c r="J6" i="3" s="1"/>
  <c r="I159" i="3"/>
  <c r="J159" i="3" s="1"/>
  <c r="I3" i="3"/>
  <c r="J3" i="3" s="1"/>
  <c r="I100" i="3"/>
  <c r="J100" i="3" s="1"/>
  <c r="I117" i="3"/>
  <c r="J117" i="3" s="1"/>
  <c r="I92" i="3"/>
  <c r="J92" i="3" s="1"/>
  <c r="I74" i="3"/>
  <c r="J74" i="3" s="1"/>
  <c r="I172" i="3"/>
  <c r="J172" i="3" s="1"/>
  <c r="I101" i="3"/>
  <c r="J101" i="3" s="1"/>
  <c r="I165" i="3"/>
  <c r="J165" i="3" s="1"/>
  <c r="I79" i="3"/>
  <c r="J79" i="3" s="1"/>
  <c r="I56" i="3"/>
  <c r="J56" i="3" s="1"/>
  <c r="I168" i="3"/>
  <c r="J168" i="3" s="1"/>
  <c r="I120" i="3"/>
  <c r="J120" i="3" s="1"/>
  <c r="I21" i="3"/>
  <c r="J21" i="3" s="1"/>
  <c r="I132" i="3"/>
  <c r="J132" i="3" s="1"/>
  <c r="I107" i="3"/>
  <c r="J107" i="3" s="1"/>
  <c r="I11" i="3"/>
  <c r="J11" i="3" s="1"/>
  <c r="I171" i="3"/>
  <c r="J171" i="3" s="1"/>
  <c r="I178" i="3"/>
  <c r="J178" i="3" s="1"/>
  <c r="I181" i="3"/>
  <c r="J181" i="3" s="1"/>
  <c r="I104" i="3"/>
  <c r="J104" i="3" s="1"/>
  <c r="I80" i="3"/>
  <c r="J80" i="3" s="1"/>
  <c r="I7" i="3"/>
  <c r="J7" i="3" s="1"/>
  <c r="I44" i="3"/>
  <c r="J44" i="3" s="1"/>
  <c r="I125" i="3"/>
  <c r="J125" i="3" s="1"/>
  <c r="I69" i="3"/>
  <c r="J69" i="3" s="1"/>
  <c r="I113" i="3"/>
  <c r="J113" i="3" s="1"/>
  <c r="I43" i="3"/>
  <c r="J43" i="3" s="1"/>
  <c r="I110" i="3"/>
  <c r="J110" i="3" s="1"/>
  <c r="I32" i="3"/>
  <c r="J32" i="3" s="1"/>
  <c r="I33" i="3"/>
  <c r="J33" i="3" s="1"/>
  <c r="I35" i="3"/>
  <c r="J35" i="3" s="1"/>
  <c r="I70" i="3"/>
  <c r="J70" i="3" s="1"/>
  <c r="I63" i="3"/>
  <c r="J63" i="3" s="1"/>
  <c r="I94" i="3"/>
  <c r="J94" i="3" s="1"/>
  <c r="I14" i="3"/>
  <c r="J14" i="3" s="1"/>
  <c r="I52" i="3"/>
  <c r="J52" i="3" s="1"/>
  <c r="I27" i="3"/>
  <c r="J27" i="3" s="1"/>
  <c r="I30" i="3"/>
  <c r="J30" i="3" s="1"/>
  <c r="I36" i="3"/>
  <c r="J36" i="3" s="1"/>
  <c r="I86" i="3"/>
  <c r="J86" i="3" s="1"/>
  <c r="I48" i="3"/>
  <c r="J48" i="3" s="1"/>
  <c r="I119" i="3"/>
  <c r="J119" i="3" s="1"/>
  <c r="I166" i="3"/>
  <c r="J166" i="3" s="1"/>
  <c r="I37" i="3"/>
  <c r="J37" i="3" s="1"/>
  <c r="I51" i="3"/>
  <c r="J51" i="3" s="1"/>
  <c r="I60" i="3"/>
  <c r="J60" i="3" s="1"/>
  <c r="I50" i="3"/>
  <c r="J50" i="3" s="1"/>
  <c r="I151" i="3"/>
  <c r="J151" i="3" s="1"/>
  <c r="I184" i="3"/>
  <c r="J184" i="3" s="1"/>
  <c r="D95" i="2"/>
  <c r="H95" i="2"/>
  <c r="F106" i="1"/>
  <c r="H106" i="1"/>
  <c r="I106" i="1"/>
  <c r="R38" i="10" l="1"/>
  <c r="R30" i="10"/>
  <c r="R22" i="10"/>
  <c r="R37" i="10"/>
  <c r="R29" i="10"/>
  <c r="R21" i="10"/>
  <c r="R13" i="10"/>
  <c r="R5" i="10"/>
  <c r="R36" i="10"/>
  <c r="R28" i="10"/>
  <c r="R20" i="10"/>
  <c r="R12" i="10"/>
  <c r="R4" i="10"/>
  <c r="R35" i="10"/>
  <c r="R27" i="10"/>
  <c r="R19" i="10"/>
  <c r="R11" i="10"/>
  <c r="R34" i="10"/>
  <c r="R26" i="10"/>
  <c r="R18" i="10"/>
  <c r="R10" i="10"/>
  <c r="R33" i="10"/>
  <c r="R25" i="10"/>
  <c r="R17" i="10"/>
  <c r="R9" i="10"/>
  <c r="R32" i="10"/>
  <c r="R24" i="10"/>
  <c r="R16" i="10"/>
  <c r="R8" i="10"/>
  <c r="R3" i="10"/>
  <c r="R31" i="10"/>
  <c r="R23" i="10"/>
  <c r="R15" i="10"/>
  <c r="I39" i="4"/>
  <c r="I10" i="4"/>
  <c r="I15" i="4" a="1"/>
  <c r="I15" i="4" s="1"/>
  <c r="I6" i="4"/>
  <c r="I18" i="4" a="1"/>
  <c r="I18" i="4" s="1"/>
  <c r="I8" i="4"/>
  <c r="J40" i="3"/>
  <c r="B10" i="4" a="1"/>
  <c r="B1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4D842F-F163-42C5-842E-2BAF49CDAAC8}"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35C23D91-648A-4D61-B760-CF615F7E19F6}"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2A9FFED0-04BC-4717-80DE-BED6FD57A826}"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031C3CD2-9D67-4E87-93A2-AF21B053507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BF6E6D05-63CE-4023-AA78-D1BA308FD9A1}" name="WorksheetConnection_Book1!Table_Staff" type="102" refreshedVersion="8" minRefreshableVersion="5">
    <extLst>
      <ext xmlns:x15="http://schemas.microsoft.com/office/spreadsheetml/2010/11/main" uri="{DE250136-89BD-433C-8126-D09CA5730AF9}">
        <x15:connection id="Table_Staff" autoDelete="1">
          <x15:rangePr sourceName="_xlcn.WorksheetConnection_Book1Table_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<sst xmlns="http://schemas.openxmlformats.org/spreadsheetml/2006/main" count="1796" uniqueCount="258">
  <si>
    <t>Employee Data</t>
  </si>
  <si>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</si>
  <si>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</si>
  <si>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</si>
  <si>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</si>
  <si>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</si>
  <si>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</si>
  <si>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</si>
  <si>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</si>
  <si>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</si>
  <si>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</si>
  <si>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</si>
  <si>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</si>
  <si>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</si>
  <si>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</si>
  <si>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</si>
  <si>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</si>
  <si>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</si>
  <si>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</si>
  <si>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</si>
  <si>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</si>
  <si>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</si>
  <si>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</si>
  <si>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</si>
  <si>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</si>
  <si>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</si>
  <si>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</si>
  <si>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</si>
  <si>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</si>
  <si>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</si>
  <si>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</si>
  <si>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</si>
  <si>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</si>
  <si>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</si>
  <si>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</si>
  <si>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</si>
  <si>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</si>
  <si>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</si>
  <si>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</si>
  <si>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</si>
  <si>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</si>
  <si>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</si>
  <si>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</si>
  <si>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</si>
  <si>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</si>
  <si>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</si>
  <si>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</si>
  <si>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</si>
  <si>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</si>
  <si>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</si>
  <si>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</si>
  <si>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</si>
  <si>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</si>
  <si>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</si>
  <si>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</si>
  <si>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</si>
  <si>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</si>
  <si>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</si>
  <si>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</si>
  <si>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</si>
  <si>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</si>
  <si>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</si>
  <si>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</si>
  <si>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</si>
  <si>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</si>
  <si>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</si>
  <si>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</si>
  <si>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</si>
  <si>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</si>
  <si>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</si>
  <si>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</si>
  <si>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</si>
  <si>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</si>
  <si>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</si>
  <si>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</si>
  <si>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</si>
  <si>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</si>
  <si>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</si>
  <si>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</si>
  <si>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</si>
  <si>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</si>
  <si>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</si>
  <si>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</si>
  <si>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</si>
  <si>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</si>
  <si>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</si>
  <si>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</si>
  <si>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</si>
  <si>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</si>
  <si>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</si>
  <si>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</si>
  <si>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</si>
  <si>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</si>
  <si>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</si>
  <si>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</si>
  <si>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</si>
  <si>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</si>
  <si>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</si>
  <si>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</si>
  <si>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</si>
  <si>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</si>
  <si>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</si>
  <si>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</si>
  <si>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</si>
  <si>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</si>
  <si>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</si>
  <si>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</si>
  <si>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</si>
  <si>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</si>
  <si>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</si>
  <si>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</si>
  <si>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</si>
  <si>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</si>
  <si>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</si>
  <si>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</si>
  <si>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</si>
  <si>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</si>
  <si>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</si>
  <si>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</si>
  <si>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</si>
  <si>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</si>
  <si>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</si>
  <si>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</si>
  <si>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</si>
  <si>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</si>
  <si>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</si>
  <si>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</si>
  <si>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</si>
  <si>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</si>
  <si>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</si>
  <si>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</si>
  <si>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</si>
  <si>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</si>
  <si>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</si>
  <si>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</si>
  <si>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</si>
  <si>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</si>
  <si>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</si>
  <si>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</si>
  <si>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</si>
  <si>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</si>
  <si>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</si>
  <si>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</si>
  <si>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</si>
  <si>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</si>
  <si>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</si>
  <si>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</si>
  <si>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</si>
  <si>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</si>
  <si>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</si>
  <si>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</si>
  <si>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</si>
  <si>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</si>
  <si>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</si>
  <si>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</si>
  <si>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</si>
  <si>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</si>
  <si>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</si>
  <si>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</si>
  <si>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</si>
  <si>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</si>
  <si>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</si>
  <si>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</si>
  <si>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</si>
  <si>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</si>
  <si>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</si>
  <si>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</si>
  <si>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</si>
  <si>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</si>
  <si>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</si>
  <si>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</si>
  <si>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</si>
  <si>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</si>
  <si>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</si>
  <si>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</si>
  <si>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</si>
  <si>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</si>
  <si>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</si>
  <si>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</si>
  <si>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</si>
  <si>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</si>
  <si>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</si>
  <si>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</si>
  <si>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</si>
  <si>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</si>
  <si>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</si>
  <si>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</si>
  <si>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</si>
  <si>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</si>
  <si>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</si>
  <si>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</si>
  <si>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</si>
  <si>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</si>
  <si>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</si>
  <si>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</si>
  <si>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</si>
  <si>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</si>
  <si>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</si>
  <si>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</si>
  <si>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</si>
  <si>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</si>
  <si>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</si>
  <si>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</si>
  <si>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Total</t>
  </si>
  <si>
    <t>Country</t>
  </si>
  <si>
    <t>IND</t>
  </si>
  <si>
    <t>Others</t>
  </si>
  <si>
    <t>NZ</t>
  </si>
  <si>
    <t>Tensure</t>
  </si>
  <si>
    <t>Ratio of Staff with &gt; 90000</t>
  </si>
  <si>
    <t>Female Ratio</t>
  </si>
  <si>
    <t>Female Count</t>
  </si>
  <si>
    <t>Average Age</t>
  </si>
  <si>
    <t>Average Salary</t>
  </si>
  <si>
    <t>Count of Employee</t>
  </si>
  <si>
    <t>Data Joined</t>
  </si>
  <si>
    <t>Information Finder</t>
  </si>
  <si>
    <t>Number of People</t>
  </si>
  <si>
    <t>Male Vs Female</t>
  </si>
  <si>
    <t>Grand Total</t>
  </si>
  <si>
    <t>Column Labels</t>
  </si>
  <si>
    <t>Count of Name</t>
  </si>
  <si>
    <t>Average of Age</t>
  </si>
  <si>
    <t>Values</t>
  </si>
  <si>
    <t>Average of Salary</t>
  </si>
  <si>
    <t>Bonus</t>
  </si>
  <si>
    <t>XLOOKUP METHOD</t>
  </si>
  <si>
    <t>VLOOKUP METHOD</t>
  </si>
  <si>
    <t>ANALYZE SALARY SPREAD</t>
  </si>
  <si>
    <t>RELATIONSHIP OF SALARY VS RATING</t>
  </si>
  <si>
    <t>COMPANY GROWTH OVER TIME</t>
  </si>
  <si>
    <t>REGIONAL REPORT CARD</t>
  </si>
  <si>
    <t>DATA ANALYSIS</t>
  </si>
  <si>
    <t>Row Labels</t>
  </si>
  <si>
    <t>Count of Salary</t>
  </si>
  <si>
    <t>Rating Number</t>
  </si>
  <si>
    <t>Rate</t>
  </si>
  <si>
    <t>Rating in Number</t>
  </si>
  <si>
    <t>2020</t>
  </si>
  <si>
    <t>2021</t>
  </si>
  <si>
    <t>2022</t>
  </si>
  <si>
    <t>2023</t>
  </si>
  <si>
    <t>Month</t>
  </si>
  <si>
    <t>Headcount</t>
  </si>
  <si>
    <t>Running Total</t>
  </si>
  <si>
    <t xml:space="preserve"> </t>
  </si>
  <si>
    <t>HeadCount By Department</t>
  </si>
  <si>
    <t>INDIA</t>
  </si>
  <si>
    <t>NEW ZEALAND</t>
  </si>
  <si>
    <t>Staffs</t>
  </si>
  <si>
    <t>2a</t>
  </si>
  <si>
    <t>2b</t>
  </si>
  <si>
    <t>Median Salary</t>
  </si>
  <si>
    <t>Median Age</t>
  </si>
  <si>
    <t>Average Tenure</t>
  </si>
  <si>
    <t>Tenure</t>
  </si>
  <si>
    <t>Average of Tenure</t>
  </si>
  <si>
    <t>Statistical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</si>
</sst>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0.0"/>
    <numFmt numFmtId="165" formatCode="&quot;$&quot;#,##0.00"/>
    <numFmt numFmtId="166" formatCode="0.0000"/>
    <numFmt numFmtId="167" formatCode="&quot;$&quot;#,##0"/>
  </numFmts>
  <fonts count="14"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28"/>
      <color theme="1"/>
      <name val="Segoe UI Light"/>
      <family val="2"/>
    </font>
    <font>
      <b/>
      <sz val="16"/>
      <color theme="1"/>
      <name val="Calibri"/>
      <family val="2"/>
      <scheme val="minor"/>
    </font>
    <font>
      <b/>
      <sz val="24"/>
      <color theme="1"/>
      <name val="Calibri"/>
      <family val="2"/>
      <scheme val="minor"/>
    </font>
    <font>
      <b/>
      <sz val="28"/>
      <color theme="1"/>
      <name val="Calibri"/>
      <family val="2"/>
      <scheme val="minor"/>
    </font>
    <font>
      <b/>
      <sz val="36"/>
      <color theme="1"/>
      <name val="Calibri"/>
      <family val="2"/>
      <scheme val="minor"/>
    </font>
    <font>
      <b/>
      <sz val="48"/>
      <color theme="1"/>
      <name val="Calibri"/>
      <family val="2"/>
      <scheme val="minor"/>
    </font>
    <font>
      <b/>
      <sz val="48"/>
      <color theme="0"/>
      <name val="Calibri"/>
      <family val="2"/>
      <scheme val="minor"/>
    </font>
    <font>
      <b/>
      <sz val="36"/>
      <color theme="0"/>
      <name val="Calibri"/>
      <family val="2"/>
      <scheme val="minor"/>
    </font>
    <font>
      <b/>
      <sz val="28"/>
      <color theme="0"/>
      <name val="Calibri"/>
      <family val="2"/>
      <scheme val="minor"/>
    </font>
    <font>
      <b/>
      <sz val="18"/>
      <color theme="0"/>
      <name val="Calibri"/>
      <family val="2"/>
      <scheme val="minor"/>
    </font>
  </fonts>
  <fills count="11">
    <fill>
      <patternFill patternType="none"/>
    </fill>
    <fill>
      <patternFill patternType="gray125"/>
    </fill>
    <fill>
      <patternFill patternType="solid">
        <fgColor rgb="FFC6EFCE"/>
      </patternFill>
    </fill>
    <fill>
      <patternFill patternType="solid">
        <fgColor theme="4"/>
        <bgColor indexed="64"/>
      </patternFill>
    </fill>
    <fill>
      <patternFill patternType="solid">
        <fgColor theme="2"/>
        <bgColor indexed="64"/>
      </patternFill>
    </fill>
    <fill>
      <gradientFill degree="90">
        <stop position="0">
          <color theme="0"/>
        </stop>
        <stop position="1">
          <color theme="4"/>
        </stop>
      </gradient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1"/>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55">
    <xf numFmtId="0" fontId="0" fillId="0" borderId="0" xfId="0"/>
    <xf numFmtId="0" fontId="0" fillId="3" borderId="0" xfId="0" applyFill="1"/>
    <xf numFmtId="0" fontId="0" fillId="4" borderId="0" xfId="0" applyFill="1"/>
    <xf numFmtId="0" fontId="4" fillId="4"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1" applyFont="1" applyBorder="1"/>
    <xf numFmtId="10" fontId="0" fillId="0" borderId="0" xfId="0" applyNumberFormat="1"/>
    <xf numFmtId="0" fontId="0" fillId="5" borderId="0" xfId="0" applyFill="1" applyAlignment="1">
      <alignment horizontal="center"/>
    </xf>
    <xf numFmtId="0" fontId="0" fillId="0" borderId="0" xfId="0" applyAlignment="1">
      <alignment horizontal="center"/>
    </xf>
    <xf numFmtId="0" fontId="2" fillId="5" borderId="0" xfId="2" applyFill="1" applyBorder="1" applyAlignment="1">
      <alignment horizontal="center"/>
    </xf>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horizontal="center"/>
    </xf>
    <xf numFmtId="0" fontId="0" fillId="0" borderId="0" xfId="0" pivotButton="1"/>
    <xf numFmtId="164" fontId="0" fillId="0" borderId="0" xfId="0" applyNumberFormat="1"/>
    <xf numFmtId="1" fontId="0" fillId="0" borderId="0" xfId="0" applyNumberFormat="1"/>
    <xf numFmtId="165" fontId="0" fillId="0" borderId="0" xfId="0" applyNumberFormat="1"/>
    <xf numFmtId="0" fontId="0" fillId="0" borderId="1" xfId="0" applyBorder="1"/>
    <xf numFmtId="0" fontId="0" fillId="0" borderId="2" xfId="0" applyBorder="1"/>
    <xf numFmtId="0" fontId="2" fillId="0" borderId="0" xfId="2" applyFill="1" applyBorder="1" applyAlignment="1">
      <alignment horizontal="center"/>
    </xf>
    <xf numFmtId="8" fontId="0" fillId="0" borderId="0" xfId="0" applyNumberFormat="1" applyAlignment="1">
      <alignment horizontal="left"/>
    </xf>
    <xf numFmtId="166" fontId="0" fillId="0" borderId="0" xfId="0" applyNumberFormat="1"/>
    <xf numFmtId="166" fontId="0" fillId="0" borderId="0" xfId="0" applyNumberFormat="1" applyAlignment="1">
      <alignment horizontal="left"/>
    </xf>
    <xf numFmtId="0" fontId="3" fillId="0" borderId="0" xfId="0" applyFont="1"/>
    <xf numFmtId="0" fontId="0" fillId="0" borderId="1" xfId="0" applyBorder="1" applyAlignment="1">
      <alignment horizontal="left"/>
    </xf>
    <xf numFmtId="0" fontId="0" fillId="0" borderId="1" xfId="0" applyBorder="1" applyAlignment="1">
      <alignment horizontal="center"/>
    </xf>
    <xf numFmtId="17" fontId="0" fillId="0" borderId="3" xfId="0" applyNumberFormat="1" applyBorder="1" applyAlignment="1">
      <alignment horizontal="center"/>
    </xf>
    <xf numFmtId="0" fontId="0" fillId="0" borderId="4" xfId="0"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17"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0" fillId="7" borderId="0" xfId="0" applyFont="1" applyFill="1" applyAlignment="1">
      <alignment horizontal="center" vertical="center"/>
    </xf>
    <xf numFmtId="9" fontId="11" fillId="7" borderId="0" xfId="1" applyFont="1" applyFill="1" applyBorder="1" applyAlignment="1">
      <alignment horizontal="center" vertical="center"/>
    </xf>
    <xf numFmtId="167" fontId="12" fillId="7" borderId="0" xfId="0" applyNumberFormat="1" applyFont="1" applyFill="1" applyAlignment="1">
      <alignment horizontal="center" vertical="center"/>
    </xf>
    <xf numFmtId="0" fontId="9" fillId="6" borderId="0" xfId="0" applyFont="1" applyFill="1" applyAlignment="1">
      <alignment horizontal="center" vertical="center"/>
    </xf>
    <xf numFmtId="0" fontId="0" fillId="0" borderId="0" xfId="0" applyAlignment="1">
      <alignment horizontal="center" vertical="center"/>
    </xf>
    <xf numFmtId="9" fontId="8" fillId="6" borderId="0" xfId="0" applyNumberFormat="1" applyFont="1" applyFill="1" applyAlignment="1">
      <alignment horizontal="center" vertical="center"/>
    </xf>
    <xf numFmtId="167" fontId="7" fillId="6" borderId="0" xfId="0" applyNumberFormat="1" applyFont="1" applyFill="1" applyAlignment="1">
      <alignment horizontal="center" vertical="center"/>
    </xf>
    <xf numFmtId="0" fontId="13" fillId="9" borderId="0" xfId="0" applyFont="1" applyFill="1" applyAlignment="1">
      <alignment horizontal="center" vertical="center"/>
    </xf>
    <xf numFmtId="9" fontId="13" fillId="9" borderId="0" xfId="1" applyFont="1" applyFill="1" applyBorder="1" applyAlignment="1">
      <alignment horizontal="center" vertical="center"/>
    </xf>
    <xf numFmtId="167" fontId="13" fillId="9" borderId="0" xfId="0" applyNumberFormat="1" applyFont="1" applyFill="1" applyAlignment="1">
      <alignment horizontal="center" vertical="center" wrapText="1"/>
    </xf>
    <xf numFmtId="14" fontId="0" fillId="0" borderId="0" xfId="0" applyNumberFormat="1" applyAlignment="1">
      <alignment horizontal="center"/>
    </xf>
    <xf numFmtId="165" fontId="0" fillId="0" borderId="0" xfId="0" applyNumberFormat="1" applyAlignment="1">
      <alignment horizontal="left"/>
    </xf>
    <xf numFmtId="2" fontId="0" fillId="0" borderId="0" xfId="0" applyNumberFormat="1" applyAlignment="1">
      <alignment horizontal="left"/>
    </xf>
    <xf numFmtId="2" fontId="0" fillId="0" borderId="0" xfId="0" applyNumberFormat="1" applyAlignment="1">
      <alignment horizontal="left" wrapText="1"/>
    </xf>
    <xf numFmtId="0" fontId="5" fillId="8" borderId="0" xfId="0" applyFont="1" applyFill="1" applyAlignment="1">
      <alignment horizontal="center"/>
    </xf>
    <xf numFmtId="0" fontId="6" fillId="0" borderId="0" xfId="0" applyFont="1" applyAlignment="1">
      <alignment horizontal="center" vertical="center"/>
    </xf>
    <xf numFmtId="0" fontId="3" fillId="10" borderId="1" xfId="0" applyFont="1" applyFill="1" applyBorder="1"/>
    <xf numFmtId="167" fontId="0" fillId="0" borderId="0" xfId="0" applyNumberFormat="1"/>
  </cellXfs>
  <cellStyles count="3">
    <cellStyle name="Good" xfId="2" builtinId="26"/>
    <cellStyle name="Normal" xfId="0" builtinId="0"/>
    <cellStyle name="Percent" xfId="1" builtinId="5"/>
  </cellStyles>
  <dxfs count="33">
    <dxf>
      <numFmt numFmtId="167" formatCode="&quot;$&quot;#,##0"/>
    </dxf>
    <dxf>
      <numFmt numFmtId="2" formatCode="0.00"/>
    </dxf>
    <dxf>
      <numFmt numFmtId="1" formatCode="0"/>
    </dxf>
    <dxf>
      <numFmt numFmtId="164" formatCode="0.0"/>
    </dxf>
    <dxf>
      <numFmt numFmtId="164" formatCode="0.0"/>
    </dxf>
    <dxf>
      <numFmt numFmtId="1" formatCode="0"/>
    </dxf>
    <dxf>
      <numFmt numFmtId="164" formatCode="0.0"/>
    </dxf>
    <dxf>
      <numFmt numFmtId="164" formatCode="0.0"/>
    </dxf>
    <dxf>
      <numFmt numFmtId="1" formatCode="0"/>
    </dxf>
    <dxf>
      <numFmt numFmtId="164" formatCode="0.0"/>
    </dxf>
    <dxf>
      <numFmt numFmtId="165" formatCode="&quot;$&quot;#,##0.00"/>
    </dxf>
    <dxf>
      <numFmt numFmtId="164" formatCode="0.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dxf>
    <dxf>
      <numFmt numFmtId="165" formatCode="&quot;$&quot;#,##0.00"/>
    </dxf>
    <dxf>
      <numFmt numFmtId="2" formatCode="0.00"/>
    </dxf>
    <dxf>
      <numFmt numFmtId="165" formatCode="&quot;$&quot;#,##0.00"/>
    </dxf>
    <dxf>
      <numFmt numFmtId="2" formatCode="0.00"/>
    </dxf>
    <dxf>
      <numFmt numFmtId="165" formatCode="&quot;$&quot;#,##0.00"/>
    </dxf>
    <dxf>
      <numFmt numFmtId="19" formatCode="d/m/yyyy"/>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indent="0" justifyLastLine="0" shrinkToFit="0" readingOrder="0"/>
    </dxf>
    <dxf>
      <numFmt numFmtId="12" formatCode="&quot;$&quot;#,##0.00;[Red]\-&quot;$&quot;#,##0.00"/>
    </dxf>
    <dxf>
      <numFmt numFmtId="20" formatCode="d\-mmm\-yy"/>
    </dxf>
    <dxf>
      <numFmt numFmtId="12" formatCode="&quot;$&quot;#,##0.00;[Red]\-&quot;$&quot;#,##0.00"/>
    </dxf>
    <dxf>
      <numFmt numFmtId="12" formatCode="&quot;$&quot;#,##0.00;[Red]\-&quot;$&quot;#,##0.00"/>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All!$K$1</c:f>
              <c:strCache>
                <c:ptCount val="1"/>
                <c:pt idx="0">
                  <c:v>Rating in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All!$G$2:$G$185</c:f>
              <c:numCache>
                <c:formatCode>"$"#,##0.00</c:formatCode>
                <c:ptCount val="184"/>
                <c:pt idx="0">
                  <c:v>65700</c:v>
                </c:pt>
                <c:pt idx="1">
                  <c:v>83750</c:v>
                </c:pt>
                <c:pt idx="2">
                  <c:v>65920</c:v>
                </c:pt>
                <c:pt idx="3">
                  <c:v>37920</c:v>
                </c:pt>
                <c:pt idx="4">
                  <c:v>78390</c:v>
                </c:pt>
                <c:pt idx="5">
                  <c:v>54970</c:v>
                </c:pt>
                <c:pt idx="6">
                  <c:v>48950</c:v>
                </c:pt>
                <c:pt idx="7">
                  <c:v>70610</c:v>
                </c:pt>
                <c:pt idx="8">
                  <c:v>100420</c:v>
                </c:pt>
                <c:pt idx="9">
                  <c:v>69120</c:v>
                </c:pt>
                <c:pt idx="10">
                  <c:v>119110</c:v>
                </c:pt>
                <c:pt idx="11">
                  <c:v>53240</c:v>
                </c:pt>
                <c:pt idx="12">
                  <c:v>40400</c:v>
                </c:pt>
                <c:pt idx="13">
                  <c:v>48170</c:v>
                </c:pt>
                <c:pt idx="14">
                  <c:v>59430</c:v>
                </c:pt>
                <c:pt idx="15">
                  <c:v>75480</c:v>
                </c:pt>
                <c:pt idx="16">
                  <c:v>112650</c:v>
                </c:pt>
                <c:pt idx="17">
                  <c:v>75000</c:v>
                </c:pt>
                <c:pt idx="18">
                  <c:v>99750</c:v>
                </c:pt>
                <c:pt idx="19">
                  <c:v>71380</c:v>
                </c:pt>
                <c:pt idx="20">
                  <c:v>115440</c:v>
                </c:pt>
                <c:pt idx="21">
                  <c:v>99970</c:v>
                </c:pt>
                <c:pt idx="22">
                  <c:v>112110</c:v>
                </c:pt>
                <c:pt idx="23">
                  <c:v>75970</c:v>
                </c:pt>
                <c:pt idx="24">
                  <c:v>80700</c:v>
                </c:pt>
                <c:pt idx="25">
                  <c:v>36040</c:v>
                </c:pt>
                <c:pt idx="26">
                  <c:v>58100</c:v>
                </c:pt>
                <c:pt idx="27">
                  <c:v>75480</c:v>
                </c:pt>
                <c:pt idx="28">
                  <c:v>104410</c:v>
                </c:pt>
                <c:pt idx="29">
                  <c:v>70270</c:v>
                </c:pt>
                <c:pt idx="30">
                  <c:v>104120</c:v>
                </c:pt>
                <c:pt idx="31">
                  <c:v>88050</c:v>
                </c:pt>
                <c:pt idx="32">
                  <c:v>53540</c:v>
                </c:pt>
                <c:pt idx="33">
                  <c:v>100420</c:v>
                </c:pt>
                <c:pt idx="34">
                  <c:v>96800</c:v>
                </c:pt>
                <c:pt idx="35">
                  <c:v>41570</c:v>
                </c:pt>
                <c:pt idx="36">
                  <c:v>64000</c:v>
                </c:pt>
                <c:pt idx="37">
                  <c:v>109190</c:v>
                </c:pt>
                <c:pt idx="38">
                  <c:v>49630</c:v>
                </c:pt>
                <c:pt idx="39">
                  <c:v>112650</c:v>
                </c:pt>
                <c:pt idx="40">
                  <c:v>92450</c:v>
                </c:pt>
                <c:pt idx="41">
                  <c:v>47360</c:v>
                </c:pt>
                <c:pt idx="42">
                  <c:v>90700</c:v>
                </c:pt>
                <c:pt idx="43">
                  <c:v>68900</c:v>
                </c:pt>
                <c:pt idx="44">
                  <c:v>114890</c:v>
                </c:pt>
                <c:pt idx="45">
                  <c:v>41980</c:v>
                </c:pt>
                <c:pt idx="46">
                  <c:v>43510</c:v>
                </c:pt>
                <c:pt idx="47">
                  <c:v>103550</c:v>
                </c:pt>
                <c:pt idx="48">
                  <c:v>67950</c:v>
                </c:pt>
                <c:pt idx="49">
                  <c:v>75280</c:v>
                </c:pt>
                <c:pt idx="50">
                  <c:v>91650</c:v>
                </c:pt>
                <c:pt idx="51">
                  <c:v>48530</c:v>
                </c:pt>
                <c:pt idx="52">
                  <c:v>48980</c:v>
                </c:pt>
                <c:pt idx="53">
                  <c:v>119110</c:v>
                </c:pt>
                <c:pt idx="54">
                  <c:v>45510</c:v>
                </c:pt>
                <c:pt idx="55">
                  <c:v>62780</c:v>
                </c:pt>
                <c:pt idx="56">
                  <c:v>88050</c:v>
                </c:pt>
                <c:pt idx="57">
                  <c:v>53540</c:v>
                </c:pt>
                <c:pt idx="58">
                  <c:v>74550</c:v>
                </c:pt>
                <c:pt idx="59">
                  <c:v>87620</c:v>
                </c:pt>
                <c:pt idx="60">
                  <c:v>78540</c:v>
                </c:pt>
                <c:pt idx="61">
                  <c:v>33920</c:v>
                </c:pt>
                <c:pt idx="62">
                  <c:v>52610</c:v>
                </c:pt>
                <c:pt idx="63">
                  <c:v>48950</c:v>
                </c:pt>
                <c:pt idx="64">
                  <c:v>112570</c:v>
                </c:pt>
                <c:pt idx="65">
                  <c:v>118840</c:v>
                </c:pt>
                <c:pt idx="66">
                  <c:v>75280</c:v>
                </c:pt>
                <c:pt idx="67">
                  <c:v>92700</c:v>
                </c:pt>
                <c:pt idx="68">
                  <c:v>114180</c:v>
                </c:pt>
                <c:pt idx="69">
                  <c:v>53540</c:v>
                </c:pt>
                <c:pt idx="70">
                  <c:v>107700</c:v>
                </c:pt>
                <c:pt idx="71">
                  <c:v>67910</c:v>
                </c:pt>
                <c:pt idx="72">
                  <c:v>68900</c:v>
                </c:pt>
                <c:pt idx="73">
                  <c:v>113280</c:v>
                </c:pt>
                <c:pt idx="74">
                  <c:v>75970</c:v>
                </c:pt>
                <c:pt idx="75">
                  <c:v>41980</c:v>
                </c:pt>
                <c:pt idx="76">
                  <c:v>69070</c:v>
                </c:pt>
                <c:pt idx="77">
                  <c:v>48170</c:v>
                </c:pt>
                <c:pt idx="78">
                  <c:v>104770</c:v>
                </c:pt>
                <c:pt idx="79">
                  <c:v>60130</c:v>
                </c:pt>
                <c:pt idx="80">
                  <c:v>107700</c:v>
                </c:pt>
                <c:pt idx="81">
                  <c:v>118100</c:v>
                </c:pt>
                <c:pt idx="82">
                  <c:v>91650</c:v>
                </c:pt>
                <c:pt idx="83">
                  <c:v>67910</c:v>
                </c:pt>
                <c:pt idx="84">
                  <c:v>85000</c:v>
                </c:pt>
                <c:pt idx="85">
                  <c:v>90700</c:v>
                </c:pt>
                <c:pt idx="86">
                  <c:v>43840</c:v>
                </c:pt>
                <c:pt idx="87">
                  <c:v>65700</c:v>
                </c:pt>
                <c:pt idx="88">
                  <c:v>52610</c:v>
                </c:pt>
                <c:pt idx="89">
                  <c:v>57090</c:v>
                </c:pt>
                <c:pt idx="90">
                  <c:v>79570</c:v>
                </c:pt>
                <c:pt idx="91">
                  <c:v>65360</c:v>
                </c:pt>
                <c:pt idx="92">
                  <c:v>106460</c:v>
                </c:pt>
                <c:pt idx="93">
                  <c:v>112780</c:v>
                </c:pt>
                <c:pt idx="94">
                  <c:v>58940</c:v>
                </c:pt>
                <c:pt idx="95">
                  <c:v>71380</c:v>
                </c:pt>
                <c:pt idx="96">
                  <c:v>83750</c:v>
                </c:pt>
                <c:pt idx="97">
                  <c:v>60130</c:v>
                </c:pt>
                <c:pt idx="98">
                  <c:v>92450</c:v>
                </c:pt>
                <c:pt idx="99">
                  <c:v>58960</c:v>
                </c:pt>
                <c:pt idx="100">
                  <c:v>112780</c:v>
                </c:pt>
                <c:pt idx="101">
                  <c:v>109190</c:v>
                </c:pt>
                <c:pt idx="102">
                  <c:v>91310</c:v>
                </c:pt>
                <c:pt idx="103">
                  <c:v>45510</c:v>
                </c:pt>
                <c:pt idx="104">
                  <c:v>86570</c:v>
                </c:pt>
                <c:pt idx="105">
                  <c:v>113280</c:v>
                </c:pt>
                <c:pt idx="106">
                  <c:v>67950</c:v>
                </c:pt>
                <c:pt idx="107">
                  <c:v>112570</c:v>
                </c:pt>
                <c:pt idx="108">
                  <c:v>60570</c:v>
                </c:pt>
                <c:pt idx="109">
                  <c:v>104410</c:v>
                </c:pt>
                <c:pt idx="110">
                  <c:v>60570</c:v>
                </c:pt>
                <c:pt idx="111">
                  <c:v>65920</c:v>
                </c:pt>
                <c:pt idx="112">
                  <c:v>87620</c:v>
                </c:pt>
                <c:pt idx="113">
                  <c:v>56870</c:v>
                </c:pt>
                <c:pt idx="114">
                  <c:v>96800</c:v>
                </c:pt>
                <c:pt idx="115">
                  <c:v>112650</c:v>
                </c:pt>
                <c:pt idx="116">
                  <c:v>69070</c:v>
                </c:pt>
                <c:pt idx="117">
                  <c:v>59430</c:v>
                </c:pt>
                <c:pt idx="118">
                  <c:v>69710</c:v>
                </c:pt>
                <c:pt idx="119">
                  <c:v>75000</c:v>
                </c:pt>
                <c:pt idx="120">
                  <c:v>112110</c:v>
                </c:pt>
                <c:pt idx="121">
                  <c:v>34980</c:v>
                </c:pt>
                <c:pt idx="122">
                  <c:v>58940</c:v>
                </c:pt>
                <c:pt idx="123">
                  <c:v>56870</c:v>
                </c:pt>
                <c:pt idx="124">
                  <c:v>37920</c:v>
                </c:pt>
                <c:pt idx="125">
                  <c:v>48530</c:v>
                </c:pt>
                <c:pt idx="126">
                  <c:v>53870</c:v>
                </c:pt>
                <c:pt idx="127">
                  <c:v>58100</c:v>
                </c:pt>
                <c:pt idx="128">
                  <c:v>41570</c:v>
                </c:pt>
                <c:pt idx="129">
                  <c:v>92700</c:v>
                </c:pt>
                <c:pt idx="130">
                  <c:v>109160</c:v>
                </c:pt>
                <c:pt idx="131">
                  <c:v>69120</c:v>
                </c:pt>
                <c:pt idx="132">
                  <c:v>114870</c:v>
                </c:pt>
                <c:pt idx="133">
                  <c:v>70610</c:v>
                </c:pt>
                <c:pt idx="134">
                  <c:v>115920</c:v>
                </c:pt>
                <c:pt idx="135">
                  <c:v>91310</c:v>
                </c:pt>
                <c:pt idx="136">
                  <c:v>43510</c:v>
                </c:pt>
                <c:pt idx="137">
                  <c:v>78390</c:v>
                </c:pt>
                <c:pt idx="138">
                  <c:v>106460</c:v>
                </c:pt>
                <c:pt idx="139">
                  <c:v>115440</c:v>
                </c:pt>
                <c:pt idx="140">
                  <c:v>75880</c:v>
                </c:pt>
                <c:pt idx="141">
                  <c:v>54970</c:v>
                </c:pt>
                <c:pt idx="142">
                  <c:v>115920</c:v>
                </c:pt>
                <c:pt idx="143">
                  <c:v>114180</c:v>
                </c:pt>
                <c:pt idx="144">
                  <c:v>104120</c:v>
                </c:pt>
                <c:pt idx="145">
                  <c:v>103550</c:v>
                </c:pt>
                <c:pt idx="146">
                  <c:v>109160</c:v>
                </c:pt>
                <c:pt idx="147">
                  <c:v>75880</c:v>
                </c:pt>
                <c:pt idx="148">
                  <c:v>57090</c:v>
                </c:pt>
                <c:pt idx="149">
                  <c:v>70270</c:v>
                </c:pt>
                <c:pt idx="150">
                  <c:v>69710</c:v>
                </c:pt>
                <c:pt idx="151">
                  <c:v>104770</c:v>
                </c:pt>
                <c:pt idx="152">
                  <c:v>47360</c:v>
                </c:pt>
                <c:pt idx="153">
                  <c:v>40400</c:v>
                </c:pt>
                <c:pt idx="154">
                  <c:v>76900</c:v>
                </c:pt>
                <c:pt idx="155">
                  <c:v>33920</c:v>
                </c:pt>
                <c:pt idx="156">
                  <c:v>78540</c:v>
                </c:pt>
                <c:pt idx="157">
                  <c:v>86570</c:v>
                </c:pt>
                <c:pt idx="158">
                  <c:v>99750</c:v>
                </c:pt>
                <c:pt idx="159">
                  <c:v>34980</c:v>
                </c:pt>
                <c:pt idx="160">
                  <c:v>96140</c:v>
                </c:pt>
                <c:pt idx="161">
                  <c:v>85000</c:v>
                </c:pt>
                <c:pt idx="162">
                  <c:v>53240</c:v>
                </c:pt>
                <c:pt idx="163">
                  <c:v>118840</c:v>
                </c:pt>
                <c:pt idx="164">
                  <c:v>65360</c:v>
                </c:pt>
                <c:pt idx="165">
                  <c:v>96140</c:v>
                </c:pt>
                <c:pt idx="166">
                  <c:v>114890</c:v>
                </c:pt>
                <c:pt idx="167">
                  <c:v>79570</c:v>
                </c:pt>
                <c:pt idx="168">
                  <c:v>64000</c:v>
                </c:pt>
                <c:pt idx="169">
                  <c:v>118100</c:v>
                </c:pt>
                <c:pt idx="170">
                  <c:v>80700</c:v>
                </c:pt>
                <c:pt idx="171">
                  <c:v>48980</c:v>
                </c:pt>
                <c:pt idx="172">
                  <c:v>99970</c:v>
                </c:pt>
                <c:pt idx="173">
                  <c:v>62780</c:v>
                </c:pt>
                <c:pt idx="174">
                  <c:v>58960</c:v>
                </c:pt>
                <c:pt idx="175">
                  <c:v>49630</c:v>
                </c:pt>
                <c:pt idx="176">
                  <c:v>76900</c:v>
                </c:pt>
                <c:pt idx="177">
                  <c:v>36040</c:v>
                </c:pt>
                <c:pt idx="178">
                  <c:v>53870</c:v>
                </c:pt>
                <c:pt idx="179">
                  <c:v>114870</c:v>
                </c:pt>
                <c:pt idx="180">
                  <c:v>43840</c:v>
                </c:pt>
                <c:pt idx="181">
                  <c:v>74550</c:v>
                </c:pt>
                <c:pt idx="182">
                  <c:v>53540</c:v>
                </c:pt>
              </c:numCache>
            </c:numRef>
          </c:xVal>
          <c:yVal>
            <c:numRef>
              <c:f>All!$K$2:$K$185</c:f>
              <c:numCache>
                <c:formatCode>0.00</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4</c:v>
                </c:pt>
                <c:pt idx="14">
                  <c:v>3</c:v>
                </c:pt>
                <c:pt idx="15">
                  <c:v>1</c:v>
                </c:pt>
                <c:pt idx="16">
                  <c:v>3</c:v>
                </c:pt>
                <c:pt idx="17">
                  <c:v>5</c:v>
                </c:pt>
                <c:pt idx="18">
                  <c:v>3</c:v>
                </c:pt>
                <c:pt idx="19">
                  <c:v>3</c:v>
                </c:pt>
                <c:pt idx="20">
                  <c:v>2</c:v>
                </c:pt>
                <c:pt idx="21">
                  <c:v>3</c:v>
                </c:pt>
                <c:pt idx="22">
                  <c:v>2</c:v>
                </c:pt>
                <c:pt idx="23">
                  <c:v>3</c:v>
                </c:pt>
                <c:pt idx="24">
                  <c:v>4</c:v>
                </c:pt>
                <c:pt idx="25">
                  <c:v>3</c:v>
                </c:pt>
                <c:pt idx="26">
                  <c:v>3</c:v>
                </c:pt>
                <c:pt idx="27">
                  <c:v>1</c:v>
                </c:pt>
                <c:pt idx="28">
                  <c:v>3</c:v>
                </c:pt>
                <c:pt idx="29">
                  <c:v>2</c:v>
                </c:pt>
                <c:pt idx="30">
                  <c:v>3</c:v>
                </c:pt>
                <c:pt idx="31">
                  <c:v>2</c:v>
                </c:pt>
                <c:pt idx="32">
                  <c:v>3</c:v>
                </c:pt>
                <c:pt idx="33">
                  <c:v>3</c:v>
                </c:pt>
                <c:pt idx="34">
                  <c:v>3</c:v>
                </c:pt>
                <c:pt idx="35">
                  <c:v>3</c:v>
                </c:pt>
                <c:pt idx="36">
                  <c:v>3</c:v>
                </c:pt>
                <c:pt idx="37">
                  <c:v>4</c:v>
                </c:pt>
                <c:pt idx="38">
                  <c:v>2</c:v>
                </c:pt>
                <c:pt idx="39">
                  <c:v>3</c:v>
                </c:pt>
                <c:pt idx="40">
                  <c:v>3</c:v>
                </c:pt>
                <c:pt idx="41">
                  <c:v>3</c:v>
                </c:pt>
                <c:pt idx="42">
                  <c:v>4</c:v>
                </c:pt>
                <c:pt idx="43">
                  <c:v>2</c:v>
                </c:pt>
                <c:pt idx="44">
                  <c:v>3</c:v>
                </c:pt>
                <c:pt idx="45">
                  <c:v>3</c:v>
                </c:pt>
                <c:pt idx="46">
                  <c:v>1</c:v>
                </c:pt>
                <c:pt idx="47">
                  <c:v>3</c:v>
                </c:pt>
                <c:pt idx="48">
                  <c:v>3</c:v>
                </c:pt>
                <c:pt idx="49">
                  <c:v>3</c:v>
                </c:pt>
                <c:pt idx="50">
                  <c:v>4</c:v>
                </c:pt>
                <c:pt idx="51">
                  <c:v>4</c:v>
                </c:pt>
                <c:pt idx="52">
                  <c:v>3</c:v>
                </c:pt>
                <c:pt idx="53">
                  <c:v>3</c:v>
                </c:pt>
                <c:pt idx="54">
                  <c:v>3</c:v>
                </c:pt>
                <c:pt idx="55">
                  <c:v>3</c:v>
                </c:pt>
                <c:pt idx="56">
                  <c:v>2</c:v>
                </c:pt>
                <c:pt idx="57">
                  <c:v>3</c:v>
                </c:pt>
                <c:pt idx="58">
                  <c:v>3</c:v>
                </c:pt>
                <c:pt idx="59">
                  <c:v>3</c:v>
                </c:pt>
                <c:pt idx="60">
                  <c:v>3</c:v>
                </c:pt>
                <c:pt idx="61">
                  <c:v>3</c:v>
                </c:pt>
                <c:pt idx="62">
                  <c:v>2</c:v>
                </c:pt>
                <c:pt idx="63">
                  <c:v>3</c:v>
                </c:pt>
                <c:pt idx="64">
                  <c:v>3</c:v>
                </c:pt>
                <c:pt idx="65">
                  <c:v>3</c:v>
                </c:pt>
                <c:pt idx="66">
                  <c:v>3</c:v>
                </c:pt>
                <c:pt idx="67">
                  <c:v>3</c:v>
                </c:pt>
                <c:pt idx="68">
                  <c:v>3</c:v>
                </c:pt>
                <c:pt idx="69">
                  <c:v>3</c:v>
                </c:pt>
                <c:pt idx="70">
                  <c:v>3</c:v>
                </c:pt>
                <c:pt idx="71">
                  <c:v>2</c:v>
                </c:pt>
                <c:pt idx="72">
                  <c:v>2</c:v>
                </c:pt>
                <c:pt idx="73">
                  <c:v>1</c:v>
                </c:pt>
                <c:pt idx="74">
                  <c:v>3</c:v>
                </c:pt>
                <c:pt idx="75">
                  <c:v>3</c:v>
                </c:pt>
                <c:pt idx="76">
                  <c:v>3</c:v>
                </c:pt>
                <c:pt idx="77">
                  <c:v>4</c:v>
                </c:pt>
                <c:pt idx="78">
                  <c:v>3</c:v>
                </c:pt>
                <c:pt idx="79">
                  <c:v>3</c:v>
                </c:pt>
                <c:pt idx="80">
                  <c:v>3</c:v>
                </c:pt>
                <c:pt idx="81">
                  <c:v>3</c:v>
                </c:pt>
                <c:pt idx="82">
                  <c:v>4</c:v>
                </c:pt>
                <c:pt idx="83">
                  <c:v>2</c:v>
                </c:pt>
                <c:pt idx="84">
                  <c:v>3</c:v>
                </c:pt>
                <c:pt idx="85">
                  <c:v>4</c:v>
                </c:pt>
                <c:pt idx="86">
                  <c:v>4</c:v>
                </c:pt>
                <c:pt idx="87">
                  <c:v>3</c:v>
                </c:pt>
                <c:pt idx="88">
                  <c:v>2</c:v>
                </c:pt>
                <c:pt idx="89">
                  <c:v>3</c:v>
                </c:pt>
                <c:pt idx="90">
                  <c:v>3</c:v>
                </c:pt>
                <c:pt idx="91">
                  <c:v>3</c:v>
                </c:pt>
                <c:pt idx="92">
                  <c:v>3</c:v>
                </c:pt>
                <c:pt idx="93">
                  <c:v>4</c:v>
                </c:pt>
                <c:pt idx="94">
                  <c:v>3</c:v>
                </c:pt>
                <c:pt idx="95">
                  <c:v>3</c:v>
                </c:pt>
                <c:pt idx="96">
                  <c:v>3</c:v>
                </c:pt>
                <c:pt idx="97">
                  <c:v>3</c:v>
                </c:pt>
                <c:pt idx="98">
                  <c:v>3</c:v>
                </c:pt>
                <c:pt idx="99">
                  <c:v>3</c:v>
                </c:pt>
                <c:pt idx="100">
                  <c:v>4</c:v>
                </c:pt>
                <c:pt idx="101">
                  <c:v>4</c:v>
                </c:pt>
                <c:pt idx="102">
                  <c:v>3</c:v>
                </c:pt>
                <c:pt idx="103">
                  <c:v>3</c:v>
                </c:pt>
                <c:pt idx="104">
                  <c:v>3</c:v>
                </c:pt>
                <c:pt idx="105">
                  <c:v>1</c:v>
                </c:pt>
                <c:pt idx="106">
                  <c:v>3</c:v>
                </c:pt>
                <c:pt idx="107">
                  <c:v>3</c:v>
                </c:pt>
                <c:pt idx="108">
                  <c:v>3</c:v>
                </c:pt>
                <c:pt idx="109">
                  <c:v>3</c:v>
                </c:pt>
                <c:pt idx="110">
                  <c:v>3</c:v>
                </c:pt>
                <c:pt idx="111">
                  <c:v>3</c:v>
                </c:pt>
                <c:pt idx="112">
                  <c:v>3</c:v>
                </c:pt>
                <c:pt idx="113">
                  <c:v>4</c:v>
                </c:pt>
                <c:pt idx="114">
                  <c:v>3</c:v>
                </c:pt>
                <c:pt idx="115">
                  <c:v>3</c:v>
                </c:pt>
                <c:pt idx="116">
                  <c:v>3</c:v>
                </c:pt>
                <c:pt idx="117">
                  <c:v>3</c:v>
                </c:pt>
                <c:pt idx="118">
                  <c:v>3</c:v>
                </c:pt>
                <c:pt idx="119">
                  <c:v>5</c:v>
                </c:pt>
                <c:pt idx="120">
                  <c:v>2</c:v>
                </c:pt>
                <c:pt idx="121">
                  <c:v>3</c:v>
                </c:pt>
                <c:pt idx="122">
                  <c:v>3</c:v>
                </c:pt>
                <c:pt idx="123">
                  <c:v>4</c:v>
                </c:pt>
                <c:pt idx="124">
                  <c:v>3</c:v>
                </c:pt>
                <c:pt idx="125">
                  <c:v>4</c:v>
                </c:pt>
                <c:pt idx="126">
                  <c:v>3</c:v>
                </c:pt>
                <c:pt idx="127">
                  <c:v>3</c:v>
                </c:pt>
                <c:pt idx="128">
                  <c:v>3</c:v>
                </c:pt>
                <c:pt idx="129">
                  <c:v>3</c:v>
                </c:pt>
                <c:pt idx="130">
                  <c:v>5</c:v>
                </c:pt>
                <c:pt idx="131">
                  <c:v>3</c:v>
                </c:pt>
                <c:pt idx="132">
                  <c:v>3</c:v>
                </c:pt>
                <c:pt idx="133">
                  <c:v>3</c:v>
                </c:pt>
                <c:pt idx="134">
                  <c:v>3</c:v>
                </c:pt>
                <c:pt idx="135">
                  <c:v>3</c:v>
                </c:pt>
                <c:pt idx="136">
                  <c:v>1</c:v>
                </c:pt>
                <c:pt idx="137">
                  <c:v>3</c:v>
                </c:pt>
                <c:pt idx="138">
                  <c:v>3</c:v>
                </c:pt>
                <c:pt idx="139">
                  <c:v>2</c:v>
                </c:pt>
                <c:pt idx="140">
                  <c:v>3</c:v>
                </c:pt>
                <c:pt idx="141">
                  <c:v>3</c:v>
                </c:pt>
                <c:pt idx="142">
                  <c:v>3</c:v>
                </c:pt>
                <c:pt idx="143">
                  <c:v>3</c:v>
                </c:pt>
                <c:pt idx="144">
                  <c:v>3</c:v>
                </c:pt>
                <c:pt idx="145">
                  <c:v>3</c:v>
                </c:pt>
                <c:pt idx="146">
                  <c:v>5</c:v>
                </c:pt>
                <c:pt idx="147">
                  <c:v>3</c:v>
                </c:pt>
                <c:pt idx="148">
                  <c:v>3</c:v>
                </c:pt>
                <c:pt idx="149">
                  <c:v>2</c:v>
                </c:pt>
                <c:pt idx="150">
                  <c:v>3</c:v>
                </c:pt>
                <c:pt idx="151">
                  <c:v>3</c:v>
                </c:pt>
                <c:pt idx="152">
                  <c:v>3</c:v>
                </c:pt>
                <c:pt idx="153">
                  <c:v>3</c:v>
                </c:pt>
                <c:pt idx="154">
                  <c:v>4</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4</c:v>
                </c:pt>
                <c:pt idx="171">
                  <c:v>3</c:v>
                </c:pt>
                <c:pt idx="172">
                  <c:v>3</c:v>
                </c:pt>
                <c:pt idx="173">
                  <c:v>3</c:v>
                </c:pt>
                <c:pt idx="174">
                  <c:v>3</c:v>
                </c:pt>
                <c:pt idx="175">
                  <c:v>2</c:v>
                </c:pt>
                <c:pt idx="176">
                  <c:v>4</c:v>
                </c:pt>
                <c:pt idx="177">
                  <c:v>3</c:v>
                </c:pt>
                <c:pt idx="178">
                  <c:v>3</c:v>
                </c:pt>
                <c:pt idx="179">
                  <c:v>3</c:v>
                </c:pt>
                <c:pt idx="180">
                  <c:v>4</c:v>
                </c:pt>
                <c:pt idx="181">
                  <c:v>3</c:v>
                </c:pt>
                <c:pt idx="182">
                  <c:v>3</c:v>
                </c:pt>
              </c:numCache>
            </c:numRef>
          </c:yVal>
          <c:smooth val="0"/>
          <c:extLst>
            <c:ext xmlns:c16="http://schemas.microsoft.com/office/drawing/2014/chart" uri="{C3380CC4-5D6E-409C-BE32-E72D297353CC}">
              <c16:uniqueId val="{00000000-8F9C-4FAE-89A8-122104E0852D}"/>
            </c:ext>
          </c:extLst>
        </c:ser>
        <c:dLbls>
          <c:showLegendKey val="0"/>
          <c:showVal val="0"/>
          <c:showCatName val="0"/>
          <c:showSerName val="0"/>
          <c:showPercent val="0"/>
          <c:showBubbleSize val="0"/>
        </c:dLbls>
        <c:axId val="1246958688"/>
        <c:axId val="1246967328"/>
      </c:scatterChart>
      <c:valAx>
        <c:axId val="1246958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67328"/>
        <c:crosses val="autoZero"/>
        <c:crossBetween val="midCat"/>
      </c:valAx>
      <c:valAx>
        <c:axId val="1246967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5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Salary + Company Growth Insight.xlsx]Company Growth!PivotTable4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'Company Growth'!$C$2</c:f>
              <c:strCache>
                <c:ptCount val="1"/>
                <c:pt idx="0">
                  <c:v>Total</c:v>
                </c:pt>
              </c:strCache>
            </c:strRef>
          </c:tx>
          <c:spPr>
            <a:ln w="28575" cap="rnd">
              <a:solidFill>
                <a:schemeClr val="accent1"/>
              </a:solidFill>
              <a:round/>
            </a:ln>
            <a:effectLst/>
          </c:spPr>
          <c:marker>
            <c:symbol val="none"/>
          </c:marker>
          <c:cat>
            <c:strRef>
              <c:f>'Company Growth'!$B$3:$B$7</c:f>
              <c:strCache>
                <c:ptCount val="4"/>
                <c:pt idx="0">
                  <c:v>2020</c:v>
                </c:pt>
                <c:pt idx="1">
                  <c:v>2021</c:v>
                </c:pt>
                <c:pt idx="2">
                  <c:v>2022</c:v>
                </c:pt>
                <c:pt idx="3">
                  <c:v>2023</c:v>
                </c:pt>
              </c:strCache>
            </c:strRef>
          </c:cat>
          <c:val>
            <c:numRef>
              <c:f>'Company Growth'!$C$3:$C$7</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9900-4B13-B597-4E09F2479955}"/>
            </c:ext>
          </c:extLst>
        </c:ser>
        <c:dLbls>
          <c:showLegendKey val="0"/>
          <c:showVal val="0"/>
          <c:showCatName val="0"/>
          <c:showSerName val="0"/>
          <c:showPercent val="0"/>
          <c:showBubbleSize val="0"/>
        </c:dLbls>
        <c:smooth val="0"/>
        <c:axId val="1246956768"/>
        <c:axId val="1246970208"/>
      </c:lineChart>
      <c:catAx>
        <c:axId val="124695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70208"/>
        <c:crosses val="autoZero"/>
        <c:auto val="1"/>
        <c:lblAlgn val="ctr"/>
        <c:lblOffset val="100"/>
        <c:noMultiLvlLbl val="0"/>
      </c:catAx>
      <c:valAx>
        <c:axId val="124697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5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'Company Growth'!$R$2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'Company Growth'!$P$3:$P$38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'Company Growth'!$R$3:$R$38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CBA7-45C9-A0C3-FB393B67771E}"/>
            </c:ext>
          </c:extLst>
        </c:ser>
        <c:dLbls>
          <c:showLegendKey val="0"/>
          <c:showVal val="0"/>
          <c:showCatName val="0"/>
          <c:showSerName val="0"/>
          <c:showPercent val="0"/>
          <c:showBubbleSize val="0"/>
        </c:dLbls>
        <c:marker val="1"/>
        <c:smooth val="0"/>
        <c:axId val="1246986528"/>
        <c:axId val="1246983648"/>
      </c:lineChart>
      <c:dateAx>
        <c:axId val="124698652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83648"/>
        <c:crosses val="autoZero"/>
        <c:auto val="1"/>
        <c:lblOffset val="100"/>
        <c:baseTimeUnit val="months"/>
      </c:dateAx>
      <c:valAx>
        <c:axId val="124698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8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2"/>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2E1A-4B6D-B1E0-B9FCF9746D61}"/>
            </c:ext>
          </c:extLst>
        </c:ser>
        <c:dLbls>
          <c:showLegendKey val="0"/>
          <c:showVal val="0"/>
          <c:showCatName val="0"/>
          <c:showSerName val="0"/>
          <c:showPercent val="0"/>
          <c:showBubbleSize val="0"/>
        </c:dLbls>
        <c:gapWidth val="35"/>
        <c:axId val="609599344"/>
        <c:axId val="609600304"/>
      </c:barChart>
      <c:catAx>
        <c:axId val="6095993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00304"/>
        <c:crosses val="autoZero"/>
        <c:auto val="1"/>
        <c:lblAlgn val="ctr"/>
        <c:lblOffset val="100"/>
        <c:noMultiLvlLbl val="0"/>
      </c:catAx>
      <c:valAx>
        <c:axId val="6096003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Website</c:v>
              </c:pt>
              <c:pt idx="1">
                <c:v>Procurement</c:v>
              </c:pt>
              <c:pt idx="2">
                <c:v>Finance</c:v>
              </c:pt>
              <c:pt idx="3">
                <c:v>Sales</c:v>
              </c:pt>
              <c:pt idx="4">
                <c:v>HR</c:v>
              </c:pt>
            </c:strLit>
          </c:cat>
          <c:val>
            <c:numLit>
              <c:formatCode>General</c:formatCode>
              <c:ptCount val="5"/>
              <c:pt idx="0">
                <c:v>27</c:v>
              </c:pt>
              <c:pt idx="1">
                <c:v>27</c:v>
              </c:pt>
              <c:pt idx="2">
                <c:v>19</c:v>
              </c:pt>
              <c:pt idx="3">
                <c:v>14</c:v>
              </c:pt>
              <c:pt idx="4">
                <c:v>4</c:v>
              </c:pt>
            </c:numLit>
          </c:val>
          <c:extLst>
            <c:ext xmlns:c16="http://schemas.microsoft.com/office/drawing/2014/chart" uri="{C3380CC4-5D6E-409C-BE32-E72D297353CC}">
              <c16:uniqueId val="{00000000-4E39-4437-B2A7-3019BBAF0CCE}"/>
            </c:ext>
          </c:extLst>
        </c:ser>
        <c:dLbls>
          <c:showLegendKey val="0"/>
          <c:showVal val="0"/>
          <c:showCatName val="0"/>
          <c:showSerName val="0"/>
          <c:showPercent val="0"/>
          <c:showBubbleSize val="0"/>
        </c:dLbls>
        <c:gapWidth val="35"/>
        <c:axId val="1255142272"/>
        <c:axId val="609596464"/>
      </c:barChart>
      <c:catAx>
        <c:axId val="12551422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6464"/>
        <c:crosses val="autoZero"/>
        <c:auto val="1"/>
        <c:lblAlgn val="ctr"/>
        <c:lblOffset val="100"/>
        <c:noMultiLvlLbl val="0"/>
      </c:catAx>
      <c:valAx>
        <c:axId val="60959646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4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99D97394-6260-4FDE-8F6A-E1475674234B}">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25A6FB79-D562-4AF7-838D-EB120FDECD54}">
          <cx:spPr>
            <a:solidFill>
              <a:schemeClr val="tx1"/>
            </a:solidFill>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642257</xdr:colOff>
      <xdr:row>1</xdr:row>
      <xdr:rowOff>0</xdr:rowOff>
    </xdr:from>
    <xdr:to>
      <xdr:col>14</xdr:col>
      <xdr:colOff>0</xdr:colOff>
      <xdr:row>24</xdr:row>
      <xdr:rowOff>136072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5EA53A5-F2DC-49D2-9807-BBCD6A2B00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2257" y="185057"/>
              <a:ext cx="8501743" cy="4392386"/>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1</xdr:row>
      <xdr:rowOff>0</xdr:rowOff>
    </xdr:from>
    <xdr:to>
      <xdr:col>22</xdr:col>
      <xdr:colOff>321128</xdr:colOff>
      <xdr:row>31</xdr:row>
      <xdr:rowOff>10886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9FA254F-C589-4CDE-9FD0-B9582B24C6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50286" y="185057"/>
              <a:ext cx="4239985" cy="556260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414493</xdr:colOff>
      <xdr:row>1</xdr:row>
      <xdr:rowOff>184218</xdr:rowOff>
    </xdr:from>
    <xdr:to>
      <xdr:col>19</xdr:col>
      <xdr:colOff>238647</xdr:colOff>
      <xdr:row>19</xdr:row>
      <xdr:rowOff>146537</xdr:rowOff>
    </xdr:to>
    <xdr:graphicFrame macro="">
      <xdr:nvGraphicFramePr>
        <xdr:cNvPr id="2" name="Chart 1">
          <a:extLst>
            <a:ext uri="{FF2B5EF4-FFF2-40B4-BE49-F238E27FC236}">
              <a16:creationId xmlns:a16="http://schemas.microsoft.com/office/drawing/2014/main" id="{1437C17A-54CF-4D08-BE27-3F0B835CF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27214</xdr:colOff>
      <xdr:row>1</xdr:row>
      <xdr:rowOff>10884</xdr:rowOff>
    </xdr:from>
    <xdr:to>
      <xdr:col>13</xdr:col>
      <xdr:colOff>27215</xdr:colOff>
      <xdr:row>14</xdr:row>
      <xdr:rowOff>21770</xdr:rowOff>
    </xdr:to>
    <xdr:graphicFrame macro="">
      <xdr:nvGraphicFramePr>
        <xdr:cNvPr id="2" name="Chart 1">
          <a:extLst>
            <a:ext uri="{FF2B5EF4-FFF2-40B4-BE49-F238E27FC236}">
              <a16:creationId xmlns:a16="http://schemas.microsoft.com/office/drawing/2014/main" id="{565B7EFD-8EC1-4A7F-0C97-E561BCCF3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571500</xdr:colOff>
      <xdr:row>15</xdr:row>
      <xdr:rowOff>87085</xdr:rowOff>
    </xdr:from>
    <xdr:to>
      <xdr:col>13</xdr:col>
      <xdr:colOff>27214</xdr:colOff>
      <xdr:row>34</xdr:row>
      <xdr:rowOff>21770</xdr:rowOff>
    </xdr:to>
    <xdr:graphicFrame macro="">
      <xdr:nvGraphicFramePr>
        <xdr:cNvPr id="4" name="Chart 3">
          <a:extLst>
            <a:ext uri="{FF2B5EF4-FFF2-40B4-BE49-F238E27FC236}">
              <a16:creationId xmlns:a16="http://schemas.microsoft.com/office/drawing/2014/main" id="{B1E3BB2B-C41A-F575-5096-1AFA5A3D8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611349</xdr:colOff>
      <xdr:row>7</xdr:row>
      <xdr:rowOff>6609</xdr:rowOff>
    </xdr:from>
    <xdr:to>
      <xdr:col>7</xdr:col>
      <xdr:colOff>3888</xdr:colOff>
      <xdr:row>22</xdr:row>
      <xdr:rowOff>167175</xdr:rowOff>
    </xdr:to>
    <xdr:graphicFrame macro="">
      <xdr:nvGraphicFramePr>
        <xdr:cNvPr id="2" name="Chart 1">
          <a:extLst>
            <a:ext uri="{FF2B5EF4-FFF2-40B4-BE49-F238E27FC236}">
              <a16:creationId xmlns:a16="http://schemas.microsoft.com/office/drawing/2014/main" id="{5261AC34-05C0-4125-BC5D-2D6003723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614263</xdr:colOff>
      <xdr:row>7</xdr:row>
      <xdr:rowOff>5833</xdr:rowOff>
    </xdr:from>
    <xdr:to>
      <xdr:col>13</xdr:col>
      <xdr:colOff>3886</xdr:colOff>
      <xdr:row>23</xdr:row>
      <xdr:rowOff>0</xdr:rowOff>
    </xdr:to>
    <xdr:graphicFrame macro="">
      <xdr:nvGraphicFramePr>
        <xdr:cNvPr id="3" name="Chart 2">
          <a:extLst>
            <a:ext uri="{FF2B5EF4-FFF2-40B4-BE49-F238E27FC236}">
              <a16:creationId xmlns:a16="http://schemas.microsoft.com/office/drawing/2014/main" id="{B2FB79B4-F2F6-459D-B938-28ADA841F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12</xdr:col>
      <xdr:colOff>353786</xdr:colOff>
      <xdr:row>42</xdr:row>
      <xdr:rowOff>27214</xdr:rowOff>
    </xdr:from>
    <xdr:ext cx="1828800" cy="1143001"/>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D56CD6D5-0F2B-47CA-84CE-712EB369B28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097986" y="7821385"/>
              <a:ext cx="1828800" cy="1143001"/>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K Ting" refreshedDate="45097.594100347225" backgroundQuery="1" createdVersion="8" refreshedVersion="8" minRefreshableVersion="3" recordCount="0" supportSubquery="1" supportAdvancedDrill="1" xr:uid="{BC9B2A0C-8C6D-4981-A55E-372E335AED0C}">
  <cacheSource type="external" connectionId="4"/>
  <cacheFields count="3">
    <cacheField name="[Table_Staff].[Rating].[Rating]" caption="Rating" numFmtId="0" hierarchy="3" level="1">
      <sharedItems count="5">
        <s v="Above average"/>
        <s v="Average"/>
        <s v="Exceptional"/>
        <s v="Poor"/>
        <s v="Very poor"/>
      </sharedItems>
    </cacheField>
    <cacheField name="[Measures].[Count of Salary]" caption="Count of Salary" numFmtId="0" hierarchy="20" level="32767"/>
    <cacheField name="[Measures].[Average of Salary]" caption="Average of Salary" numFmtId="0" hierarchy="21" level="32767"/>
  </cacheFields>
  <cacheHierarchies count="24">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2" memberValueDatatype="130" unbalanced="0">
      <fieldsUsage count="2">
        <fieldUsage x="-1"/>
        <fieldUsage x="0"/>
      </fieldsUsage>
    </cacheHierarchy>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sure]" caption="Tensure" attribute="1" defaultMemberUniqueName="[Table_Staff].[Tensure].[All]" allUniqueName="[Table_Staff].[Tens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Table_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Count of Salary]" caption="Count of Salary" measure="1" displayFolder="" measureGroup="Table_Staff"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sure]" caption="Sum of Tens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sure]" caption="Average of Tens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K Ting" refreshedDate="45097.595975231481" backgroundQuery="1" createdVersion="8" refreshedVersion="8" minRefreshableVersion="3" recordCount="0" supportSubquery="1" supportAdvancedDrill="1" xr:uid="{65716033-E008-4D2F-B81A-4817711C7931}">
  <cacheSource type="external" connectionId="4"/>
  <cacheFields count="3">
    <cacheField name="[Table_Staff].[Date Joined (Month)].[Date Joined (Month)]" caption="Date Joined (Month)" numFmtId="0" hierarchy="11" level="1">
      <sharedItems containsNonDate="0" count="2">
        <s v="Feb"/>
        <s v="Apr"/>
      </sharedItems>
    </cacheField>
    <cacheField name="[Table_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2"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sure]" caption="Tensure" attribute="1" defaultMemberUniqueName="[Table_Staff].[Tensure].[All]" allUniqueName="[Table_Staff].[Tens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2" memberValueDatatype="130" unbalanced="0">
      <fieldsUsage count="2">
        <fieldUsage x="-1"/>
        <fieldUsage x="1"/>
      </fieldsUsage>
    </cacheHierarchy>
    <cacheHierarchy uniqueName="[Table_Staff].[Date Joined (Quarter)]" caption="Date Joined (Quarter)" attribute="1" defaultMemberUniqueName="[Table_Staff].[Date Joined (Quarter)].[All]" allUniqueName="[Table_Staff].[Date Joined (Quarter)].[All]" dimensionUniqueName="[Table_Staff]" displayFolder="" count="2" memberValueDatatype="130" unbalanced="0"/>
    <cacheHierarchy uniqueName="[Table_Staff].[Date Joined (Month)]" caption="Date Joined (Month)" attribute="1" defaultMemberUniqueName="[Table_Staff].[Date Joined (Month)].[All]" allUniqueName="[Table_Staff].[Date Joined (Month)].[All]" dimensionUniqueName="[Table_Staff]" displayFolder="" count="2" memberValueDatatype="130" unbalanced="0">
      <fieldsUsage count="2">
        <fieldUsage x="-1"/>
        <fieldUsage x="0"/>
      </fieldsUsage>
    </cacheHierarchy>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Table_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Count of Salary]" caption="Count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sure]" caption="Sum of Tens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sure]" caption="Average of Tens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K Ting" refreshedDate="45097.68994571759" backgroundQuery="1" createdVersion="8" refreshedVersion="8" minRefreshableVersion="3" recordCount="0" supportSubquery="1" supportAdvancedDrill="1" xr:uid="{11B792AA-80F5-4D1F-AAA4-A69F3E653DA6}">
  <cacheSource type="external" connectionId="4"/>
  <cacheFields count="6">
    <cacheField name="[Table_Staff].[Gender].[Gender]" caption="Gender" numFmtId="0" hierarchy="1" level="1">
      <sharedItems count="3">
        <s v="Female"/>
        <s v="Male"/>
        <s v="Others"/>
      </sharedItems>
    </cacheField>
    <cacheField name="[Measures].[Count of Name]" caption="Count of Name" numFmtId="0" hierarchy="17" level="32767"/>
    <cacheField name="[Measures].[Average of Age]" caption="Average of Age" numFmtId="0" hierarchy="18" level="32767"/>
    <cacheField name="[Measures].[Average of Salary]" caption="Average of Salary" numFmtId="0" hierarchy="21" level="32767"/>
    <cacheField name="[Measures].[Average of Tensure]" caption="Average of Tensure" numFmtId="0" hierarchy="23" level="32767"/>
    <cacheField name="[Table_Staff].[Country].[Country]" caption="Country" numFmtId="0" hierarchy="7" level="1">
      <sharedItems containsSemiMixedTypes="0" containsNonDate="0" containsString="0"/>
    </cacheField>
  </cacheFields>
  <cacheHierarchies count="24">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5"/>
      </fieldsUsage>
    </cacheHierarchy>
    <cacheHierarchy uniqueName="[Table_Staff].[Tensure]" caption="Tensure" attribute="1" defaultMemberUniqueName="[Table_Staff].[Tensure].[All]" allUniqueName="[Table_Staff].[Tens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Table_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Table_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Count of Salary]" caption="Count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sure]" caption="Sum of Tens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sure]" caption="Average of Tensure" measure="1" displayFolder="" measureGroup="Table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K Ting" refreshedDate="45097.59410115741" backgroundQuery="1" createdVersion="3" refreshedVersion="8" minRefreshableVersion="3" recordCount="0" supportSubquery="1" supportAdvancedDrill="1" xr:uid="{29D31B2B-FB7A-4CBC-936D-E053A027B820}">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sure]" caption="Tensure" attribute="1" defaultMemberUniqueName="[Table_Staff].[Tensure].[All]" allUniqueName="[Table_Staff].[Tens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Table_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Count of Salary]" caption="Count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sure]" caption="Sum of Tens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sure]" caption="Average of Tensure" measure="1" displayFolder="" measureGroup="Table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4841535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17BC1F-359A-419B-BF38-0A825EEA457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Salary" fld="1" subtotal="count" baseField="0" baseItem="0"/>
    <dataField name="Average of Salary" fld="2" subtotal="average" baseField="0" baseItem="0" numFmtId="165"/>
  </dataFields>
  <formats count="2">
    <format dxfId="20">
      <pivotArea outline="0" collapsedLevelsAreSubtotals="1" fieldPosition="0">
        <references count="1">
          <reference field="4294967294" count="1" selected="0">
            <x v="1"/>
          </reference>
        </references>
      </pivotArea>
    </format>
    <format dxfId="19">
      <pivotArea outline="0" collapsedLevelsAreSubtotals="1" fieldPosition="0">
        <references count="1">
          <reference field="4294967294" count="1" selected="0">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5D5982-7205-41D4-B6EE-88C56F78980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C7" firstHeaderRow="1" firstDataRow="1" firstDataCol="1"/>
  <pivotFields count="3">
    <pivotField axis="axisRow" allDrilled="1" subtotalTop="0" showAll="0" dataSourceSort="1" defaultSubtotal="0" defaultAttributeDrillState="1">
      <items count="2">
        <item x="0"/>
        <item x="1"/>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F34B90-084A-43DE-836C-DED6EE23D628}" name="PivotTable4" cacheId="34"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H43:L48" firstHeaderRow="1" firstDataRow="2" firstDataCol="1"/>
  <pivotFields count="6">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4">
    <i>
      <x/>
    </i>
    <i>
      <x v="1"/>
    </i>
    <i>
      <x v="2"/>
    </i>
    <i t="grand">
      <x/>
    </i>
  </colItems>
  <dataFields count="4">
    <dataField name="Count of Name" fld="1" subtotal="count" baseField="0" baseItem="0" numFmtId="2"/>
    <dataField name="Average of Age" fld="2" subtotal="average" baseField="0" baseItem="0"/>
    <dataField name="Average of Salary" fld="3" subtotal="average" baseField="0" baseItem="0"/>
    <dataField name="Average of Tenure" fld="4" subtotal="average" baseField="0" baseItem="0"/>
  </dataFields>
  <formats count="12">
    <format dxfId="1">
      <pivotArea outline="0" collapsedLevelsAreSubtotals="1" fieldPosition="0"/>
    </format>
    <format dxfId="2">
      <pivotArea outline="0" collapsedLevelsAreSubtotals="1" fieldPosition="0">
        <references count="1">
          <reference field="0" count="1" selected="0">
            <x v="0"/>
          </reference>
        </references>
      </pivotArea>
    </format>
    <format dxfId="3">
      <pivotArea collapsedLevelsAreSubtotals="1" fieldPosition="0">
        <references count="2">
          <reference field="4294967294" count="1">
            <x v="1"/>
          </reference>
          <reference field="0" count="1" selected="0">
            <x v="0"/>
          </reference>
        </references>
      </pivotArea>
    </format>
    <format dxfId="4">
      <pivotArea collapsedLevelsAreSubtotals="1" fieldPosition="0">
        <references count="2">
          <reference field="4294967294" count="1">
            <x v="3"/>
          </reference>
          <reference field="0" count="1" selected="0">
            <x v="0"/>
          </reference>
        </references>
      </pivotArea>
    </format>
    <format dxfId="5">
      <pivotArea collapsedLevelsAreSubtotals="1" fieldPosition="0">
        <references count="2">
          <reference field="4294967294" count="1">
            <x v="0"/>
          </reference>
          <reference field="0" count="1" selected="0">
            <x v="1"/>
          </reference>
        </references>
      </pivotArea>
    </format>
    <format dxfId="6">
      <pivotArea collapsedLevelsAreSubtotals="1" fieldPosition="0">
        <references count="2">
          <reference field="4294967294" count="1">
            <x v="1"/>
          </reference>
          <reference field="0" count="1" selected="0">
            <x v="1"/>
          </reference>
        </references>
      </pivotArea>
    </format>
    <format dxfId="7">
      <pivotArea collapsedLevelsAreSubtotals="1" fieldPosition="0">
        <references count="2">
          <reference field="4294967294" count="1">
            <x v="3"/>
          </reference>
          <reference field="0" count="1" selected="0">
            <x v="1"/>
          </reference>
        </references>
      </pivotArea>
    </format>
    <format dxfId="8">
      <pivotArea field="0" grandCol="1" collapsedLevelsAreSubtotals="1" axis="axisCol" fieldPosition="0">
        <references count="1">
          <reference field="4294967294" count="1">
            <x v="0"/>
          </reference>
        </references>
      </pivotArea>
    </format>
    <format dxfId="9">
      <pivotArea field="0" grandCol="1" collapsedLevelsAreSubtotals="1" axis="axisCol" fieldPosition="0">
        <references count="1">
          <reference field="4294967294" count="1">
            <x v="1"/>
          </reference>
        </references>
      </pivotArea>
    </format>
    <format dxfId="10">
      <pivotArea field="0" grandCol="1" collapsedLevelsAreSubtotals="1" axis="axisCol" fieldPosition="0">
        <references count="1">
          <reference field="4294967294" count="1">
            <x v="2"/>
          </reference>
        </references>
      </pivotArea>
    </format>
    <format dxfId="11">
      <pivotArea field="0" grandCol="1" collapsedLevelsAreSubtotals="1" axis="axisCol" fieldPosition="0">
        <references count="1">
          <reference field="4294967294" count="1">
            <x v="3"/>
          </reference>
        </references>
      </pivotArea>
    </format>
    <format dxfId="0">
      <pivotArea collapsedLevelsAreSubtotals="1" fieldPosition="0">
        <references count="1">
          <reference field="4294967294" count="1">
            <x v="2"/>
          </reference>
        </references>
      </pivotArea>
    </format>
  </formats>
  <pivotHierarchies count="24">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55B9A87-B82F-48D0-8E94-310CC8EFB7B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2F15838-51BE-4A31-9E2E-AA870BE1F2DE}" sourceName="[Table_Staff].[Country]">
  <pivotTables>
    <pivotTable tabId="4" name="PivotTable4"/>
  </pivotTables>
  <data>
    <olap pivotCacheId="1648415351">
      <levels count="2">
        <level uniqueName="[Table_Staff].[Country].[(All)]" sourceCaption="(All)" count="0"/>
        <level uniqueName="[Table_Staff].[Country].[Country]" sourceCaption="Country" count="2">
          <ranges>
            <range startItem="0">
              <i n="[Table_Staff].[Country].&amp;[IND]" c="IND"/>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C224D7B-3740-4F93-8E3F-F9C3ABE774FB}" cache="Slicer_Country" caption="Country" level="1" rowHeight="245835"/>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487DB7-94FA-4ACB-837E-94229D613491}" name="nz_staff" displayName="nz_staff" ref="C5:I106" totalsRowCount="1">
  <autoFilter ref="C5:I105" xr:uid="{72487DB7-94FA-4ACB-837E-94229D613491}"/>
  <tableColumns count="7">
    <tableColumn id="1" xr3:uid="{DB4CD21D-5ED0-4EF7-83EC-EE873CE0E6F6}" name="Name" totalsRowLabel="Total"/>
    <tableColumn id="2" xr3:uid="{83E5E69F-CFBC-4925-BEE7-FCA18AF4C34D}" name="Gender"/>
    <tableColumn id="3" xr3:uid="{761A835F-FA8A-403F-A9CB-5D9195E894D2}" name="Department"/>
    <tableColumn id="4" xr3:uid="{571C538E-1167-4B65-BA66-82831F2EE4D9}" name="Age" totalsRowFunction="average"/>
    <tableColumn id="5" xr3:uid="{1709AAA3-2C06-4CEC-B6DA-F857FD2B786B}" name="Date Joined" dataDxfId="32"/>
    <tableColumn id="6" xr3:uid="{2F208DFF-D228-425E-A241-8E5F283D2E29}" name="Salary" totalsRowFunction="average" dataDxfId="31" totalsRowDxfId="30"/>
    <tableColumn id="7" xr3:uid="{989B556F-C33C-441B-82D9-4EDAB5C6467B}" name="Rating" totalsRowFunction="coun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F0339E-55A6-4AC4-B937-C14ED866AEA4}" name="India_staff" displayName="India_staff" ref="B2:H95" totalsRowCount="1">
  <autoFilter ref="B2:H94" xr:uid="{DCF0339E-55A6-4AC4-B937-C14ED866AEA4}"/>
  <tableColumns count="7">
    <tableColumn id="1" xr3:uid="{4F118D5E-A389-448D-80F6-E084523BE393}" name="Name" totalsRowLabel="Total"/>
    <tableColumn id="2" xr3:uid="{060BC14E-9955-46C8-A0FE-441D8DFF69BA}" name="Gender"/>
    <tableColumn id="3" xr3:uid="{30AB08A7-B556-433F-8C56-64F318343765}" name="Age" totalsRowFunction="average"/>
    <tableColumn id="4" xr3:uid="{3AA4E2F6-6873-4BD1-ADCA-D88D89816705}" name="Rating"/>
    <tableColumn id="5" xr3:uid="{76ACA8F5-FC7D-4BE6-9B4C-4865EFCD4BA1}" name="Date Joined" dataDxfId="29"/>
    <tableColumn id="6" xr3:uid="{AEBDA5A7-7DC2-4FA5-885C-56ED9081F9F1}" name="Department"/>
    <tableColumn id="7" xr3:uid="{863A810A-123D-4C62-B34C-94C3EACB1A7E}" name="Salary" totalsRowFunction="sum"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AF82B3-8C6E-4B05-B73A-C2738329B895}" name="Staff" displayName="Staff" ref="A1:K184" tableType="queryTable" totalsRowShown="0" headerRowDxfId="27">
  <autoFilter ref="A1:K184" xr:uid="{77AF82B3-8C6E-4B05-B73A-C2738329B895}"/>
  <sortState xmlns:xlrd2="http://schemas.microsoft.com/office/spreadsheetml/2017/richdata2" ref="A2:K184">
    <sortCondition ref="A1:A184"/>
  </sortState>
  <tableColumns count="11">
    <tableColumn id="1" xr3:uid="{B07E930B-A03A-4CE5-BA22-E1FD34E0AC95}" uniqueName="1" name="Name" queryTableFieldId="1"/>
    <tableColumn id="2" xr3:uid="{80DDA96D-2606-4FE7-A20C-E76110CC5E0A}" uniqueName="2" name="Gender" queryTableFieldId="2"/>
    <tableColumn id="3" xr3:uid="{1D9C836B-463D-4BF1-9142-8B82BB626E99}" uniqueName="3" name="Age" queryTableFieldId="3" dataDxfId="26"/>
    <tableColumn id="4" xr3:uid="{EE19266C-3CD4-4DCD-AC6C-550D1BDFB305}" uniqueName="4" name="Rating" queryTableFieldId="4"/>
    <tableColumn id="5" xr3:uid="{06797CDE-876B-416F-999A-F2A9FCA1244A}" uniqueName="5" name="Date Joined" queryTableFieldId="5" dataDxfId="25"/>
    <tableColumn id="6" xr3:uid="{BDA58556-0748-4A51-89C5-94F1FFF0F371}" uniqueName="6" name="Department" queryTableFieldId="6"/>
    <tableColumn id="7" xr3:uid="{6F5BFF2F-A237-4AE3-9589-9C8CE1C728BC}" uniqueName="7" name="Salary" queryTableFieldId="7" dataDxfId="24"/>
    <tableColumn id="8" xr3:uid="{645E4A2A-4BE5-4195-ABE0-C4867E244ADB}" uniqueName="8" name="Country" queryTableFieldId="8"/>
    <tableColumn id="9" xr3:uid="{C90AEB77-5E90-41CF-88BA-7D2C3352BEA9}" uniqueName="9" name="Tensure" queryTableFieldId="9" dataDxfId="23">
      <calculatedColumnFormula>(TODAY()-Staff[[#This Row],[Date Joined]])/365</calculatedColumnFormula>
    </tableColumn>
    <tableColumn id="10" xr3:uid="{90097BCD-43AE-4CB3-B925-3D94FC3AEECF}" uniqueName="10" name="Bonus" queryTableFieldId="10" dataDxfId="22">
      <calculatedColumnFormula>ROUNDUP(IF(Staff[[#This Row],[Tensure]]&gt;=2,Staff[[#This Row],[Salary]]*0.03,Staff[[#This Row],[Salary]]*0.02),0)</calculatedColumnFormula>
    </tableColumn>
    <tableColumn id="11" xr3:uid="{B40257F0-3F24-47EB-89B5-B59F5A501C81}" uniqueName="11" name="Rating in Number" queryTableFieldId="11" dataDxfId="21">
      <calculatedColumnFormula>_xlfn.XLOOKUP(Staff[[#This Row],[Rating]],SalaryVsRating!$B$13:$B$17,SalaryVsRating!$C$13:$C$17,"")</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0446F3-4B0D-42E2-A1B1-189A59C54676}" name="Table1" displayName="Table1" ref="P2:R38" totalsRowShown="0" headerRowDxfId="18" headerRowBorderDxfId="17" tableBorderDxfId="16" totalsRowBorderDxfId="15">
  <autoFilter ref="P2:R38" xr:uid="{700446F3-4B0D-42E2-A1B1-189A59C54676}"/>
  <tableColumns count="3">
    <tableColumn id="1" xr3:uid="{049292DD-D58A-4261-8FC9-18EB93D488B8}" name="Month" dataDxfId="14">
      <calculatedColumnFormula>EDATE(DATE(2020,4,1),O3)</calculatedColumnFormula>
    </tableColumn>
    <tableColumn id="2" xr3:uid="{F260BAB7-B7E0-4CFE-A948-DF2E2A243EB9}" name="Headcount" dataDxfId="13">
      <calculatedColumnFormula>COUNTIFS(Staff[Date Joined],"&gt;="&amp;P3,Staff[Date Joined],"&lt;=" &amp;EOMONTH(P3,0))</calculatedColumnFormula>
    </tableColumn>
    <tableColumn id="3" xr3:uid="{AFF6E60D-15C4-4C2A-A8D2-E15222119540}" name="Running Total" dataDxfId="12">
      <calculatedColumnFormula>SUM($Q$3:Q3)</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94352-9381-4178-A636-F780509BFED2}">
  <dimension ref="A1:I106"/>
  <sheetViews>
    <sheetView showGridLines="0" workbookViewId="0">
      <selection activeCell="M12" sqref="M12"/>
    </sheetView>
  </sheetViews>
  <sheetFormatPr defaultRowHeight="14.6" x14ac:dyDescent="0.4"/>
  <cols>
    <col min="1" max="1" width="1.69140625" customWidth="1"/>
    <col min="2" max="2" width="3.69140625" customWidth="1"/>
    <col min="3" max="3" width="33.61328125" bestFit="1" customWidth="1"/>
    <col min="4" max="4" width="8.765625" customWidth="1"/>
    <col min="5" max="5" width="12.69140625" customWidth="1"/>
    <col min="6" max="6" width="9.921875" customWidth="1"/>
    <col min="7" max="7" width="12.3046875" customWidth="1"/>
    <col min="8" max="8" width="10.84375" bestFit="1" customWidth="1"/>
    <col min="9" max="9" width="13" bestFit="1" customWidth="1"/>
  </cols>
  <sheetData>
    <row r="1" spans="1:9" s="2" customFormat="1" ht="52.5" customHeight="1" x14ac:dyDescent="0.4">
      <c r="A1" s="1"/>
      <c r="C1" s="3" t="s">
        <v>0</v>
      </c>
    </row>
    <row r="5" spans="1:9" x14ac:dyDescent="0.4">
      <c r="C5" t="s">
        <v>1</v>
      </c>
      <c r="D5" t="s">
        <v>2</v>
      </c>
      <c r="E5" t="s">
        <v>3</v>
      </c>
      <c r="F5" t="s">
        <v>4</v>
      </c>
      <c r="G5" s="4" t="s">
        <v>5</v>
      </c>
      <c r="H5" t="s">
        <v>6</v>
      </c>
      <c r="I5" t="s">
        <v>7</v>
      </c>
    </row>
    <row r="6" spans="1:9" x14ac:dyDescent="0.4">
      <c r="C6" t="s">
        <v>8</v>
      </c>
      <c r="D6" t="s">
        <v>9</v>
      </c>
      <c r="E6" t="s">
        <v>10</v>
      </c>
      <c r="F6">
        <v>22</v>
      </c>
      <c r="G6" s="6">
        <v>44446</v>
      </c>
      <c r="H6" s="5">
        <v>112780</v>
      </c>
      <c r="I6" t="s">
        <v>11</v>
      </c>
    </row>
    <row r="7" spans="1:9" x14ac:dyDescent="0.4">
      <c r="C7" t="s">
        <v>12</v>
      </c>
      <c r="D7" t="s">
        <v>9</v>
      </c>
      <c r="E7" t="s">
        <v>13</v>
      </c>
      <c r="F7">
        <v>46</v>
      </c>
      <c r="G7" s="6">
        <v>44758</v>
      </c>
      <c r="H7" s="5">
        <v>70610</v>
      </c>
      <c r="I7" t="s">
        <v>14</v>
      </c>
    </row>
    <row r="8" spans="1:9" x14ac:dyDescent="0.4">
      <c r="C8" t="s">
        <v>15</v>
      </c>
      <c r="D8" t="s">
        <v>16</v>
      </c>
      <c r="E8" t="s">
        <v>10</v>
      </c>
      <c r="F8">
        <v>28</v>
      </c>
      <c r="G8" s="6">
        <v>44357</v>
      </c>
      <c r="H8" s="5">
        <v>53240</v>
      </c>
      <c r="I8" t="s">
        <v>14</v>
      </c>
    </row>
    <row r="9" spans="1:9" x14ac:dyDescent="0.4">
      <c r="C9" t="s">
        <v>17</v>
      </c>
      <c r="E9" t="s">
        <v>18</v>
      </c>
      <c r="F9">
        <v>37</v>
      </c>
      <c r="G9" s="6">
        <v>44146</v>
      </c>
      <c r="H9" s="5">
        <v>115440</v>
      </c>
      <c r="I9" t="s">
        <v>19</v>
      </c>
    </row>
    <row r="10" spans="1:9" x14ac:dyDescent="0.4">
      <c r="C10" t="s">
        <v>20</v>
      </c>
      <c r="D10" t="s">
        <v>9</v>
      </c>
      <c r="E10" t="s">
        <v>10</v>
      </c>
      <c r="F10">
        <v>32</v>
      </c>
      <c r="G10" s="6">
        <v>44465</v>
      </c>
      <c r="H10" s="5">
        <v>53540</v>
      </c>
      <c r="I10" t="s">
        <v>14</v>
      </c>
    </row>
    <row r="11" spans="1:9" x14ac:dyDescent="0.4">
      <c r="C11" t="s">
        <v>21</v>
      </c>
      <c r="D11" t="s">
        <v>16</v>
      </c>
      <c r="E11" t="s">
        <v>13</v>
      </c>
      <c r="F11">
        <v>30</v>
      </c>
      <c r="G11" s="6">
        <v>44861</v>
      </c>
      <c r="H11" s="5">
        <v>112570</v>
      </c>
      <c r="I11" t="s">
        <v>14</v>
      </c>
    </row>
    <row r="12" spans="1:9" x14ac:dyDescent="0.4">
      <c r="C12" t="s">
        <v>22</v>
      </c>
      <c r="D12" t="s">
        <v>9</v>
      </c>
      <c r="E12" t="s">
        <v>13</v>
      </c>
      <c r="F12">
        <v>33</v>
      </c>
      <c r="G12" s="6">
        <v>44701</v>
      </c>
      <c r="H12" s="5">
        <v>48530</v>
      </c>
      <c r="I12" t="s">
        <v>11</v>
      </c>
    </row>
    <row r="13" spans="1:9" x14ac:dyDescent="0.4">
      <c r="C13" t="s">
        <v>23</v>
      </c>
      <c r="D13" t="s">
        <v>16</v>
      </c>
      <c r="E13" t="s">
        <v>24</v>
      </c>
      <c r="F13">
        <v>24</v>
      </c>
      <c r="G13" s="6">
        <v>44148</v>
      </c>
      <c r="H13" s="5">
        <v>62780</v>
      </c>
      <c r="I13" t="s">
        <v>14</v>
      </c>
    </row>
    <row r="14" spans="1:9" x14ac:dyDescent="0.4">
      <c r="C14" t="s">
        <v>25</v>
      </c>
      <c r="D14" t="s">
        <v>9</v>
      </c>
      <c r="E14" t="s">
        <v>24</v>
      </c>
      <c r="F14">
        <v>33</v>
      </c>
      <c r="G14" s="6">
        <v>44509</v>
      </c>
      <c r="H14" s="5">
        <v>53870</v>
      </c>
      <c r="I14" t="s">
        <v>14</v>
      </c>
    </row>
    <row r="15" spans="1:9" x14ac:dyDescent="0.4">
      <c r="C15" t="s">
        <v>26</v>
      </c>
      <c r="D15" t="s">
        <v>16</v>
      </c>
      <c r="E15" t="s">
        <v>27</v>
      </c>
      <c r="F15">
        <v>27</v>
      </c>
      <c r="G15" s="6">
        <v>44122</v>
      </c>
      <c r="H15" s="5">
        <v>119110</v>
      </c>
      <c r="I15" t="s">
        <v>14</v>
      </c>
    </row>
    <row r="16" spans="1:9" x14ac:dyDescent="0.4">
      <c r="C16" t="s">
        <v>28</v>
      </c>
      <c r="D16" t="s">
        <v>9</v>
      </c>
      <c r="E16" t="s">
        <v>24</v>
      </c>
      <c r="F16">
        <v>29</v>
      </c>
      <c r="G16" s="6">
        <v>44180</v>
      </c>
      <c r="H16" s="5">
        <v>112110</v>
      </c>
      <c r="I16" t="s">
        <v>19</v>
      </c>
    </row>
    <row r="17" spans="3:9" x14ac:dyDescent="0.4">
      <c r="C17" t="s">
        <v>29</v>
      </c>
      <c r="D17" t="s">
        <v>9</v>
      </c>
      <c r="E17" t="s">
        <v>10</v>
      </c>
      <c r="F17">
        <v>25</v>
      </c>
      <c r="G17" s="6">
        <v>44383</v>
      </c>
      <c r="H17" s="5">
        <v>65700</v>
      </c>
      <c r="I17" t="s">
        <v>14</v>
      </c>
    </row>
    <row r="18" spans="3:9" x14ac:dyDescent="0.4">
      <c r="C18" t="s">
        <v>30</v>
      </c>
      <c r="D18" t="s">
        <v>9</v>
      </c>
      <c r="E18" t="s">
        <v>24</v>
      </c>
      <c r="F18">
        <v>37</v>
      </c>
      <c r="G18" s="6">
        <v>44701</v>
      </c>
      <c r="H18" s="5">
        <v>69070</v>
      </c>
      <c r="I18" t="s">
        <v>14</v>
      </c>
    </row>
    <row r="19" spans="3:9" x14ac:dyDescent="0.4">
      <c r="C19" t="s">
        <v>31</v>
      </c>
      <c r="D19" t="s">
        <v>9</v>
      </c>
      <c r="E19" t="s">
        <v>24</v>
      </c>
      <c r="F19">
        <v>20</v>
      </c>
      <c r="G19" s="6">
        <v>44459</v>
      </c>
      <c r="H19" s="5">
        <v>107700</v>
      </c>
      <c r="I19" t="s">
        <v>14</v>
      </c>
    </row>
    <row r="20" spans="3:9" x14ac:dyDescent="0.4">
      <c r="C20" t="s">
        <v>32</v>
      </c>
      <c r="D20" t="s">
        <v>16</v>
      </c>
      <c r="E20" t="s">
        <v>24</v>
      </c>
      <c r="F20">
        <v>32</v>
      </c>
      <c r="G20" s="6">
        <v>44354</v>
      </c>
      <c r="H20" s="5">
        <v>43840</v>
      </c>
      <c r="I20" t="s">
        <v>11</v>
      </c>
    </row>
    <row r="21" spans="3:9" x14ac:dyDescent="0.4">
      <c r="C21" t="s">
        <v>33</v>
      </c>
      <c r="D21" t="s">
        <v>9</v>
      </c>
      <c r="E21" t="s">
        <v>13</v>
      </c>
      <c r="F21">
        <v>40</v>
      </c>
      <c r="G21" s="6">
        <v>44263</v>
      </c>
      <c r="H21" s="5">
        <v>99750</v>
      </c>
      <c r="I21" t="s">
        <v>14</v>
      </c>
    </row>
    <row r="22" spans="3:9" x14ac:dyDescent="0.4">
      <c r="C22" t="s">
        <v>34</v>
      </c>
      <c r="D22" t="s">
        <v>9</v>
      </c>
      <c r="E22" t="s">
        <v>13</v>
      </c>
      <c r="F22">
        <v>21</v>
      </c>
      <c r="G22" s="6">
        <v>44104</v>
      </c>
      <c r="H22" s="5">
        <v>37920</v>
      </c>
      <c r="I22" t="s">
        <v>14</v>
      </c>
    </row>
    <row r="23" spans="3:9" x14ac:dyDescent="0.4">
      <c r="C23" t="s">
        <v>35</v>
      </c>
      <c r="D23" t="s">
        <v>9</v>
      </c>
      <c r="E23" t="s">
        <v>13</v>
      </c>
      <c r="F23">
        <v>21</v>
      </c>
      <c r="G23" s="6">
        <v>44762</v>
      </c>
      <c r="H23" s="5">
        <v>57090</v>
      </c>
      <c r="I23" t="s">
        <v>14</v>
      </c>
    </row>
    <row r="24" spans="3:9" x14ac:dyDescent="0.4">
      <c r="C24" t="s">
        <v>36</v>
      </c>
      <c r="D24" t="s">
        <v>16</v>
      </c>
      <c r="E24" t="s">
        <v>24</v>
      </c>
      <c r="F24">
        <v>31</v>
      </c>
      <c r="G24" s="6">
        <v>44145</v>
      </c>
      <c r="H24" s="5">
        <v>41980</v>
      </c>
      <c r="I24" t="s">
        <v>14</v>
      </c>
    </row>
    <row r="25" spans="3:9" x14ac:dyDescent="0.4">
      <c r="C25" t="s">
        <v>37</v>
      </c>
      <c r="D25" t="s">
        <v>9</v>
      </c>
      <c r="E25" t="s">
        <v>27</v>
      </c>
      <c r="F25">
        <v>21</v>
      </c>
      <c r="G25" s="6">
        <v>44242</v>
      </c>
      <c r="H25" s="5">
        <v>75880</v>
      </c>
      <c r="I25" t="s">
        <v>14</v>
      </c>
    </row>
    <row r="26" spans="3:9" x14ac:dyDescent="0.4">
      <c r="C26" t="s">
        <v>38</v>
      </c>
      <c r="D26" t="s">
        <v>16</v>
      </c>
      <c r="E26" t="s">
        <v>18</v>
      </c>
      <c r="F26">
        <v>34</v>
      </c>
      <c r="G26" s="6">
        <v>44653</v>
      </c>
      <c r="H26" s="5">
        <v>58940</v>
      </c>
      <c r="I26" t="s">
        <v>14</v>
      </c>
    </row>
    <row r="27" spans="3:9" x14ac:dyDescent="0.4">
      <c r="C27" t="s">
        <v>39</v>
      </c>
      <c r="D27" t="s">
        <v>16</v>
      </c>
      <c r="E27" t="s">
        <v>18</v>
      </c>
      <c r="F27">
        <v>30</v>
      </c>
      <c r="G27" s="6">
        <v>44389</v>
      </c>
      <c r="H27" s="5">
        <v>67910</v>
      </c>
      <c r="I27" t="s">
        <v>19</v>
      </c>
    </row>
    <row r="28" spans="3:9" x14ac:dyDescent="0.4">
      <c r="C28" t="s">
        <v>40</v>
      </c>
      <c r="D28" t="s">
        <v>16</v>
      </c>
      <c r="E28" t="s">
        <v>24</v>
      </c>
      <c r="F28">
        <v>31</v>
      </c>
      <c r="G28" s="6">
        <v>44663</v>
      </c>
      <c r="H28" s="5">
        <v>58100</v>
      </c>
      <c r="I28" t="s">
        <v>14</v>
      </c>
    </row>
    <row r="29" spans="3:9" x14ac:dyDescent="0.4">
      <c r="C29" t="s">
        <v>41</v>
      </c>
      <c r="D29" t="s">
        <v>9</v>
      </c>
      <c r="E29" t="s">
        <v>18</v>
      </c>
      <c r="F29">
        <v>27</v>
      </c>
      <c r="G29" s="6">
        <v>44567</v>
      </c>
      <c r="H29" s="5">
        <v>48980</v>
      </c>
      <c r="I29" t="s">
        <v>14</v>
      </c>
    </row>
    <row r="30" spans="3:9" x14ac:dyDescent="0.4">
      <c r="C30" t="s">
        <v>42</v>
      </c>
      <c r="E30" t="s">
        <v>18</v>
      </c>
      <c r="F30">
        <v>30</v>
      </c>
      <c r="G30" s="6">
        <v>44597</v>
      </c>
      <c r="H30" s="5">
        <v>64000</v>
      </c>
      <c r="I30" t="s">
        <v>14</v>
      </c>
    </row>
    <row r="31" spans="3:9" x14ac:dyDescent="0.4">
      <c r="C31" t="s">
        <v>43</v>
      </c>
      <c r="D31" t="s">
        <v>16</v>
      </c>
      <c r="E31" t="s">
        <v>13</v>
      </c>
      <c r="F31">
        <v>42</v>
      </c>
      <c r="G31" s="6">
        <v>44779</v>
      </c>
      <c r="H31" s="5">
        <v>75000</v>
      </c>
      <c r="I31" t="s">
        <v>44</v>
      </c>
    </row>
    <row r="32" spans="3:9" x14ac:dyDescent="0.4">
      <c r="C32" t="s">
        <v>45</v>
      </c>
      <c r="D32" t="s">
        <v>16</v>
      </c>
      <c r="E32" t="s">
        <v>24</v>
      </c>
      <c r="F32">
        <v>40</v>
      </c>
      <c r="G32" s="6">
        <v>44337</v>
      </c>
      <c r="H32" s="5">
        <v>87620</v>
      </c>
      <c r="I32" t="s">
        <v>14</v>
      </c>
    </row>
    <row r="33" spans="3:9" x14ac:dyDescent="0.4">
      <c r="C33" t="s">
        <v>46</v>
      </c>
      <c r="D33" t="s">
        <v>16</v>
      </c>
      <c r="E33" t="s">
        <v>24</v>
      </c>
      <c r="F33">
        <v>29</v>
      </c>
      <c r="G33" s="6">
        <v>44023</v>
      </c>
      <c r="H33" s="5">
        <v>34980</v>
      </c>
      <c r="I33" t="s">
        <v>14</v>
      </c>
    </row>
    <row r="34" spans="3:9" x14ac:dyDescent="0.4">
      <c r="C34" t="s">
        <v>47</v>
      </c>
      <c r="D34" t="s">
        <v>16</v>
      </c>
      <c r="E34" t="s">
        <v>18</v>
      </c>
      <c r="F34">
        <v>28</v>
      </c>
      <c r="G34" s="6">
        <v>44185</v>
      </c>
      <c r="H34" s="5">
        <v>75970</v>
      </c>
      <c r="I34" t="s">
        <v>14</v>
      </c>
    </row>
    <row r="35" spans="3:9" x14ac:dyDescent="0.4">
      <c r="C35" t="s">
        <v>48</v>
      </c>
      <c r="D35" t="s">
        <v>16</v>
      </c>
      <c r="E35" t="s">
        <v>18</v>
      </c>
      <c r="F35">
        <v>34</v>
      </c>
      <c r="G35" s="6">
        <v>44612</v>
      </c>
      <c r="H35" s="5">
        <v>60130</v>
      </c>
      <c r="I35" t="s">
        <v>14</v>
      </c>
    </row>
    <row r="36" spans="3:9" x14ac:dyDescent="0.4">
      <c r="C36" t="s">
        <v>49</v>
      </c>
      <c r="D36" t="s">
        <v>16</v>
      </c>
      <c r="E36" t="s">
        <v>24</v>
      </c>
      <c r="F36">
        <v>33</v>
      </c>
      <c r="G36" s="6">
        <v>44374</v>
      </c>
      <c r="H36" s="5">
        <v>75480</v>
      </c>
      <c r="I36" t="s">
        <v>50</v>
      </c>
    </row>
    <row r="37" spans="3:9" x14ac:dyDescent="0.4">
      <c r="C37" t="s">
        <v>51</v>
      </c>
      <c r="D37" t="s">
        <v>9</v>
      </c>
      <c r="E37" t="s">
        <v>13</v>
      </c>
      <c r="F37">
        <v>33</v>
      </c>
      <c r="G37" s="6">
        <v>44164</v>
      </c>
      <c r="H37" s="5">
        <v>115920</v>
      </c>
      <c r="I37" t="s">
        <v>14</v>
      </c>
    </row>
    <row r="38" spans="3:9" x14ac:dyDescent="0.4">
      <c r="C38" t="s">
        <v>52</v>
      </c>
      <c r="D38" t="s">
        <v>16</v>
      </c>
      <c r="E38" t="s">
        <v>10</v>
      </c>
      <c r="F38">
        <v>36</v>
      </c>
      <c r="G38" s="6">
        <v>44494</v>
      </c>
      <c r="H38" s="5">
        <v>78540</v>
      </c>
      <c r="I38" t="s">
        <v>14</v>
      </c>
    </row>
    <row r="39" spans="3:9" x14ac:dyDescent="0.4">
      <c r="C39" t="s">
        <v>53</v>
      </c>
      <c r="D39" t="s">
        <v>9</v>
      </c>
      <c r="E39" t="s">
        <v>13</v>
      </c>
      <c r="F39">
        <v>25</v>
      </c>
      <c r="G39" s="6">
        <v>44726</v>
      </c>
      <c r="H39" s="5">
        <v>109190</v>
      </c>
      <c r="I39" t="s">
        <v>11</v>
      </c>
    </row>
    <row r="40" spans="3:9" x14ac:dyDescent="0.4">
      <c r="C40" t="s">
        <v>54</v>
      </c>
      <c r="D40" t="s">
        <v>16</v>
      </c>
      <c r="E40" t="s">
        <v>10</v>
      </c>
      <c r="F40">
        <v>34</v>
      </c>
      <c r="G40" s="6">
        <v>44721</v>
      </c>
      <c r="H40" s="5">
        <v>49630</v>
      </c>
      <c r="I40" t="s">
        <v>19</v>
      </c>
    </row>
    <row r="41" spans="3:9" x14ac:dyDescent="0.4">
      <c r="C41" t="s">
        <v>55</v>
      </c>
      <c r="D41" t="s">
        <v>16</v>
      </c>
      <c r="E41" t="s">
        <v>13</v>
      </c>
      <c r="F41">
        <v>28</v>
      </c>
      <c r="G41" s="6">
        <v>44630</v>
      </c>
      <c r="H41" s="5">
        <v>99970</v>
      </c>
      <c r="I41" t="s">
        <v>14</v>
      </c>
    </row>
    <row r="42" spans="3:9" x14ac:dyDescent="0.4">
      <c r="C42" t="s">
        <v>56</v>
      </c>
      <c r="D42" t="s">
        <v>16</v>
      </c>
      <c r="E42" t="s">
        <v>24</v>
      </c>
      <c r="F42">
        <v>33</v>
      </c>
      <c r="G42" s="6">
        <v>44190</v>
      </c>
      <c r="H42" s="5">
        <v>96140</v>
      </c>
      <c r="I42" t="s">
        <v>14</v>
      </c>
    </row>
    <row r="43" spans="3:9" x14ac:dyDescent="0.4">
      <c r="C43" t="s">
        <v>57</v>
      </c>
      <c r="D43" t="s">
        <v>9</v>
      </c>
      <c r="E43" t="s">
        <v>13</v>
      </c>
      <c r="F43">
        <v>31</v>
      </c>
      <c r="G43" s="6">
        <v>44724</v>
      </c>
      <c r="H43" s="5">
        <v>103550</v>
      </c>
      <c r="I43" t="s">
        <v>14</v>
      </c>
    </row>
    <row r="44" spans="3:9" x14ac:dyDescent="0.4">
      <c r="C44" t="s">
        <v>58</v>
      </c>
      <c r="D44" t="s">
        <v>9</v>
      </c>
      <c r="E44" t="s">
        <v>24</v>
      </c>
      <c r="F44">
        <v>31</v>
      </c>
      <c r="G44" s="6">
        <v>44511</v>
      </c>
      <c r="H44" s="5">
        <v>48950</v>
      </c>
      <c r="I44" t="s">
        <v>14</v>
      </c>
    </row>
    <row r="45" spans="3:9" x14ac:dyDescent="0.4">
      <c r="C45" t="s">
        <v>59</v>
      </c>
      <c r="D45" t="s">
        <v>9</v>
      </c>
      <c r="E45" t="s">
        <v>18</v>
      </c>
      <c r="F45">
        <v>24</v>
      </c>
      <c r="G45" s="6">
        <v>44436</v>
      </c>
      <c r="H45" s="5">
        <v>52610</v>
      </c>
      <c r="I45" t="s">
        <v>19</v>
      </c>
    </row>
    <row r="46" spans="3:9" x14ac:dyDescent="0.4">
      <c r="C46" t="s">
        <v>60</v>
      </c>
      <c r="D46" t="s">
        <v>16</v>
      </c>
      <c r="E46" t="s">
        <v>13</v>
      </c>
      <c r="F46">
        <v>36</v>
      </c>
      <c r="G46" s="6">
        <v>44529</v>
      </c>
      <c r="H46" s="5">
        <v>78390</v>
      </c>
      <c r="I46" t="s">
        <v>14</v>
      </c>
    </row>
    <row r="47" spans="3:9" x14ac:dyDescent="0.4">
      <c r="C47" t="s">
        <v>61</v>
      </c>
      <c r="D47" t="s">
        <v>16</v>
      </c>
      <c r="E47" t="s">
        <v>18</v>
      </c>
      <c r="F47">
        <v>33</v>
      </c>
      <c r="G47" s="6">
        <v>44809</v>
      </c>
      <c r="H47" s="5">
        <v>86570</v>
      </c>
      <c r="I47" t="s">
        <v>14</v>
      </c>
    </row>
    <row r="48" spans="3:9" x14ac:dyDescent="0.4">
      <c r="C48" t="s">
        <v>62</v>
      </c>
      <c r="D48" t="s">
        <v>16</v>
      </c>
      <c r="E48" t="s">
        <v>24</v>
      </c>
      <c r="F48">
        <v>27</v>
      </c>
      <c r="G48" s="6">
        <v>44686</v>
      </c>
      <c r="H48" s="5">
        <v>83750</v>
      </c>
      <c r="I48" t="s">
        <v>14</v>
      </c>
    </row>
    <row r="49" spans="3:9" x14ac:dyDescent="0.4">
      <c r="C49" t="s">
        <v>63</v>
      </c>
      <c r="D49" t="s">
        <v>16</v>
      </c>
      <c r="E49" t="s">
        <v>18</v>
      </c>
      <c r="F49">
        <v>34</v>
      </c>
      <c r="G49" s="6">
        <v>44445</v>
      </c>
      <c r="H49" s="5">
        <v>92450</v>
      </c>
      <c r="I49" t="s">
        <v>14</v>
      </c>
    </row>
    <row r="50" spans="3:9" x14ac:dyDescent="0.4">
      <c r="C50" t="s">
        <v>64</v>
      </c>
      <c r="D50" t="s">
        <v>9</v>
      </c>
      <c r="E50" t="s">
        <v>24</v>
      </c>
      <c r="F50">
        <v>20</v>
      </c>
      <c r="G50" s="6">
        <v>44183</v>
      </c>
      <c r="H50" s="5">
        <v>112650</v>
      </c>
      <c r="I50" t="s">
        <v>14</v>
      </c>
    </row>
    <row r="51" spans="3:9" x14ac:dyDescent="0.4">
      <c r="C51" t="s">
        <v>65</v>
      </c>
      <c r="D51" t="s">
        <v>9</v>
      </c>
      <c r="E51" t="s">
        <v>13</v>
      </c>
      <c r="F51">
        <v>20</v>
      </c>
      <c r="G51" s="6">
        <v>44744</v>
      </c>
      <c r="H51" s="5">
        <v>79570</v>
      </c>
      <c r="I51" t="s">
        <v>14</v>
      </c>
    </row>
    <row r="52" spans="3:9" x14ac:dyDescent="0.4">
      <c r="C52" t="s">
        <v>66</v>
      </c>
      <c r="D52" t="s">
        <v>16</v>
      </c>
      <c r="E52" t="s">
        <v>10</v>
      </c>
      <c r="F52">
        <v>20</v>
      </c>
      <c r="G52" s="6">
        <v>44537</v>
      </c>
      <c r="H52" s="5">
        <v>68900</v>
      </c>
      <c r="I52" t="s">
        <v>19</v>
      </c>
    </row>
    <row r="53" spans="3:9" x14ac:dyDescent="0.4">
      <c r="C53" t="s">
        <v>67</v>
      </c>
      <c r="D53" t="s">
        <v>16</v>
      </c>
      <c r="E53" t="s">
        <v>24</v>
      </c>
      <c r="F53">
        <v>25</v>
      </c>
      <c r="G53" s="6">
        <v>44694</v>
      </c>
      <c r="H53" s="5">
        <v>80700</v>
      </c>
      <c r="I53" t="s">
        <v>11</v>
      </c>
    </row>
    <row r="54" spans="3:9" x14ac:dyDescent="0.4">
      <c r="C54" t="s">
        <v>68</v>
      </c>
      <c r="D54" t="s">
        <v>9</v>
      </c>
      <c r="E54" t="s">
        <v>13</v>
      </c>
      <c r="F54">
        <v>19</v>
      </c>
      <c r="G54" s="6">
        <v>44277</v>
      </c>
      <c r="H54" s="5">
        <v>58960</v>
      </c>
      <c r="I54" t="s">
        <v>14</v>
      </c>
    </row>
    <row r="55" spans="3:9" x14ac:dyDescent="0.4">
      <c r="C55" t="s">
        <v>69</v>
      </c>
      <c r="D55" t="s">
        <v>9</v>
      </c>
      <c r="E55" t="s">
        <v>24</v>
      </c>
      <c r="F55">
        <v>36</v>
      </c>
      <c r="G55" s="6">
        <v>44019</v>
      </c>
      <c r="H55" s="5">
        <v>118840</v>
      </c>
      <c r="I55" t="s">
        <v>14</v>
      </c>
    </row>
    <row r="56" spans="3:9" x14ac:dyDescent="0.4">
      <c r="C56" t="s">
        <v>70</v>
      </c>
      <c r="D56" t="s">
        <v>9</v>
      </c>
      <c r="E56" t="s">
        <v>18</v>
      </c>
      <c r="F56">
        <v>28</v>
      </c>
      <c r="G56" s="6">
        <v>44041</v>
      </c>
      <c r="H56" s="5">
        <v>48170</v>
      </c>
      <c r="I56" t="s">
        <v>11</v>
      </c>
    </row>
    <row r="57" spans="3:9" x14ac:dyDescent="0.4">
      <c r="C57" t="s">
        <v>71</v>
      </c>
      <c r="D57" t="s">
        <v>16</v>
      </c>
      <c r="E57" t="s">
        <v>27</v>
      </c>
      <c r="F57">
        <v>32</v>
      </c>
      <c r="G57" s="6">
        <v>44400</v>
      </c>
      <c r="H57" s="5">
        <v>45510</v>
      </c>
      <c r="I57" t="s">
        <v>14</v>
      </c>
    </row>
    <row r="58" spans="3:9" x14ac:dyDescent="0.4">
      <c r="C58" t="s">
        <v>64</v>
      </c>
      <c r="D58" t="s">
        <v>9</v>
      </c>
      <c r="E58" t="s">
        <v>13</v>
      </c>
      <c r="F58">
        <v>34</v>
      </c>
      <c r="G58" s="6">
        <v>44703</v>
      </c>
      <c r="H58" s="5">
        <v>112650</v>
      </c>
      <c r="I58" t="s">
        <v>14</v>
      </c>
    </row>
    <row r="59" spans="3:9" x14ac:dyDescent="0.4">
      <c r="C59" t="s">
        <v>72</v>
      </c>
      <c r="D59" t="s">
        <v>16</v>
      </c>
      <c r="E59" t="s">
        <v>13</v>
      </c>
      <c r="F59">
        <v>36</v>
      </c>
      <c r="G59" s="6">
        <v>44085</v>
      </c>
      <c r="H59" s="5">
        <v>114890</v>
      </c>
      <c r="I59" t="s">
        <v>14</v>
      </c>
    </row>
    <row r="60" spans="3:9" x14ac:dyDescent="0.4">
      <c r="C60" t="s">
        <v>73</v>
      </c>
      <c r="D60" t="s">
        <v>9</v>
      </c>
      <c r="E60" t="s">
        <v>24</v>
      </c>
      <c r="F60">
        <v>30</v>
      </c>
      <c r="G60" s="6">
        <v>44850</v>
      </c>
      <c r="H60" s="5">
        <v>69710</v>
      </c>
      <c r="I60" t="s">
        <v>14</v>
      </c>
    </row>
    <row r="61" spans="3:9" x14ac:dyDescent="0.4">
      <c r="C61" t="s">
        <v>74</v>
      </c>
      <c r="D61" t="s">
        <v>9</v>
      </c>
      <c r="E61" t="s">
        <v>18</v>
      </c>
      <c r="F61">
        <v>36</v>
      </c>
      <c r="G61" s="6">
        <v>44333</v>
      </c>
      <c r="H61" s="5">
        <v>71380</v>
      </c>
      <c r="I61" t="s">
        <v>14</v>
      </c>
    </row>
    <row r="62" spans="3:9" x14ac:dyDescent="0.4">
      <c r="C62" t="s">
        <v>75</v>
      </c>
      <c r="D62" t="s">
        <v>16</v>
      </c>
      <c r="E62" t="s">
        <v>10</v>
      </c>
      <c r="F62">
        <v>38</v>
      </c>
      <c r="G62" s="6">
        <v>44377</v>
      </c>
      <c r="H62" s="5">
        <v>109160</v>
      </c>
      <c r="I62" t="s">
        <v>44</v>
      </c>
    </row>
    <row r="63" spans="3:9" x14ac:dyDescent="0.4">
      <c r="C63" t="s">
        <v>76</v>
      </c>
      <c r="D63" t="s">
        <v>9</v>
      </c>
      <c r="E63" t="s">
        <v>13</v>
      </c>
      <c r="F63">
        <v>27</v>
      </c>
      <c r="G63" s="6">
        <v>44609</v>
      </c>
      <c r="H63" s="5">
        <v>113280</v>
      </c>
      <c r="I63" t="s">
        <v>50</v>
      </c>
    </row>
    <row r="64" spans="3:9" x14ac:dyDescent="0.4">
      <c r="C64" t="s">
        <v>77</v>
      </c>
      <c r="D64" t="s">
        <v>9</v>
      </c>
      <c r="E64" t="s">
        <v>24</v>
      </c>
      <c r="F64">
        <v>30</v>
      </c>
      <c r="G64" s="6">
        <v>44273</v>
      </c>
      <c r="H64" s="5">
        <v>69120</v>
      </c>
      <c r="I64" t="s">
        <v>14</v>
      </c>
    </row>
    <row r="65" spans="3:9" x14ac:dyDescent="0.4">
      <c r="C65" t="s">
        <v>78</v>
      </c>
      <c r="D65" t="s">
        <v>16</v>
      </c>
      <c r="E65" t="s">
        <v>27</v>
      </c>
      <c r="F65">
        <v>37</v>
      </c>
      <c r="G65" s="6">
        <v>44451</v>
      </c>
      <c r="H65" s="5">
        <v>118100</v>
      </c>
      <c r="I65" t="s">
        <v>14</v>
      </c>
    </row>
    <row r="66" spans="3:9" x14ac:dyDescent="0.4">
      <c r="C66" t="s">
        <v>79</v>
      </c>
      <c r="D66" t="s">
        <v>16</v>
      </c>
      <c r="E66" t="s">
        <v>13</v>
      </c>
      <c r="F66">
        <v>22</v>
      </c>
      <c r="G66" s="6">
        <v>44450</v>
      </c>
      <c r="H66" s="5">
        <v>76900</v>
      </c>
      <c r="I66" t="s">
        <v>11</v>
      </c>
    </row>
    <row r="67" spans="3:9" x14ac:dyDescent="0.4">
      <c r="C67" t="s">
        <v>80</v>
      </c>
      <c r="D67" t="s">
        <v>16</v>
      </c>
      <c r="E67" t="s">
        <v>24</v>
      </c>
      <c r="F67">
        <v>43</v>
      </c>
      <c r="G67" s="6">
        <v>45045</v>
      </c>
      <c r="H67" s="5">
        <v>114870</v>
      </c>
      <c r="I67" t="s">
        <v>14</v>
      </c>
    </row>
    <row r="68" spans="3:9" x14ac:dyDescent="0.4">
      <c r="C68" t="s">
        <v>81</v>
      </c>
      <c r="E68" t="s">
        <v>24</v>
      </c>
      <c r="F68">
        <v>32</v>
      </c>
      <c r="G68" s="6">
        <v>44774</v>
      </c>
      <c r="H68" s="5">
        <v>91310</v>
      </c>
      <c r="I68" t="s">
        <v>14</v>
      </c>
    </row>
    <row r="69" spans="3:9" x14ac:dyDescent="0.4">
      <c r="C69" t="s">
        <v>82</v>
      </c>
      <c r="D69" t="s">
        <v>16</v>
      </c>
      <c r="E69" t="s">
        <v>13</v>
      </c>
      <c r="F69">
        <v>28</v>
      </c>
      <c r="G69" s="6">
        <v>44486</v>
      </c>
      <c r="H69" s="5">
        <v>104770</v>
      </c>
      <c r="I69" t="s">
        <v>14</v>
      </c>
    </row>
    <row r="70" spans="3:9" x14ac:dyDescent="0.4">
      <c r="C70" t="s">
        <v>83</v>
      </c>
      <c r="D70" t="s">
        <v>9</v>
      </c>
      <c r="E70" t="s">
        <v>10</v>
      </c>
      <c r="F70">
        <v>27</v>
      </c>
      <c r="G70" s="6">
        <v>44134</v>
      </c>
      <c r="H70" s="5">
        <v>54970</v>
      </c>
      <c r="I70" t="s">
        <v>14</v>
      </c>
    </row>
    <row r="71" spans="3:9" x14ac:dyDescent="0.4">
      <c r="C71" t="s">
        <v>84</v>
      </c>
      <c r="E71" t="s">
        <v>24</v>
      </c>
      <c r="F71">
        <v>26</v>
      </c>
      <c r="G71" s="6">
        <v>44271</v>
      </c>
      <c r="H71" s="5">
        <v>90700</v>
      </c>
      <c r="I71" t="s">
        <v>11</v>
      </c>
    </row>
    <row r="72" spans="3:9" x14ac:dyDescent="0.4">
      <c r="C72" t="s">
        <v>85</v>
      </c>
      <c r="D72" t="s">
        <v>16</v>
      </c>
      <c r="E72" t="s">
        <v>10</v>
      </c>
      <c r="F72">
        <v>38</v>
      </c>
      <c r="G72" s="6">
        <v>44329</v>
      </c>
      <c r="H72" s="5">
        <v>56870</v>
      </c>
      <c r="I72" t="s">
        <v>11</v>
      </c>
    </row>
    <row r="73" spans="3:9" x14ac:dyDescent="0.4">
      <c r="C73" t="s">
        <v>86</v>
      </c>
      <c r="D73" t="s">
        <v>16</v>
      </c>
      <c r="E73" t="s">
        <v>10</v>
      </c>
      <c r="F73">
        <v>25</v>
      </c>
      <c r="G73" s="6">
        <v>44205</v>
      </c>
      <c r="H73" s="5">
        <v>92700</v>
      </c>
      <c r="I73" t="s">
        <v>14</v>
      </c>
    </row>
    <row r="74" spans="3:9" x14ac:dyDescent="0.4">
      <c r="C74" t="s">
        <v>87</v>
      </c>
      <c r="D74" t="s">
        <v>16</v>
      </c>
      <c r="E74" t="s">
        <v>18</v>
      </c>
      <c r="F74">
        <v>21</v>
      </c>
      <c r="G74" s="6">
        <v>44317</v>
      </c>
      <c r="H74" s="5">
        <v>65920</v>
      </c>
      <c r="I74" t="s">
        <v>14</v>
      </c>
    </row>
    <row r="75" spans="3:9" x14ac:dyDescent="0.4">
      <c r="C75" t="s">
        <v>88</v>
      </c>
      <c r="D75" t="s">
        <v>9</v>
      </c>
      <c r="E75" t="s">
        <v>13</v>
      </c>
      <c r="F75">
        <v>26</v>
      </c>
      <c r="G75" s="6">
        <v>44225</v>
      </c>
      <c r="H75" s="5">
        <v>47360</v>
      </c>
      <c r="I75" t="s">
        <v>14</v>
      </c>
    </row>
    <row r="76" spans="3:9" x14ac:dyDescent="0.4">
      <c r="C76" t="s">
        <v>89</v>
      </c>
      <c r="D76" t="s">
        <v>9</v>
      </c>
      <c r="E76" t="s">
        <v>13</v>
      </c>
      <c r="F76">
        <v>30</v>
      </c>
      <c r="G76" s="6">
        <v>44666</v>
      </c>
      <c r="H76" s="5">
        <v>60570</v>
      </c>
      <c r="I76" t="s">
        <v>14</v>
      </c>
    </row>
    <row r="77" spans="3:9" x14ac:dyDescent="0.4">
      <c r="C77" t="s">
        <v>90</v>
      </c>
      <c r="D77" t="s">
        <v>16</v>
      </c>
      <c r="E77" t="s">
        <v>13</v>
      </c>
      <c r="F77">
        <v>28</v>
      </c>
      <c r="G77" s="6">
        <v>44649</v>
      </c>
      <c r="H77" s="5">
        <v>104120</v>
      </c>
      <c r="I77" t="s">
        <v>14</v>
      </c>
    </row>
    <row r="78" spans="3:9" x14ac:dyDescent="0.4">
      <c r="C78" t="s">
        <v>91</v>
      </c>
      <c r="D78" t="s">
        <v>9</v>
      </c>
      <c r="E78" t="s">
        <v>24</v>
      </c>
      <c r="F78">
        <v>37</v>
      </c>
      <c r="G78" s="6">
        <v>44338</v>
      </c>
      <c r="H78" s="5">
        <v>88050</v>
      </c>
      <c r="I78" t="s">
        <v>19</v>
      </c>
    </row>
    <row r="79" spans="3:9" x14ac:dyDescent="0.4">
      <c r="C79" t="s">
        <v>92</v>
      </c>
      <c r="D79" t="s">
        <v>9</v>
      </c>
      <c r="E79" t="s">
        <v>24</v>
      </c>
      <c r="F79">
        <v>24</v>
      </c>
      <c r="G79" s="6">
        <v>44686</v>
      </c>
      <c r="H79" s="5">
        <v>100420</v>
      </c>
      <c r="I79" t="s">
        <v>14</v>
      </c>
    </row>
    <row r="80" spans="3:9" x14ac:dyDescent="0.4">
      <c r="C80" t="s">
        <v>93</v>
      </c>
      <c r="D80" t="s">
        <v>16</v>
      </c>
      <c r="E80" t="s">
        <v>13</v>
      </c>
      <c r="F80">
        <v>30</v>
      </c>
      <c r="G80" s="6">
        <v>44850</v>
      </c>
      <c r="H80" s="5">
        <v>114180</v>
      </c>
      <c r="I80" t="s">
        <v>14</v>
      </c>
    </row>
    <row r="81" spans="3:9" x14ac:dyDescent="0.4">
      <c r="C81" t="s">
        <v>94</v>
      </c>
      <c r="D81" t="s">
        <v>16</v>
      </c>
      <c r="E81" t="s">
        <v>24</v>
      </c>
      <c r="F81">
        <v>21</v>
      </c>
      <c r="G81" s="6">
        <v>44678</v>
      </c>
      <c r="H81" s="5">
        <v>33920</v>
      </c>
      <c r="I81" t="s">
        <v>14</v>
      </c>
    </row>
    <row r="82" spans="3:9" x14ac:dyDescent="0.4">
      <c r="C82" t="s">
        <v>95</v>
      </c>
      <c r="D82" t="s">
        <v>9</v>
      </c>
      <c r="E82" t="s">
        <v>13</v>
      </c>
      <c r="F82">
        <v>23</v>
      </c>
      <c r="G82" s="6">
        <v>44440</v>
      </c>
      <c r="H82" s="5">
        <v>106460</v>
      </c>
      <c r="I82" t="s">
        <v>14</v>
      </c>
    </row>
    <row r="83" spans="3:9" x14ac:dyDescent="0.4">
      <c r="C83" t="s">
        <v>96</v>
      </c>
      <c r="D83" t="s">
        <v>9</v>
      </c>
      <c r="E83" t="s">
        <v>13</v>
      </c>
      <c r="F83">
        <v>35</v>
      </c>
      <c r="G83" s="6">
        <v>44727</v>
      </c>
      <c r="H83" s="5">
        <v>40400</v>
      </c>
      <c r="I83" t="s">
        <v>14</v>
      </c>
    </row>
    <row r="84" spans="3:9" x14ac:dyDescent="0.4">
      <c r="C84" t="s">
        <v>97</v>
      </c>
      <c r="D84" t="s">
        <v>9</v>
      </c>
      <c r="E84" t="s">
        <v>18</v>
      </c>
      <c r="F84">
        <v>27</v>
      </c>
      <c r="G84" s="6">
        <v>44236</v>
      </c>
      <c r="H84" s="5">
        <v>91650</v>
      </c>
      <c r="I84" t="s">
        <v>11</v>
      </c>
    </row>
    <row r="85" spans="3:9" x14ac:dyDescent="0.4">
      <c r="C85" t="s">
        <v>98</v>
      </c>
      <c r="D85" t="s">
        <v>9</v>
      </c>
      <c r="E85" t="s">
        <v>10</v>
      </c>
      <c r="F85">
        <v>43</v>
      </c>
      <c r="G85" s="6">
        <v>44620</v>
      </c>
      <c r="H85" s="5">
        <v>36040</v>
      </c>
      <c r="I85" t="s">
        <v>14</v>
      </c>
    </row>
    <row r="86" spans="3:9" x14ac:dyDescent="0.4">
      <c r="C86" t="s">
        <v>99</v>
      </c>
      <c r="D86" t="s">
        <v>16</v>
      </c>
      <c r="E86" t="s">
        <v>24</v>
      </c>
      <c r="F86">
        <v>40</v>
      </c>
      <c r="G86" s="6">
        <v>44381</v>
      </c>
      <c r="H86" s="5">
        <v>104410</v>
      </c>
      <c r="I86" t="s">
        <v>14</v>
      </c>
    </row>
    <row r="87" spans="3:9" x14ac:dyDescent="0.4">
      <c r="C87" t="s">
        <v>100</v>
      </c>
      <c r="D87" t="s">
        <v>9</v>
      </c>
      <c r="E87" t="s">
        <v>18</v>
      </c>
      <c r="F87">
        <v>30</v>
      </c>
      <c r="G87" s="6">
        <v>44606</v>
      </c>
      <c r="H87" s="5">
        <v>96800</v>
      </c>
      <c r="I87" t="s">
        <v>14</v>
      </c>
    </row>
    <row r="88" spans="3:9" x14ac:dyDescent="0.4">
      <c r="C88" t="s">
        <v>101</v>
      </c>
      <c r="D88" t="s">
        <v>16</v>
      </c>
      <c r="E88" t="s">
        <v>18</v>
      </c>
      <c r="F88">
        <v>34</v>
      </c>
      <c r="G88" s="6">
        <v>44459</v>
      </c>
      <c r="H88" s="5">
        <v>85000</v>
      </c>
      <c r="I88" t="s">
        <v>14</v>
      </c>
    </row>
    <row r="89" spans="3:9" x14ac:dyDescent="0.4">
      <c r="C89" t="s">
        <v>102</v>
      </c>
      <c r="D89" t="s">
        <v>9</v>
      </c>
      <c r="E89" t="s">
        <v>10</v>
      </c>
      <c r="F89">
        <v>28</v>
      </c>
      <c r="G89" s="6">
        <v>44820</v>
      </c>
      <c r="H89" s="5">
        <v>43510</v>
      </c>
      <c r="I89" t="s">
        <v>50</v>
      </c>
    </row>
    <row r="90" spans="3:9" x14ac:dyDescent="0.4">
      <c r="C90" t="s">
        <v>103</v>
      </c>
      <c r="D90" t="s">
        <v>9</v>
      </c>
      <c r="E90" t="s">
        <v>18</v>
      </c>
      <c r="F90">
        <v>33</v>
      </c>
      <c r="G90" s="6">
        <v>44243</v>
      </c>
      <c r="H90" s="5">
        <v>59430</v>
      </c>
      <c r="I90" t="s">
        <v>14</v>
      </c>
    </row>
    <row r="91" spans="3:9" x14ac:dyDescent="0.4">
      <c r="C91" t="s">
        <v>104</v>
      </c>
      <c r="D91" t="s">
        <v>16</v>
      </c>
      <c r="E91" t="s">
        <v>18</v>
      </c>
      <c r="F91">
        <v>33</v>
      </c>
      <c r="G91" s="6">
        <v>44067</v>
      </c>
      <c r="H91" s="5">
        <v>65360</v>
      </c>
      <c r="I91" t="s">
        <v>14</v>
      </c>
    </row>
    <row r="92" spans="3:9" x14ac:dyDescent="0.4">
      <c r="C92" t="s">
        <v>105</v>
      </c>
      <c r="D92" t="s">
        <v>16</v>
      </c>
      <c r="E92" t="s">
        <v>13</v>
      </c>
      <c r="F92">
        <v>32</v>
      </c>
      <c r="G92" s="6">
        <v>44611</v>
      </c>
      <c r="H92" s="5">
        <v>41570</v>
      </c>
      <c r="I92" t="s">
        <v>14</v>
      </c>
    </row>
    <row r="93" spans="3:9" x14ac:dyDescent="0.4">
      <c r="C93" t="s">
        <v>106</v>
      </c>
      <c r="D93" t="s">
        <v>16</v>
      </c>
      <c r="E93" t="s">
        <v>24</v>
      </c>
      <c r="F93">
        <v>33</v>
      </c>
      <c r="G93" s="6">
        <v>44312</v>
      </c>
      <c r="H93" s="5">
        <v>75280</v>
      </c>
      <c r="I93" t="s">
        <v>14</v>
      </c>
    </row>
    <row r="94" spans="3:9" x14ac:dyDescent="0.4">
      <c r="C94" t="s">
        <v>107</v>
      </c>
      <c r="D94" t="s">
        <v>9</v>
      </c>
      <c r="E94" t="s">
        <v>10</v>
      </c>
      <c r="F94">
        <v>33</v>
      </c>
      <c r="G94" s="6">
        <v>44385</v>
      </c>
      <c r="H94" s="5">
        <v>74550</v>
      </c>
      <c r="I94" t="s">
        <v>14</v>
      </c>
    </row>
    <row r="95" spans="3:9" x14ac:dyDescent="0.4">
      <c r="C95" t="s">
        <v>108</v>
      </c>
      <c r="D95" t="s">
        <v>9</v>
      </c>
      <c r="E95" t="s">
        <v>13</v>
      </c>
      <c r="F95">
        <v>30</v>
      </c>
      <c r="G95" s="6">
        <v>44701</v>
      </c>
      <c r="H95" s="5">
        <v>67950</v>
      </c>
      <c r="I95" t="s">
        <v>14</v>
      </c>
    </row>
    <row r="96" spans="3:9" x14ac:dyDescent="0.4">
      <c r="C96" t="s">
        <v>109</v>
      </c>
      <c r="D96" t="s">
        <v>9</v>
      </c>
      <c r="E96" t="s">
        <v>18</v>
      </c>
      <c r="F96">
        <v>42</v>
      </c>
      <c r="G96" s="6">
        <v>44731</v>
      </c>
      <c r="H96" s="5">
        <v>70270</v>
      </c>
      <c r="I96" t="s">
        <v>19</v>
      </c>
    </row>
    <row r="97" spans="3:9" x14ac:dyDescent="0.4">
      <c r="C97" t="s">
        <v>110</v>
      </c>
      <c r="D97" t="s">
        <v>9</v>
      </c>
      <c r="E97" t="s">
        <v>13</v>
      </c>
      <c r="F97">
        <v>26</v>
      </c>
      <c r="G97" s="6">
        <v>44411</v>
      </c>
      <c r="H97" s="5">
        <v>53540</v>
      </c>
      <c r="I97" t="s">
        <v>14</v>
      </c>
    </row>
    <row r="98" spans="3:9" x14ac:dyDescent="0.4">
      <c r="C98" t="s">
        <v>8</v>
      </c>
      <c r="D98" t="s">
        <v>9</v>
      </c>
      <c r="E98" t="s">
        <v>10</v>
      </c>
      <c r="F98">
        <v>22</v>
      </c>
      <c r="G98" s="6">
        <v>44446</v>
      </c>
      <c r="H98" s="5">
        <v>112780</v>
      </c>
      <c r="I98" t="s">
        <v>11</v>
      </c>
    </row>
    <row r="99" spans="3:9" x14ac:dyDescent="0.4">
      <c r="C99" t="s">
        <v>12</v>
      </c>
      <c r="D99" t="s">
        <v>9</v>
      </c>
      <c r="E99" t="s">
        <v>13</v>
      </c>
      <c r="F99">
        <v>46</v>
      </c>
      <c r="G99" s="6">
        <v>44758</v>
      </c>
      <c r="H99" s="5">
        <v>70610</v>
      </c>
      <c r="I99" t="s">
        <v>14</v>
      </c>
    </row>
    <row r="100" spans="3:9" x14ac:dyDescent="0.4">
      <c r="C100" t="s">
        <v>15</v>
      </c>
      <c r="D100" t="s">
        <v>16</v>
      </c>
      <c r="E100" t="s">
        <v>10</v>
      </c>
      <c r="F100">
        <v>28</v>
      </c>
      <c r="G100" s="6">
        <v>44357</v>
      </c>
      <c r="H100" s="5">
        <v>53240</v>
      </c>
      <c r="I100" t="s">
        <v>14</v>
      </c>
    </row>
    <row r="101" spans="3:9" x14ac:dyDescent="0.4">
      <c r="C101" t="s">
        <v>17</v>
      </c>
      <c r="E101" t="s">
        <v>18</v>
      </c>
      <c r="F101">
        <v>37</v>
      </c>
      <c r="G101" s="6">
        <v>44146</v>
      </c>
      <c r="H101" s="5">
        <v>115440</v>
      </c>
      <c r="I101" t="s">
        <v>19</v>
      </c>
    </row>
    <row r="102" spans="3:9" x14ac:dyDescent="0.4">
      <c r="C102" t="s">
        <v>20</v>
      </c>
      <c r="D102" t="s">
        <v>9</v>
      </c>
      <c r="E102" t="s">
        <v>10</v>
      </c>
      <c r="F102">
        <v>32</v>
      </c>
      <c r="G102" s="6">
        <v>44465</v>
      </c>
      <c r="H102" s="5">
        <v>53540</v>
      </c>
      <c r="I102" t="s">
        <v>14</v>
      </c>
    </row>
    <row r="103" spans="3:9" x14ac:dyDescent="0.4">
      <c r="C103" t="s">
        <v>21</v>
      </c>
      <c r="D103" t="s">
        <v>16</v>
      </c>
      <c r="E103" t="s">
        <v>13</v>
      </c>
      <c r="F103">
        <v>30</v>
      </c>
      <c r="G103" s="6">
        <v>44861</v>
      </c>
      <c r="H103" s="5">
        <v>112570</v>
      </c>
      <c r="I103" t="s">
        <v>14</v>
      </c>
    </row>
    <row r="104" spans="3:9" x14ac:dyDescent="0.4">
      <c r="C104" t="s">
        <v>22</v>
      </c>
      <c r="D104" t="s">
        <v>9</v>
      </c>
      <c r="E104" t="s">
        <v>13</v>
      </c>
      <c r="F104">
        <v>33</v>
      </c>
      <c r="G104" s="6">
        <v>44701</v>
      </c>
      <c r="H104" s="5">
        <v>48530</v>
      </c>
      <c r="I104" t="s">
        <v>11</v>
      </c>
    </row>
    <row r="105" spans="3:9" x14ac:dyDescent="0.4">
      <c r="C105" t="s">
        <v>23</v>
      </c>
      <c r="D105" t="s">
        <v>16</v>
      </c>
      <c r="E105" t="s">
        <v>24</v>
      </c>
      <c r="F105">
        <v>24</v>
      </c>
      <c r="G105" s="6">
        <v>44148</v>
      </c>
      <c r="H105" s="5">
        <v>62780</v>
      </c>
      <c r="I105" t="s">
        <v>14</v>
      </c>
    </row>
    <row r="106" spans="3:9" x14ac:dyDescent="0.4">
      <c r="C106" t="s">
        <v>203</v>
      </c>
      <c r="F106">
        <f>SUBTOTAL(101,nz_staff[Age])</f>
        <v>30.52</v>
      </c>
      <c r="H106" s="5">
        <f>SUBTOTAL(101,nz_staff[Salary])</f>
        <v>77472.100000000006</v>
      </c>
      <c r="I106">
        <f>SUBTOTAL(103,nz_staff[Rating])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502C-B750-4835-BA2E-BC9DDD7D0FA8}">
  <dimension ref="B2:H95"/>
  <sheetViews>
    <sheetView workbookViewId="0">
      <selection activeCell="K12" sqref="K12"/>
    </sheetView>
  </sheetViews>
  <sheetFormatPr defaultColWidth="9.07421875" defaultRowHeight="14.6" x14ac:dyDescent="0.4"/>
  <cols>
    <col min="2" max="2" width="27.84375" bestFit="1" customWidth="1"/>
    <col min="3" max="3" width="8.765625" customWidth="1"/>
    <col min="4" max="4" width="5.765625" customWidth="1"/>
    <col min="5" max="5" width="13" bestFit="1" customWidth="1"/>
    <col min="6" max="6" width="12.3046875" customWidth="1"/>
    <col min="7" max="7" width="12.69140625" customWidth="1"/>
    <col min="8" max="8" width="12.4609375" bestFit="1" customWidth="1"/>
  </cols>
  <sheetData>
    <row r="2" spans="2:8" x14ac:dyDescent="0.4">
      <c r="B2" t="s">
        <v>1</v>
      </c>
      <c r="C2" t="s">
        <v>2</v>
      </c>
      <c r="D2" t="s">
        <v>4</v>
      </c>
      <c r="E2" t="s">
        <v>7</v>
      </c>
      <c r="F2" t="s">
        <v>5</v>
      </c>
      <c r="G2" t="s">
        <v>3</v>
      </c>
      <c r="H2" t="s">
        <v>6</v>
      </c>
    </row>
    <row r="3" spans="2:8" x14ac:dyDescent="0.4">
      <c r="B3" t="s">
        <v>111</v>
      </c>
      <c r="C3" t="s">
        <v>9</v>
      </c>
      <c r="D3">
        <v>20</v>
      </c>
      <c r="E3" t="s">
        <v>14</v>
      </c>
      <c r="F3" s="4">
        <v>44122</v>
      </c>
      <c r="G3" t="s">
        <v>24</v>
      </c>
      <c r="H3" s="5">
        <v>112650</v>
      </c>
    </row>
    <row r="4" spans="2:8" x14ac:dyDescent="0.4">
      <c r="B4" t="s">
        <v>112</v>
      </c>
      <c r="C4" t="s">
        <v>16</v>
      </c>
      <c r="D4">
        <v>32</v>
      </c>
      <c r="E4" t="s">
        <v>11</v>
      </c>
      <c r="F4" s="4">
        <v>44293</v>
      </c>
      <c r="G4" t="s">
        <v>24</v>
      </c>
      <c r="H4" s="5">
        <v>43840</v>
      </c>
    </row>
    <row r="5" spans="2:8" x14ac:dyDescent="0.4">
      <c r="B5" t="s">
        <v>113</v>
      </c>
      <c r="C5" t="s">
        <v>9</v>
      </c>
      <c r="D5">
        <v>31</v>
      </c>
      <c r="E5" t="s">
        <v>14</v>
      </c>
      <c r="F5" s="4">
        <v>44663</v>
      </c>
      <c r="G5" t="s">
        <v>13</v>
      </c>
      <c r="H5" s="5">
        <v>103550</v>
      </c>
    </row>
    <row r="6" spans="2:8" x14ac:dyDescent="0.4">
      <c r="B6" t="s">
        <v>114</v>
      </c>
      <c r="C6" t="s">
        <v>16</v>
      </c>
      <c r="D6">
        <v>32</v>
      </c>
      <c r="E6" t="s">
        <v>14</v>
      </c>
      <c r="F6" s="4">
        <v>44339</v>
      </c>
      <c r="G6" t="s">
        <v>27</v>
      </c>
      <c r="H6" s="5">
        <v>45510</v>
      </c>
    </row>
    <row r="7" spans="2:8" x14ac:dyDescent="0.4">
      <c r="B7" t="s">
        <v>115</v>
      </c>
      <c r="D7">
        <v>37</v>
      </c>
      <c r="E7" t="s">
        <v>19</v>
      </c>
      <c r="F7" s="4">
        <v>44085</v>
      </c>
      <c r="G7" t="s">
        <v>18</v>
      </c>
      <c r="H7" s="5">
        <v>115440</v>
      </c>
    </row>
    <row r="8" spans="2:8" x14ac:dyDescent="0.4">
      <c r="B8" t="s">
        <v>116</v>
      </c>
      <c r="C8" t="s">
        <v>16</v>
      </c>
      <c r="D8">
        <v>38</v>
      </c>
      <c r="E8" t="s">
        <v>11</v>
      </c>
      <c r="F8" s="4">
        <v>44268</v>
      </c>
      <c r="G8" t="s">
        <v>10</v>
      </c>
      <c r="H8" s="5">
        <v>56870</v>
      </c>
    </row>
    <row r="9" spans="2:8" x14ac:dyDescent="0.4">
      <c r="B9" t="s">
        <v>117</v>
      </c>
      <c r="C9" t="s">
        <v>16</v>
      </c>
      <c r="D9">
        <v>25</v>
      </c>
      <c r="E9" t="s">
        <v>14</v>
      </c>
      <c r="F9" s="4">
        <v>44144</v>
      </c>
      <c r="G9" t="s">
        <v>10</v>
      </c>
      <c r="H9" s="5">
        <v>92700</v>
      </c>
    </row>
    <row r="10" spans="2:8" x14ac:dyDescent="0.4">
      <c r="B10" t="s">
        <v>118</v>
      </c>
      <c r="D10">
        <v>32</v>
      </c>
      <c r="E10" t="s">
        <v>14</v>
      </c>
      <c r="F10" s="4">
        <v>44713</v>
      </c>
      <c r="G10" t="s">
        <v>24</v>
      </c>
      <c r="H10" s="5">
        <v>91310</v>
      </c>
    </row>
    <row r="11" spans="2:8" x14ac:dyDescent="0.4">
      <c r="B11" t="s">
        <v>119</v>
      </c>
      <c r="C11" t="s">
        <v>9</v>
      </c>
      <c r="D11">
        <v>33</v>
      </c>
      <c r="E11" t="s">
        <v>14</v>
      </c>
      <c r="F11" s="4">
        <v>44324</v>
      </c>
      <c r="G11" t="s">
        <v>10</v>
      </c>
      <c r="H11" s="5">
        <v>74550</v>
      </c>
    </row>
    <row r="12" spans="2:8" x14ac:dyDescent="0.4">
      <c r="B12" t="s">
        <v>120</v>
      </c>
      <c r="C12" t="s">
        <v>9</v>
      </c>
      <c r="D12">
        <v>25</v>
      </c>
      <c r="E12" t="s">
        <v>11</v>
      </c>
      <c r="F12" s="4">
        <v>44665</v>
      </c>
      <c r="G12" t="s">
        <v>13</v>
      </c>
      <c r="H12" s="5">
        <v>109190</v>
      </c>
    </row>
    <row r="13" spans="2:8" x14ac:dyDescent="0.4">
      <c r="B13" t="s">
        <v>121</v>
      </c>
      <c r="C13" t="s">
        <v>16</v>
      </c>
      <c r="D13">
        <v>40</v>
      </c>
      <c r="E13" t="s">
        <v>14</v>
      </c>
      <c r="F13" s="4">
        <v>44320</v>
      </c>
      <c r="G13" t="s">
        <v>24</v>
      </c>
      <c r="H13" s="5">
        <v>104410</v>
      </c>
    </row>
    <row r="14" spans="2:8" x14ac:dyDescent="0.4">
      <c r="B14" t="s">
        <v>122</v>
      </c>
      <c r="C14" t="s">
        <v>9</v>
      </c>
      <c r="D14">
        <v>30</v>
      </c>
      <c r="E14" t="s">
        <v>14</v>
      </c>
      <c r="F14" s="4">
        <v>44544</v>
      </c>
      <c r="G14" t="s">
        <v>18</v>
      </c>
      <c r="H14" s="5">
        <v>96800</v>
      </c>
    </row>
    <row r="15" spans="2:8" x14ac:dyDescent="0.4">
      <c r="B15" t="s">
        <v>123</v>
      </c>
      <c r="C15" t="s">
        <v>9</v>
      </c>
      <c r="D15">
        <v>28</v>
      </c>
      <c r="E15" t="s">
        <v>11</v>
      </c>
      <c r="F15" s="4">
        <v>43980</v>
      </c>
      <c r="G15" t="s">
        <v>18</v>
      </c>
      <c r="H15" s="5">
        <v>48170</v>
      </c>
    </row>
    <row r="16" spans="2:8" x14ac:dyDescent="0.4">
      <c r="B16" t="s">
        <v>124</v>
      </c>
      <c r="C16" t="s">
        <v>9</v>
      </c>
      <c r="D16">
        <v>21</v>
      </c>
      <c r="E16" t="s">
        <v>14</v>
      </c>
      <c r="F16" s="4">
        <v>44042</v>
      </c>
      <c r="G16" t="s">
        <v>13</v>
      </c>
      <c r="H16" s="5">
        <v>37920</v>
      </c>
    </row>
    <row r="17" spans="2:8" x14ac:dyDescent="0.4">
      <c r="B17" t="s">
        <v>125</v>
      </c>
      <c r="C17" t="s">
        <v>9</v>
      </c>
      <c r="D17">
        <v>34</v>
      </c>
      <c r="E17" t="s">
        <v>14</v>
      </c>
      <c r="F17" s="4">
        <v>44642</v>
      </c>
      <c r="G17" t="s">
        <v>13</v>
      </c>
      <c r="H17" s="5">
        <v>112650</v>
      </c>
    </row>
    <row r="18" spans="2:8" x14ac:dyDescent="0.4">
      <c r="B18" t="s">
        <v>126</v>
      </c>
      <c r="C18" t="s">
        <v>16</v>
      </c>
      <c r="D18">
        <v>34</v>
      </c>
      <c r="E18" t="s">
        <v>19</v>
      </c>
      <c r="F18" s="4">
        <v>44660</v>
      </c>
      <c r="G18" t="s">
        <v>10</v>
      </c>
      <c r="H18" s="5">
        <v>49630</v>
      </c>
    </row>
    <row r="19" spans="2:8" x14ac:dyDescent="0.4">
      <c r="B19" t="s">
        <v>127</v>
      </c>
      <c r="C19" t="s">
        <v>9</v>
      </c>
      <c r="D19">
        <v>36</v>
      </c>
      <c r="E19" t="s">
        <v>14</v>
      </c>
      <c r="F19" s="4">
        <v>43958</v>
      </c>
      <c r="G19" t="s">
        <v>24</v>
      </c>
      <c r="H19" s="5">
        <v>118840</v>
      </c>
    </row>
    <row r="20" spans="2:8" x14ac:dyDescent="0.4">
      <c r="B20" t="s">
        <v>128</v>
      </c>
      <c r="C20" t="s">
        <v>9</v>
      </c>
      <c r="D20">
        <v>30</v>
      </c>
      <c r="E20" t="s">
        <v>14</v>
      </c>
      <c r="F20" s="4">
        <v>44789</v>
      </c>
      <c r="G20" t="s">
        <v>24</v>
      </c>
      <c r="H20" s="5">
        <v>69710</v>
      </c>
    </row>
    <row r="21" spans="2:8" x14ac:dyDescent="0.4">
      <c r="B21" t="s">
        <v>129</v>
      </c>
      <c r="C21" t="s">
        <v>9</v>
      </c>
      <c r="D21">
        <v>20</v>
      </c>
      <c r="E21" t="s">
        <v>14</v>
      </c>
      <c r="F21" s="4">
        <v>44683</v>
      </c>
      <c r="G21" t="s">
        <v>13</v>
      </c>
      <c r="H21" s="5">
        <v>79570</v>
      </c>
    </row>
    <row r="22" spans="2:8" x14ac:dyDescent="0.4">
      <c r="B22" t="s">
        <v>130</v>
      </c>
      <c r="C22" t="s">
        <v>16</v>
      </c>
      <c r="D22">
        <v>22</v>
      </c>
      <c r="E22" t="s">
        <v>11</v>
      </c>
      <c r="F22" s="4">
        <v>44388</v>
      </c>
      <c r="G22" t="s">
        <v>13</v>
      </c>
      <c r="H22" s="5">
        <v>76900</v>
      </c>
    </row>
    <row r="23" spans="2:8" x14ac:dyDescent="0.4">
      <c r="B23" t="s">
        <v>131</v>
      </c>
      <c r="C23" t="s">
        <v>9</v>
      </c>
      <c r="D23">
        <v>27</v>
      </c>
      <c r="E23" t="s">
        <v>14</v>
      </c>
      <c r="F23" s="4">
        <v>44073</v>
      </c>
      <c r="G23" t="s">
        <v>10</v>
      </c>
      <c r="H23" s="5">
        <v>54970</v>
      </c>
    </row>
    <row r="24" spans="2:8" x14ac:dyDescent="0.4">
      <c r="B24" t="s">
        <v>132</v>
      </c>
      <c r="C24" t="s">
        <v>9</v>
      </c>
      <c r="D24">
        <v>37</v>
      </c>
      <c r="E24" t="s">
        <v>19</v>
      </c>
      <c r="F24" s="4">
        <v>44277</v>
      </c>
      <c r="G24" t="s">
        <v>24</v>
      </c>
      <c r="H24" s="5">
        <v>88050</v>
      </c>
    </row>
    <row r="25" spans="2:8" x14ac:dyDescent="0.4">
      <c r="B25" t="s">
        <v>133</v>
      </c>
      <c r="C25" t="s">
        <v>9</v>
      </c>
      <c r="D25">
        <v>43</v>
      </c>
      <c r="E25" t="s">
        <v>14</v>
      </c>
      <c r="F25" s="4">
        <v>44558</v>
      </c>
      <c r="G25" t="s">
        <v>10</v>
      </c>
      <c r="H25" s="5">
        <v>36040</v>
      </c>
    </row>
    <row r="26" spans="2:8" x14ac:dyDescent="0.4">
      <c r="B26" t="s">
        <v>134</v>
      </c>
      <c r="C26" t="s">
        <v>16</v>
      </c>
      <c r="D26">
        <v>42</v>
      </c>
      <c r="E26" t="s">
        <v>44</v>
      </c>
      <c r="F26" s="4">
        <v>44718</v>
      </c>
      <c r="G26" t="s">
        <v>13</v>
      </c>
      <c r="H26" s="5">
        <v>75000</v>
      </c>
    </row>
    <row r="27" spans="2:8" x14ac:dyDescent="0.4">
      <c r="B27" t="s">
        <v>135</v>
      </c>
      <c r="C27" t="s">
        <v>9</v>
      </c>
      <c r="D27">
        <v>35</v>
      </c>
      <c r="E27" t="s">
        <v>14</v>
      </c>
      <c r="F27" s="4">
        <v>44666</v>
      </c>
      <c r="G27" t="s">
        <v>13</v>
      </c>
      <c r="H27" s="5">
        <v>40400</v>
      </c>
    </row>
    <row r="28" spans="2:8" x14ac:dyDescent="0.4">
      <c r="B28" t="s">
        <v>136</v>
      </c>
      <c r="C28" t="s">
        <v>9</v>
      </c>
      <c r="D28">
        <v>24</v>
      </c>
      <c r="E28" t="s">
        <v>14</v>
      </c>
      <c r="F28" s="4">
        <v>44625</v>
      </c>
      <c r="G28" t="s">
        <v>24</v>
      </c>
      <c r="H28" s="5">
        <v>100420</v>
      </c>
    </row>
    <row r="29" spans="2:8" x14ac:dyDescent="0.4">
      <c r="B29" t="s">
        <v>137</v>
      </c>
      <c r="C29" t="s">
        <v>16</v>
      </c>
      <c r="D29">
        <v>31</v>
      </c>
      <c r="E29" t="s">
        <v>14</v>
      </c>
      <c r="F29" s="4">
        <v>44604</v>
      </c>
      <c r="G29" t="s">
        <v>24</v>
      </c>
      <c r="H29" s="5">
        <v>58100</v>
      </c>
    </row>
    <row r="30" spans="2:8" x14ac:dyDescent="0.4">
      <c r="B30" t="s">
        <v>138</v>
      </c>
      <c r="C30" t="s">
        <v>16</v>
      </c>
      <c r="D30">
        <v>44</v>
      </c>
      <c r="E30" t="s">
        <v>14</v>
      </c>
      <c r="F30" s="4">
        <v>44985</v>
      </c>
      <c r="G30" t="s">
        <v>24</v>
      </c>
      <c r="H30" s="5">
        <v>114870</v>
      </c>
    </row>
    <row r="31" spans="2:8" x14ac:dyDescent="0.4">
      <c r="B31" t="s">
        <v>139</v>
      </c>
      <c r="C31" t="s">
        <v>16</v>
      </c>
      <c r="D31">
        <v>32</v>
      </c>
      <c r="E31" t="s">
        <v>14</v>
      </c>
      <c r="F31" s="4">
        <v>44549</v>
      </c>
      <c r="G31" t="s">
        <v>13</v>
      </c>
      <c r="H31" s="5">
        <v>41570</v>
      </c>
    </row>
    <row r="32" spans="2:8" x14ac:dyDescent="0.4">
      <c r="B32" t="s">
        <v>140</v>
      </c>
      <c r="C32" t="s">
        <v>16</v>
      </c>
      <c r="D32">
        <v>30</v>
      </c>
      <c r="E32" t="s">
        <v>14</v>
      </c>
      <c r="F32" s="4">
        <v>44800</v>
      </c>
      <c r="G32" t="s">
        <v>13</v>
      </c>
      <c r="H32" s="5">
        <v>112570</v>
      </c>
    </row>
    <row r="33" spans="2:8" x14ac:dyDescent="0.4">
      <c r="B33" t="s">
        <v>141</v>
      </c>
      <c r="C33" t="s">
        <v>9</v>
      </c>
      <c r="D33">
        <v>26</v>
      </c>
      <c r="E33" t="s">
        <v>14</v>
      </c>
      <c r="F33" s="4">
        <v>44164</v>
      </c>
      <c r="G33" t="s">
        <v>13</v>
      </c>
      <c r="H33" s="5">
        <v>47360</v>
      </c>
    </row>
    <row r="34" spans="2:8" x14ac:dyDescent="0.4">
      <c r="B34" t="s">
        <v>142</v>
      </c>
      <c r="C34" t="s">
        <v>16</v>
      </c>
      <c r="D34">
        <v>21</v>
      </c>
      <c r="E34" t="s">
        <v>14</v>
      </c>
      <c r="F34" s="4">
        <v>44256</v>
      </c>
      <c r="G34" t="s">
        <v>18</v>
      </c>
      <c r="H34" s="5">
        <v>65920</v>
      </c>
    </row>
    <row r="35" spans="2:8" x14ac:dyDescent="0.4">
      <c r="B35" t="s">
        <v>143</v>
      </c>
      <c r="C35" t="s">
        <v>16</v>
      </c>
      <c r="D35">
        <v>28</v>
      </c>
      <c r="E35" t="s">
        <v>14</v>
      </c>
      <c r="F35" s="4">
        <v>44571</v>
      </c>
      <c r="G35" t="s">
        <v>13</v>
      </c>
      <c r="H35" s="5">
        <v>99970</v>
      </c>
    </row>
    <row r="36" spans="2:8" x14ac:dyDescent="0.4">
      <c r="B36" t="s">
        <v>144</v>
      </c>
      <c r="C36" t="s">
        <v>16</v>
      </c>
      <c r="D36">
        <v>25</v>
      </c>
      <c r="E36" t="s">
        <v>11</v>
      </c>
      <c r="F36" s="4">
        <v>44633</v>
      </c>
      <c r="G36" t="s">
        <v>24</v>
      </c>
      <c r="H36" s="5">
        <v>80700</v>
      </c>
    </row>
    <row r="37" spans="2:8" x14ac:dyDescent="0.4">
      <c r="B37" t="s">
        <v>145</v>
      </c>
      <c r="C37" t="s">
        <v>9</v>
      </c>
      <c r="D37">
        <v>24</v>
      </c>
      <c r="E37" t="s">
        <v>19</v>
      </c>
      <c r="F37" s="4">
        <v>44375</v>
      </c>
      <c r="G37" t="s">
        <v>18</v>
      </c>
      <c r="H37" s="5">
        <v>52610</v>
      </c>
    </row>
    <row r="38" spans="2:8" x14ac:dyDescent="0.4">
      <c r="B38" t="s">
        <v>146</v>
      </c>
      <c r="C38" t="s">
        <v>9</v>
      </c>
      <c r="D38">
        <v>29</v>
      </c>
      <c r="E38" t="s">
        <v>19</v>
      </c>
      <c r="F38" s="4">
        <v>44119</v>
      </c>
      <c r="G38" t="s">
        <v>24</v>
      </c>
      <c r="H38" s="5">
        <v>112110</v>
      </c>
    </row>
    <row r="39" spans="2:8" x14ac:dyDescent="0.4">
      <c r="B39" t="s">
        <v>147</v>
      </c>
      <c r="C39" t="s">
        <v>16</v>
      </c>
      <c r="D39">
        <v>27</v>
      </c>
      <c r="E39" t="s">
        <v>14</v>
      </c>
      <c r="F39" s="4">
        <v>44061</v>
      </c>
      <c r="G39" t="s">
        <v>27</v>
      </c>
      <c r="H39" s="5">
        <v>119110</v>
      </c>
    </row>
    <row r="40" spans="2:8" x14ac:dyDescent="0.4">
      <c r="B40" t="s">
        <v>148</v>
      </c>
      <c r="C40" t="s">
        <v>9</v>
      </c>
      <c r="D40">
        <v>22</v>
      </c>
      <c r="E40" t="s">
        <v>11</v>
      </c>
      <c r="F40" s="4">
        <v>44384</v>
      </c>
      <c r="G40" t="s">
        <v>10</v>
      </c>
      <c r="H40" s="5">
        <v>112780</v>
      </c>
    </row>
    <row r="41" spans="2:8" x14ac:dyDescent="0.4">
      <c r="B41" t="s">
        <v>149</v>
      </c>
      <c r="C41" t="s">
        <v>16</v>
      </c>
      <c r="D41">
        <v>36</v>
      </c>
      <c r="E41" t="s">
        <v>14</v>
      </c>
      <c r="F41" s="4">
        <v>44023</v>
      </c>
      <c r="G41" t="s">
        <v>13</v>
      </c>
      <c r="H41" s="5">
        <v>114890</v>
      </c>
    </row>
    <row r="42" spans="2:8" x14ac:dyDescent="0.4">
      <c r="B42" t="s">
        <v>150</v>
      </c>
      <c r="C42" t="s">
        <v>9</v>
      </c>
      <c r="D42">
        <v>27</v>
      </c>
      <c r="E42" t="s">
        <v>14</v>
      </c>
      <c r="F42" s="4">
        <v>44506</v>
      </c>
      <c r="G42" t="s">
        <v>18</v>
      </c>
      <c r="H42" s="5">
        <v>48980</v>
      </c>
    </row>
    <row r="43" spans="2:8" x14ac:dyDescent="0.4">
      <c r="B43" t="s">
        <v>151</v>
      </c>
      <c r="C43" t="s">
        <v>9</v>
      </c>
      <c r="D43">
        <v>21</v>
      </c>
      <c r="E43" t="s">
        <v>14</v>
      </c>
      <c r="F43" s="4">
        <v>44180</v>
      </c>
      <c r="G43" t="s">
        <v>27</v>
      </c>
      <c r="H43" s="5">
        <v>75880</v>
      </c>
    </row>
    <row r="44" spans="2:8" x14ac:dyDescent="0.4">
      <c r="B44" t="s">
        <v>152</v>
      </c>
      <c r="C44" t="s">
        <v>16</v>
      </c>
      <c r="D44">
        <v>28</v>
      </c>
      <c r="E44" t="s">
        <v>14</v>
      </c>
      <c r="F44" s="4">
        <v>44296</v>
      </c>
      <c r="G44" t="s">
        <v>10</v>
      </c>
      <c r="H44" s="5">
        <v>53240</v>
      </c>
    </row>
    <row r="45" spans="2:8" x14ac:dyDescent="0.4">
      <c r="B45" t="s">
        <v>153</v>
      </c>
      <c r="C45" t="s">
        <v>16</v>
      </c>
      <c r="D45">
        <v>34</v>
      </c>
      <c r="E45" t="s">
        <v>14</v>
      </c>
      <c r="F45" s="4">
        <v>44397</v>
      </c>
      <c r="G45" t="s">
        <v>18</v>
      </c>
      <c r="H45" s="5">
        <v>85000</v>
      </c>
    </row>
    <row r="46" spans="2:8" x14ac:dyDescent="0.4">
      <c r="B46" t="s">
        <v>154</v>
      </c>
      <c r="C46" t="s">
        <v>16</v>
      </c>
      <c r="D46">
        <v>21</v>
      </c>
      <c r="E46" t="s">
        <v>14</v>
      </c>
      <c r="F46" s="4">
        <v>44619</v>
      </c>
      <c r="G46" t="s">
        <v>24</v>
      </c>
      <c r="H46" s="5">
        <v>33920</v>
      </c>
    </row>
    <row r="47" spans="2:8" x14ac:dyDescent="0.4">
      <c r="B47" t="s">
        <v>155</v>
      </c>
      <c r="C47" t="s">
        <v>16</v>
      </c>
      <c r="D47">
        <v>33</v>
      </c>
      <c r="E47" t="s">
        <v>14</v>
      </c>
      <c r="F47" s="4">
        <v>44253</v>
      </c>
      <c r="G47" t="s">
        <v>24</v>
      </c>
      <c r="H47" s="5">
        <v>75280</v>
      </c>
    </row>
    <row r="48" spans="2:8" x14ac:dyDescent="0.4">
      <c r="B48" t="s">
        <v>156</v>
      </c>
      <c r="C48" t="s">
        <v>16</v>
      </c>
      <c r="D48">
        <v>34</v>
      </c>
      <c r="E48" t="s">
        <v>14</v>
      </c>
      <c r="F48" s="4">
        <v>44594</v>
      </c>
      <c r="G48" t="s">
        <v>18</v>
      </c>
      <c r="H48" s="5">
        <v>58940</v>
      </c>
    </row>
    <row r="49" spans="2:8" x14ac:dyDescent="0.4">
      <c r="B49" t="s">
        <v>157</v>
      </c>
      <c r="C49" t="s">
        <v>16</v>
      </c>
      <c r="D49">
        <v>28</v>
      </c>
      <c r="E49" t="s">
        <v>14</v>
      </c>
      <c r="F49" s="4">
        <v>44425</v>
      </c>
      <c r="G49" t="s">
        <v>13</v>
      </c>
      <c r="H49" s="5">
        <v>104770</v>
      </c>
    </row>
    <row r="50" spans="2:8" x14ac:dyDescent="0.4">
      <c r="B50" t="s">
        <v>158</v>
      </c>
      <c r="C50" t="s">
        <v>9</v>
      </c>
      <c r="D50">
        <v>21</v>
      </c>
      <c r="E50" t="s">
        <v>14</v>
      </c>
      <c r="F50" s="4">
        <v>44701</v>
      </c>
      <c r="G50" t="s">
        <v>13</v>
      </c>
      <c r="H50" s="5">
        <v>57090</v>
      </c>
    </row>
    <row r="51" spans="2:8" x14ac:dyDescent="0.4">
      <c r="B51" t="s">
        <v>159</v>
      </c>
      <c r="C51" t="s">
        <v>9</v>
      </c>
      <c r="D51">
        <v>27</v>
      </c>
      <c r="E51" t="s">
        <v>11</v>
      </c>
      <c r="F51" s="4">
        <v>44174</v>
      </c>
      <c r="G51" t="s">
        <v>18</v>
      </c>
      <c r="H51" s="5">
        <v>91650</v>
      </c>
    </row>
    <row r="52" spans="2:8" x14ac:dyDescent="0.4">
      <c r="B52" t="s">
        <v>160</v>
      </c>
      <c r="C52" t="s">
        <v>9</v>
      </c>
      <c r="D52">
        <v>42</v>
      </c>
      <c r="E52" t="s">
        <v>19</v>
      </c>
      <c r="F52" s="4">
        <v>44670</v>
      </c>
      <c r="G52" t="s">
        <v>18</v>
      </c>
      <c r="H52" s="5">
        <v>70270</v>
      </c>
    </row>
    <row r="53" spans="2:8" x14ac:dyDescent="0.4">
      <c r="B53" t="s">
        <v>161</v>
      </c>
      <c r="C53" t="s">
        <v>16</v>
      </c>
      <c r="D53">
        <v>28</v>
      </c>
      <c r="E53" t="s">
        <v>14</v>
      </c>
      <c r="F53" s="4">
        <v>44124</v>
      </c>
      <c r="G53" t="s">
        <v>18</v>
      </c>
      <c r="H53" s="5">
        <v>75970</v>
      </c>
    </row>
    <row r="54" spans="2:8" x14ac:dyDescent="0.4">
      <c r="B54" t="s">
        <v>162</v>
      </c>
      <c r="D54">
        <v>27</v>
      </c>
      <c r="E54" t="s">
        <v>11</v>
      </c>
      <c r="F54" s="4">
        <v>44212</v>
      </c>
      <c r="G54" t="s">
        <v>24</v>
      </c>
      <c r="H54" s="5">
        <v>90700</v>
      </c>
    </row>
    <row r="55" spans="2:8" x14ac:dyDescent="0.4">
      <c r="B55" t="s">
        <v>163</v>
      </c>
      <c r="C55" t="s">
        <v>9</v>
      </c>
      <c r="D55">
        <v>30</v>
      </c>
      <c r="E55" t="s">
        <v>14</v>
      </c>
      <c r="F55" s="4">
        <v>44607</v>
      </c>
      <c r="G55" t="s">
        <v>13</v>
      </c>
      <c r="H55" s="5">
        <v>60570</v>
      </c>
    </row>
    <row r="56" spans="2:8" x14ac:dyDescent="0.4">
      <c r="B56" t="s">
        <v>164</v>
      </c>
      <c r="C56" t="s">
        <v>9</v>
      </c>
      <c r="D56">
        <v>33</v>
      </c>
      <c r="E56" t="s">
        <v>14</v>
      </c>
      <c r="F56" s="4">
        <v>44103</v>
      </c>
      <c r="G56" t="s">
        <v>13</v>
      </c>
      <c r="H56" s="5">
        <v>115920</v>
      </c>
    </row>
    <row r="57" spans="2:8" x14ac:dyDescent="0.4">
      <c r="B57" t="s">
        <v>165</v>
      </c>
      <c r="C57" t="s">
        <v>16</v>
      </c>
      <c r="D57">
        <v>33</v>
      </c>
      <c r="E57" t="s">
        <v>14</v>
      </c>
      <c r="F57" s="4">
        <v>44006</v>
      </c>
      <c r="G57" t="s">
        <v>18</v>
      </c>
      <c r="H57" s="5">
        <v>65360</v>
      </c>
    </row>
    <row r="58" spans="2:8" x14ac:dyDescent="0.4">
      <c r="B58" t="s">
        <v>166</v>
      </c>
      <c r="D58">
        <v>30</v>
      </c>
      <c r="E58" t="s">
        <v>14</v>
      </c>
      <c r="F58" s="4">
        <v>44535</v>
      </c>
      <c r="G58" t="s">
        <v>18</v>
      </c>
      <c r="H58" s="5">
        <v>64000</v>
      </c>
    </row>
    <row r="59" spans="2:8" x14ac:dyDescent="0.4">
      <c r="B59" t="s">
        <v>167</v>
      </c>
      <c r="C59" t="s">
        <v>16</v>
      </c>
      <c r="D59">
        <v>34</v>
      </c>
      <c r="E59" t="s">
        <v>14</v>
      </c>
      <c r="F59" s="4">
        <v>44383</v>
      </c>
      <c r="G59" t="s">
        <v>18</v>
      </c>
      <c r="H59" s="5">
        <v>92450</v>
      </c>
    </row>
    <row r="60" spans="2:8" x14ac:dyDescent="0.4">
      <c r="B60" t="s">
        <v>168</v>
      </c>
      <c r="C60" t="s">
        <v>9</v>
      </c>
      <c r="D60">
        <v>31</v>
      </c>
      <c r="E60" t="s">
        <v>14</v>
      </c>
      <c r="F60" s="4">
        <v>44450</v>
      </c>
      <c r="G60" t="s">
        <v>24</v>
      </c>
      <c r="H60" s="5">
        <v>48950</v>
      </c>
    </row>
    <row r="61" spans="2:8" x14ac:dyDescent="0.4">
      <c r="B61" t="s">
        <v>169</v>
      </c>
      <c r="C61" t="s">
        <v>16</v>
      </c>
      <c r="D61">
        <v>27</v>
      </c>
      <c r="E61" t="s">
        <v>14</v>
      </c>
      <c r="F61" s="4">
        <v>44625</v>
      </c>
      <c r="G61" t="s">
        <v>24</v>
      </c>
      <c r="H61" s="5">
        <v>83750</v>
      </c>
    </row>
    <row r="62" spans="2:8" x14ac:dyDescent="0.4">
      <c r="B62" t="s">
        <v>170</v>
      </c>
      <c r="C62" t="s">
        <v>16</v>
      </c>
      <c r="D62">
        <v>40</v>
      </c>
      <c r="E62" t="s">
        <v>14</v>
      </c>
      <c r="F62" s="4">
        <v>44276</v>
      </c>
      <c r="G62" t="s">
        <v>24</v>
      </c>
      <c r="H62" s="5">
        <v>87620</v>
      </c>
    </row>
    <row r="63" spans="2:8" x14ac:dyDescent="0.4">
      <c r="B63" t="s">
        <v>171</v>
      </c>
      <c r="C63" t="s">
        <v>16</v>
      </c>
      <c r="D63">
        <v>20</v>
      </c>
      <c r="E63" t="s">
        <v>19</v>
      </c>
      <c r="F63" s="4">
        <v>44476</v>
      </c>
      <c r="G63" t="s">
        <v>10</v>
      </c>
      <c r="H63" s="5">
        <v>68900</v>
      </c>
    </row>
    <row r="64" spans="2:8" x14ac:dyDescent="0.4">
      <c r="B64" t="s">
        <v>172</v>
      </c>
      <c r="C64" t="s">
        <v>9</v>
      </c>
      <c r="D64">
        <v>32</v>
      </c>
      <c r="E64" t="s">
        <v>14</v>
      </c>
      <c r="F64" s="4">
        <v>44403</v>
      </c>
      <c r="G64" t="s">
        <v>10</v>
      </c>
      <c r="H64" s="5">
        <v>53540</v>
      </c>
    </row>
    <row r="65" spans="2:8" x14ac:dyDescent="0.4">
      <c r="B65" t="s">
        <v>173</v>
      </c>
      <c r="C65" t="s">
        <v>9</v>
      </c>
      <c r="D65">
        <v>28</v>
      </c>
      <c r="E65" t="s">
        <v>50</v>
      </c>
      <c r="F65" s="4">
        <v>44758</v>
      </c>
      <c r="G65" t="s">
        <v>10</v>
      </c>
      <c r="H65" s="5">
        <v>43510</v>
      </c>
    </row>
    <row r="66" spans="2:8" x14ac:dyDescent="0.4">
      <c r="B66" t="s">
        <v>174</v>
      </c>
      <c r="C66" t="s">
        <v>16</v>
      </c>
      <c r="D66">
        <v>38</v>
      </c>
      <c r="E66" t="s">
        <v>44</v>
      </c>
      <c r="F66" s="4">
        <v>44316</v>
      </c>
      <c r="G66" t="s">
        <v>10</v>
      </c>
      <c r="H66" s="5">
        <v>109160</v>
      </c>
    </row>
    <row r="67" spans="2:8" x14ac:dyDescent="0.4">
      <c r="B67" t="s">
        <v>175</v>
      </c>
      <c r="C67" t="s">
        <v>9</v>
      </c>
      <c r="D67">
        <v>40</v>
      </c>
      <c r="E67" t="s">
        <v>14</v>
      </c>
      <c r="F67" s="4">
        <v>44204</v>
      </c>
      <c r="G67" t="s">
        <v>13</v>
      </c>
      <c r="H67" s="5">
        <v>99750</v>
      </c>
    </row>
    <row r="68" spans="2:8" x14ac:dyDescent="0.4">
      <c r="B68" t="s">
        <v>176</v>
      </c>
      <c r="C68" t="s">
        <v>16</v>
      </c>
      <c r="D68">
        <v>31</v>
      </c>
      <c r="E68" t="s">
        <v>14</v>
      </c>
      <c r="F68" s="4">
        <v>44084</v>
      </c>
      <c r="G68" t="s">
        <v>24</v>
      </c>
      <c r="H68" s="5">
        <v>41980</v>
      </c>
    </row>
    <row r="69" spans="2:8" x14ac:dyDescent="0.4">
      <c r="B69" t="s">
        <v>177</v>
      </c>
      <c r="C69" t="s">
        <v>9</v>
      </c>
      <c r="D69">
        <v>36</v>
      </c>
      <c r="E69" t="s">
        <v>14</v>
      </c>
      <c r="F69" s="4">
        <v>44272</v>
      </c>
      <c r="G69" t="s">
        <v>18</v>
      </c>
      <c r="H69" s="5">
        <v>71380</v>
      </c>
    </row>
    <row r="70" spans="2:8" x14ac:dyDescent="0.4">
      <c r="B70" t="s">
        <v>178</v>
      </c>
      <c r="C70" t="s">
        <v>9</v>
      </c>
      <c r="D70">
        <v>27</v>
      </c>
      <c r="E70" t="s">
        <v>50</v>
      </c>
      <c r="F70" s="4">
        <v>44547</v>
      </c>
      <c r="G70" t="s">
        <v>13</v>
      </c>
      <c r="H70" s="5">
        <v>113280</v>
      </c>
    </row>
    <row r="71" spans="2:8" x14ac:dyDescent="0.4">
      <c r="B71" t="s">
        <v>179</v>
      </c>
      <c r="C71" t="s">
        <v>16</v>
      </c>
      <c r="D71">
        <v>33</v>
      </c>
      <c r="E71" t="s">
        <v>14</v>
      </c>
      <c r="F71" s="4">
        <v>44747</v>
      </c>
      <c r="G71" t="s">
        <v>18</v>
      </c>
      <c r="H71" s="5">
        <v>86570</v>
      </c>
    </row>
    <row r="72" spans="2:8" x14ac:dyDescent="0.4">
      <c r="B72" t="s">
        <v>180</v>
      </c>
      <c r="C72" t="s">
        <v>9</v>
      </c>
      <c r="D72">
        <v>26</v>
      </c>
      <c r="E72" t="s">
        <v>14</v>
      </c>
      <c r="F72" s="4">
        <v>44350</v>
      </c>
      <c r="G72" t="s">
        <v>13</v>
      </c>
      <c r="H72" s="5">
        <v>53540</v>
      </c>
    </row>
    <row r="73" spans="2:8" x14ac:dyDescent="0.4">
      <c r="B73" t="s">
        <v>181</v>
      </c>
      <c r="C73" t="s">
        <v>9</v>
      </c>
      <c r="D73">
        <v>37</v>
      </c>
      <c r="E73" t="s">
        <v>14</v>
      </c>
      <c r="F73" s="4">
        <v>44640</v>
      </c>
      <c r="G73" t="s">
        <v>24</v>
      </c>
      <c r="H73" s="5">
        <v>69070</v>
      </c>
    </row>
    <row r="74" spans="2:8" x14ac:dyDescent="0.4">
      <c r="B74" t="s">
        <v>182</v>
      </c>
      <c r="C74" t="s">
        <v>16</v>
      </c>
      <c r="D74">
        <v>30</v>
      </c>
      <c r="E74" t="s">
        <v>19</v>
      </c>
      <c r="F74" s="4">
        <v>44328</v>
      </c>
      <c r="G74" t="s">
        <v>18</v>
      </c>
      <c r="H74" s="5">
        <v>67910</v>
      </c>
    </row>
    <row r="75" spans="2:8" x14ac:dyDescent="0.4">
      <c r="B75" t="s">
        <v>183</v>
      </c>
      <c r="C75" t="s">
        <v>9</v>
      </c>
      <c r="D75">
        <v>30</v>
      </c>
      <c r="E75" t="s">
        <v>14</v>
      </c>
      <c r="F75" s="4">
        <v>44214</v>
      </c>
      <c r="G75" t="s">
        <v>24</v>
      </c>
      <c r="H75" s="5">
        <v>69120</v>
      </c>
    </row>
    <row r="76" spans="2:8" x14ac:dyDescent="0.4">
      <c r="B76" t="s">
        <v>184</v>
      </c>
      <c r="C76" t="s">
        <v>16</v>
      </c>
      <c r="D76">
        <v>34</v>
      </c>
      <c r="E76" t="s">
        <v>14</v>
      </c>
      <c r="F76" s="4">
        <v>44550</v>
      </c>
      <c r="G76" t="s">
        <v>18</v>
      </c>
      <c r="H76" s="5">
        <v>60130</v>
      </c>
    </row>
    <row r="77" spans="2:8" x14ac:dyDescent="0.4">
      <c r="B77" t="s">
        <v>185</v>
      </c>
      <c r="C77" t="s">
        <v>9</v>
      </c>
      <c r="D77">
        <v>23</v>
      </c>
      <c r="E77" t="s">
        <v>14</v>
      </c>
      <c r="F77" s="4">
        <v>44378</v>
      </c>
      <c r="G77" t="s">
        <v>13</v>
      </c>
      <c r="H77" s="5">
        <v>106460</v>
      </c>
    </row>
    <row r="78" spans="2:8" x14ac:dyDescent="0.4">
      <c r="B78" t="s">
        <v>186</v>
      </c>
      <c r="C78" t="s">
        <v>16</v>
      </c>
      <c r="D78">
        <v>37</v>
      </c>
      <c r="E78" t="s">
        <v>14</v>
      </c>
      <c r="F78" s="4">
        <v>44389</v>
      </c>
      <c r="G78" t="s">
        <v>27</v>
      </c>
      <c r="H78" s="5">
        <v>118100</v>
      </c>
    </row>
    <row r="79" spans="2:8" x14ac:dyDescent="0.4">
      <c r="B79" t="s">
        <v>187</v>
      </c>
      <c r="C79" t="s">
        <v>16</v>
      </c>
      <c r="D79">
        <v>36</v>
      </c>
      <c r="E79" t="s">
        <v>14</v>
      </c>
      <c r="F79" s="4">
        <v>44468</v>
      </c>
      <c r="G79" t="s">
        <v>13</v>
      </c>
      <c r="H79" s="5">
        <v>78390</v>
      </c>
    </row>
    <row r="80" spans="2:8" x14ac:dyDescent="0.4">
      <c r="B80" t="s">
        <v>188</v>
      </c>
      <c r="C80" t="s">
        <v>16</v>
      </c>
      <c r="D80">
        <v>30</v>
      </c>
      <c r="E80" t="s">
        <v>14</v>
      </c>
      <c r="F80" s="4">
        <v>44789</v>
      </c>
      <c r="G80" t="s">
        <v>13</v>
      </c>
      <c r="H80" s="5">
        <v>114180</v>
      </c>
    </row>
    <row r="81" spans="2:8" x14ac:dyDescent="0.4">
      <c r="B81" t="s">
        <v>189</v>
      </c>
      <c r="C81" t="s">
        <v>16</v>
      </c>
      <c r="D81">
        <v>28</v>
      </c>
      <c r="E81" t="s">
        <v>14</v>
      </c>
      <c r="F81" s="4">
        <v>44590</v>
      </c>
      <c r="G81" t="s">
        <v>13</v>
      </c>
      <c r="H81" s="5">
        <v>104120</v>
      </c>
    </row>
    <row r="82" spans="2:8" x14ac:dyDescent="0.4">
      <c r="B82" t="s">
        <v>190</v>
      </c>
      <c r="C82" t="s">
        <v>9</v>
      </c>
      <c r="D82">
        <v>30</v>
      </c>
      <c r="E82" t="s">
        <v>14</v>
      </c>
      <c r="F82" s="4">
        <v>44640</v>
      </c>
      <c r="G82" t="s">
        <v>13</v>
      </c>
      <c r="H82" s="5">
        <v>67950</v>
      </c>
    </row>
    <row r="83" spans="2:8" x14ac:dyDescent="0.4">
      <c r="B83" t="s">
        <v>191</v>
      </c>
      <c r="C83" t="s">
        <v>16</v>
      </c>
      <c r="D83">
        <v>29</v>
      </c>
      <c r="E83" t="s">
        <v>14</v>
      </c>
      <c r="F83" s="4">
        <v>43962</v>
      </c>
      <c r="G83" t="s">
        <v>24</v>
      </c>
      <c r="H83" s="5">
        <v>34980</v>
      </c>
    </row>
    <row r="84" spans="2:8" x14ac:dyDescent="0.4">
      <c r="B84" t="s">
        <v>192</v>
      </c>
      <c r="C84" t="s">
        <v>16</v>
      </c>
      <c r="D84">
        <v>24</v>
      </c>
      <c r="E84" t="s">
        <v>14</v>
      </c>
      <c r="F84" s="4">
        <v>44087</v>
      </c>
      <c r="G84" t="s">
        <v>24</v>
      </c>
      <c r="H84" s="5">
        <v>62780</v>
      </c>
    </row>
    <row r="85" spans="2:8" x14ac:dyDescent="0.4">
      <c r="B85" t="s">
        <v>193</v>
      </c>
      <c r="C85" t="s">
        <v>9</v>
      </c>
      <c r="D85">
        <v>20</v>
      </c>
      <c r="E85" t="s">
        <v>14</v>
      </c>
      <c r="F85" s="4">
        <v>44397</v>
      </c>
      <c r="G85" t="s">
        <v>24</v>
      </c>
      <c r="H85" s="5">
        <v>107700</v>
      </c>
    </row>
    <row r="86" spans="2:8" x14ac:dyDescent="0.4">
      <c r="B86" t="s">
        <v>194</v>
      </c>
      <c r="C86" t="s">
        <v>9</v>
      </c>
      <c r="D86">
        <v>25</v>
      </c>
      <c r="E86" t="s">
        <v>14</v>
      </c>
      <c r="F86" s="4">
        <v>44322</v>
      </c>
      <c r="G86" t="s">
        <v>10</v>
      </c>
      <c r="H86" s="5">
        <v>65700</v>
      </c>
    </row>
    <row r="87" spans="2:8" x14ac:dyDescent="0.4">
      <c r="B87" t="s">
        <v>195</v>
      </c>
      <c r="C87" t="s">
        <v>16</v>
      </c>
      <c r="D87">
        <v>33</v>
      </c>
      <c r="E87" t="s">
        <v>50</v>
      </c>
      <c r="F87" s="4">
        <v>44313</v>
      </c>
      <c r="G87" t="s">
        <v>24</v>
      </c>
      <c r="H87" s="5">
        <v>75480</v>
      </c>
    </row>
    <row r="88" spans="2:8" x14ac:dyDescent="0.4">
      <c r="B88" t="s">
        <v>196</v>
      </c>
      <c r="C88" t="s">
        <v>9</v>
      </c>
      <c r="D88">
        <v>33</v>
      </c>
      <c r="E88" t="s">
        <v>14</v>
      </c>
      <c r="F88" s="4">
        <v>44448</v>
      </c>
      <c r="G88" t="s">
        <v>24</v>
      </c>
      <c r="H88" s="5">
        <v>53870</v>
      </c>
    </row>
    <row r="89" spans="2:8" x14ac:dyDescent="0.4">
      <c r="B89" t="s">
        <v>197</v>
      </c>
      <c r="C89" t="s">
        <v>16</v>
      </c>
      <c r="D89">
        <v>36</v>
      </c>
      <c r="E89" t="s">
        <v>14</v>
      </c>
      <c r="F89" s="4">
        <v>44433</v>
      </c>
      <c r="G89" t="s">
        <v>10</v>
      </c>
      <c r="H89" s="5">
        <v>78540</v>
      </c>
    </row>
    <row r="90" spans="2:8" x14ac:dyDescent="0.4">
      <c r="B90" t="s">
        <v>198</v>
      </c>
      <c r="C90" t="s">
        <v>9</v>
      </c>
      <c r="D90">
        <v>19</v>
      </c>
      <c r="E90" t="s">
        <v>14</v>
      </c>
      <c r="F90" s="4">
        <v>44218</v>
      </c>
      <c r="G90" t="s">
        <v>13</v>
      </c>
      <c r="H90" s="5">
        <v>58960</v>
      </c>
    </row>
    <row r="91" spans="2:8" x14ac:dyDescent="0.4">
      <c r="B91" t="s">
        <v>199</v>
      </c>
      <c r="C91" t="s">
        <v>9</v>
      </c>
      <c r="D91">
        <v>46</v>
      </c>
      <c r="E91" t="s">
        <v>14</v>
      </c>
      <c r="F91" s="4">
        <v>44697</v>
      </c>
      <c r="G91" t="s">
        <v>13</v>
      </c>
      <c r="H91" s="5">
        <v>70610</v>
      </c>
    </row>
    <row r="92" spans="2:8" x14ac:dyDescent="0.4">
      <c r="B92" t="s">
        <v>200</v>
      </c>
      <c r="C92" t="s">
        <v>9</v>
      </c>
      <c r="D92">
        <v>33</v>
      </c>
      <c r="E92" t="s">
        <v>14</v>
      </c>
      <c r="F92" s="4">
        <v>44181</v>
      </c>
      <c r="G92" t="s">
        <v>18</v>
      </c>
      <c r="H92" s="5">
        <v>59430</v>
      </c>
    </row>
    <row r="93" spans="2:8" x14ac:dyDescent="0.4">
      <c r="B93" t="s">
        <v>201</v>
      </c>
      <c r="C93" t="s">
        <v>9</v>
      </c>
      <c r="D93">
        <v>33</v>
      </c>
      <c r="E93" t="s">
        <v>11</v>
      </c>
      <c r="F93" s="4">
        <v>44640</v>
      </c>
      <c r="G93" t="s">
        <v>13</v>
      </c>
      <c r="H93" s="5">
        <v>48530</v>
      </c>
    </row>
    <row r="94" spans="2:8" x14ac:dyDescent="0.4">
      <c r="B94" t="s">
        <v>202</v>
      </c>
      <c r="C94" t="s">
        <v>16</v>
      </c>
      <c r="D94">
        <v>33</v>
      </c>
      <c r="E94" t="s">
        <v>14</v>
      </c>
      <c r="F94" s="4">
        <v>44129</v>
      </c>
      <c r="G94" t="s">
        <v>24</v>
      </c>
      <c r="H94" s="5">
        <v>96140</v>
      </c>
    </row>
    <row r="95" spans="2:8" x14ac:dyDescent="0.4">
      <c r="B95" t="s">
        <v>203</v>
      </c>
      <c r="D95">
        <f>SUBTOTAL(101,India_staff[Age])</f>
        <v>30.456521739130434</v>
      </c>
      <c r="H95" s="5">
        <f>SUBTOTAL(109,India_staff[Salary])</f>
        <v>7117720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21EC6-776C-470F-92B7-0AF467928AC6}">
  <dimension ref="A1:L184"/>
  <sheetViews>
    <sheetView zoomScale="150" zoomScaleNormal="150" workbookViewId="0">
      <selection sqref="A1:K184"/>
    </sheetView>
  </sheetViews>
  <sheetFormatPr defaultRowHeight="14.6" x14ac:dyDescent="0.4"/>
  <cols>
    <col min="1" max="1" width="27.84375" bestFit="1" customWidth="1"/>
    <col min="3" max="3" width="6.23046875" style="11" bestFit="1" customWidth="1"/>
    <col min="4" max="4" width="13" bestFit="1" customWidth="1"/>
    <col min="5" max="5" width="12.84375" style="47" bestFit="1" customWidth="1"/>
    <col min="6" max="6" width="13.15234375" bestFit="1" customWidth="1"/>
    <col min="7" max="7" width="10.84375" style="19" bestFit="1" customWidth="1"/>
    <col min="8" max="8" width="9.69140625" bestFit="1" customWidth="1"/>
    <col min="9" max="9" width="9.3828125" style="7" bestFit="1" customWidth="1"/>
    <col min="10" max="10" width="10.84375" style="19" bestFit="1" customWidth="1"/>
    <col min="11" max="11" width="9.84375" style="7" customWidth="1"/>
    <col min="12" max="12" width="9.3828125" style="7" customWidth="1"/>
    <col min="14" max="14" width="4.15234375" customWidth="1"/>
    <col min="15" max="15" width="24.84375" bestFit="1" customWidth="1"/>
    <col min="16" max="16" width="11.84375" bestFit="1" customWidth="1"/>
    <col min="20" max="20" width="11.61328125" bestFit="1" customWidth="1"/>
  </cols>
  <sheetData>
    <row r="1" spans="1:11" ht="29.15" x14ac:dyDescent="0.4">
      <c r="A1" s="13" t="s">
        <v>1</v>
      </c>
      <c r="B1" s="13" t="s">
        <v>2</v>
      </c>
      <c r="C1" s="13" t="s">
        <v>4</v>
      </c>
      <c r="D1" s="13" t="s">
        <v>7</v>
      </c>
      <c r="E1" s="14" t="s">
        <v>5</v>
      </c>
      <c r="F1" s="13" t="s">
        <v>3</v>
      </c>
      <c r="G1" s="48" t="s">
        <v>6</v>
      </c>
      <c r="H1" s="13" t="s">
        <v>204</v>
      </c>
      <c r="I1" s="49" t="s">
        <v>208</v>
      </c>
      <c r="J1" s="48" t="s">
        <v>225</v>
      </c>
      <c r="K1" s="50" t="s">
        <v>237</v>
      </c>
    </row>
    <row r="2" spans="1:11" x14ac:dyDescent="0.4">
      <c r="A2" t="s">
        <v>194</v>
      </c>
      <c r="B2" t="s">
        <v>9</v>
      </c>
      <c r="C2" s="11">
        <v>25</v>
      </c>
      <c r="D2" t="s">
        <v>14</v>
      </c>
      <c r="E2" s="47">
        <v>44322</v>
      </c>
      <c r="F2" t="s">
        <v>10</v>
      </c>
      <c r="G2" s="19">
        <v>65700</v>
      </c>
      <c r="H2" t="s">
        <v>205</v>
      </c>
      <c r="I2" s="7">
        <f ca="1">(TODAY()-Staff[[#This Row],[Date Joined]])/365</f>
        <v>2.1232876712328768</v>
      </c>
      <c r="J2" s="19">
        <f ca="1">ROUNDUP(IF(Staff[[#This Row],[Tensure]]&gt;=2,Staff[[#This Row],[Salary]]*0.03,Staff[[#This Row],[Salary]]*0.02),0)</f>
        <v>1971</v>
      </c>
      <c r="K2" s="7">
        <f>_xlfn.XLOOKUP(Staff[[#This Row],[Rating]],SalaryVsRating!$B$13:$B$17,SalaryVsRating!$C$13:$C$17,"")</f>
        <v>3</v>
      </c>
    </row>
    <row r="3" spans="1:11" x14ac:dyDescent="0.4">
      <c r="A3" t="s">
        <v>62</v>
      </c>
      <c r="B3" t="s">
        <v>16</v>
      </c>
      <c r="C3" s="11">
        <v>27</v>
      </c>
      <c r="D3" t="s">
        <v>14</v>
      </c>
      <c r="E3" s="47">
        <v>44686</v>
      </c>
      <c r="F3" t="s">
        <v>24</v>
      </c>
      <c r="G3" s="19">
        <v>83750</v>
      </c>
      <c r="H3" t="s">
        <v>207</v>
      </c>
      <c r="I3" s="7">
        <f ca="1">(TODAY()-Staff[[#This Row],[Date Joined]])/365</f>
        <v>1.1260273972602739</v>
      </c>
      <c r="J3" s="19">
        <f ca="1">ROUNDUP(IF(Staff[[#This Row],[Tensure]]&gt;=2,Staff[[#This Row],[Salary]]*0.03,Staff[[#This Row],[Salary]]*0.02),0)</f>
        <v>1675</v>
      </c>
      <c r="K3" s="7">
        <f>_xlfn.XLOOKUP(Staff[[#This Row],[Rating]],SalaryVsRating!$B$13:$B$17,SalaryVsRating!$C$13:$C$17,"")</f>
        <v>3</v>
      </c>
    </row>
    <row r="4" spans="1:11" x14ac:dyDescent="0.4">
      <c r="A4" t="s">
        <v>142</v>
      </c>
      <c r="B4" t="s">
        <v>16</v>
      </c>
      <c r="C4" s="11">
        <v>21</v>
      </c>
      <c r="D4" t="s">
        <v>14</v>
      </c>
      <c r="E4" s="47">
        <v>44256</v>
      </c>
      <c r="F4" t="s">
        <v>18</v>
      </c>
      <c r="G4" s="19">
        <v>65920</v>
      </c>
      <c r="H4" t="s">
        <v>205</v>
      </c>
      <c r="I4" s="7">
        <f ca="1">(TODAY()-Staff[[#This Row],[Date Joined]])/365</f>
        <v>2.3041095890410959</v>
      </c>
      <c r="J4" s="19">
        <f ca="1">ROUNDUP(IF(Staff[[#This Row],[Tensure]]&gt;=2,Staff[[#This Row],[Salary]]*0.03,Staff[[#This Row],[Salary]]*0.02),0)</f>
        <v>1978</v>
      </c>
      <c r="K4" s="7">
        <f>_xlfn.XLOOKUP(Staff[[#This Row],[Rating]],SalaryVsRating!$B$13:$B$17,SalaryVsRating!$C$13:$C$17,"")</f>
        <v>3</v>
      </c>
    </row>
    <row r="5" spans="1:11" x14ac:dyDescent="0.4">
      <c r="A5" t="s">
        <v>124</v>
      </c>
      <c r="B5" t="s">
        <v>9</v>
      </c>
      <c r="C5" s="11">
        <v>21</v>
      </c>
      <c r="D5" t="s">
        <v>14</v>
      </c>
      <c r="E5" s="47">
        <v>44042</v>
      </c>
      <c r="F5" t="s">
        <v>13</v>
      </c>
      <c r="G5" s="19">
        <v>37920</v>
      </c>
      <c r="H5" t="s">
        <v>205</v>
      </c>
      <c r="I5" s="7">
        <f ca="1">(TODAY()-Staff[[#This Row],[Date Joined]])/365</f>
        <v>2.8904109589041096</v>
      </c>
      <c r="J5" s="19">
        <f ca="1">ROUNDUP(IF(Staff[[#This Row],[Tensure]]&gt;=2,Staff[[#This Row],[Salary]]*0.03,Staff[[#This Row],[Salary]]*0.02),0)</f>
        <v>1138</v>
      </c>
      <c r="K5" s="7">
        <f>_xlfn.XLOOKUP(Staff[[#This Row],[Rating]],SalaryVsRating!$B$13:$B$17,SalaryVsRating!$C$13:$C$17,"")</f>
        <v>3</v>
      </c>
    </row>
    <row r="6" spans="1:11" x14ac:dyDescent="0.4">
      <c r="A6" t="s">
        <v>60</v>
      </c>
      <c r="B6" t="s">
        <v>16</v>
      </c>
      <c r="C6" s="11">
        <v>36</v>
      </c>
      <c r="D6" t="s">
        <v>14</v>
      </c>
      <c r="E6" s="47">
        <v>44529</v>
      </c>
      <c r="F6" t="s">
        <v>13</v>
      </c>
      <c r="G6" s="19">
        <v>78390</v>
      </c>
      <c r="H6" t="s">
        <v>207</v>
      </c>
      <c r="I6" s="7">
        <f ca="1">(TODAY()-Staff[[#This Row],[Date Joined]])/365</f>
        <v>1.5561643835616439</v>
      </c>
      <c r="J6" s="19">
        <f ca="1">ROUNDUP(IF(Staff[[#This Row],[Tensure]]&gt;=2,Staff[[#This Row],[Salary]]*0.03,Staff[[#This Row],[Salary]]*0.02),0)</f>
        <v>1568</v>
      </c>
      <c r="K6" s="7">
        <f>_xlfn.XLOOKUP(Staff[[#This Row],[Rating]],SalaryVsRating!$B$13:$B$17,SalaryVsRating!$C$13:$C$17,"")</f>
        <v>3</v>
      </c>
    </row>
    <row r="7" spans="1:11" x14ac:dyDescent="0.4">
      <c r="A7" t="s">
        <v>83</v>
      </c>
      <c r="B7" t="s">
        <v>9</v>
      </c>
      <c r="C7" s="11">
        <v>27</v>
      </c>
      <c r="D7" t="s">
        <v>14</v>
      </c>
      <c r="E7" s="47">
        <v>44134</v>
      </c>
      <c r="F7" t="s">
        <v>10</v>
      </c>
      <c r="G7" s="19">
        <v>54970</v>
      </c>
      <c r="H7" t="s">
        <v>207</v>
      </c>
      <c r="I7" s="7">
        <f ca="1">(TODAY()-Staff[[#This Row],[Date Joined]])/365</f>
        <v>2.6383561643835618</v>
      </c>
      <c r="J7" s="19">
        <f ca="1">ROUNDUP(IF(Staff[[#This Row],[Tensure]]&gt;=2,Staff[[#This Row],[Salary]]*0.03,Staff[[#This Row],[Salary]]*0.02),0)</f>
        <v>1650</v>
      </c>
      <c r="K7" s="7">
        <f>_xlfn.XLOOKUP(Staff[[#This Row],[Rating]],SalaryVsRating!$B$13:$B$17,SalaryVsRating!$C$13:$C$17,"")</f>
        <v>3</v>
      </c>
    </row>
    <row r="8" spans="1:11" x14ac:dyDescent="0.4">
      <c r="A8" t="s">
        <v>168</v>
      </c>
      <c r="B8" t="s">
        <v>9</v>
      </c>
      <c r="C8" s="11">
        <v>31</v>
      </c>
      <c r="D8" t="s">
        <v>14</v>
      </c>
      <c r="E8" s="47">
        <v>44450</v>
      </c>
      <c r="F8" t="s">
        <v>24</v>
      </c>
      <c r="G8" s="19">
        <v>48950</v>
      </c>
      <c r="H8" t="s">
        <v>205</v>
      </c>
      <c r="I8" s="7">
        <f ca="1">(TODAY()-Staff[[#This Row],[Date Joined]])/365</f>
        <v>1.7726027397260273</v>
      </c>
      <c r="J8" s="19">
        <f ca="1">ROUNDUP(IF(Staff[[#This Row],[Tensure]]&gt;=2,Staff[[#This Row],[Salary]]*0.03,Staff[[#This Row],[Salary]]*0.02),0)</f>
        <v>979</v>
      </c>
      <c r="K8" s="7">
        <f>_xlfn.XLOOKUP(Staff[[#This Row],[Rating]],SalaryVsRating!$B$13:$B$17,SalaryVsRating!$C$13:$C$17,"")</f>
        <v>3</v>
      </c>
    </row>
    <row r="9" spans="1:11" x14ac:dyDescent="0.4">
      <c r="A9" t="s">
        <v>12</v>
      </c>
      <c r="B9" t="s">
        <v>9</v>
      </c>
      <c r="C9" s="11">
        <v>46</v>
      </c>
      <c r="D9" t="s">
        <v>14</v>
      </c>
      <c r="E9" s="47">
        <v>44758</v>
      </c>
      <c r="F9" t="s">
        <v>13</v>
      </c>
      <c r="G9" s="19">
        <v>70610</v>
      </c>
      <c r="H9" t="s">
        <v>207</v>
      </c>
      <c r="I9" s="7">
        <f ca="1">(TODAY()-Staff[[#This Row],[Date Joined]])/365</f>
        <v>0.92876712328767119</v>
      </c>
      <c r="J9" s="19">
        <f ca="1">ROUNDUP(IF(Staff[[#This Row],[Tensure]]&gt;=2,Staff[[#This Row],[Salary]]*0.03,Staff[[#This Row],[Salary]]*0.02),0)</f>
        <v>1413</v>
      </c>
      <c r="K9" s="7">
        <f>_xlfn.XLOOKUP(Staff[[#This Row],[Rating]],SalaryVsRating!$B$13:$B$17,SalaryVsRating!$C$13:$C$17,"")</f>
        <v>3</v>
      </c>
    </row>
    <row r="10" spans="1:11" x14ac:dyDescent="0.4">
      <c r="A10" t="s">
        <v>136</v>
      </c>
      <c r="B10" t="s">
        <v>9</v>
      </c>
      <c r="C10" s="11">
        <v>24</v>
      </c>
      <c r="D10" t="s">
        <v>14</v>
      </c>
      <c r="E10" s="47">
        <v>44625</v>
      </c>
      <c r="F10" t="s">
        <v>24</v>
      </c>
      <c r="G10" s="19">
        <v>100420</v>
      </c>
      <c r="H10" t="s">
        <v>205</v>
      </c>
      <c r="I10" s="7">
        <f ca="1">(TODAY()-Staff[[#This Row],[Date Joined]])/365</f>
        <v>1.2931506849315069</v>
      </c>
      <c r="J10" s="19">
        <f ca="1">ROUNDUP(IF(Staff[[#This Row],[Tensure]]&gt;=2,Staff[[#This Row],[Salary]]*0.03,Staff[[#This Row],[Salary]]*0.02),0)</f>
        <v>2009</v>
      </c>
      <c r="K10" s="7">
        <f>_xlfn.XLOOKUP(Staff[[#This Row],[Rating]],SalaryVsRating!$B$13:$B$17,SalaryVsRating!$C$13:$C$17,"")</f>
        <v>3</v>
      </c>
    </row>
    <row r="11" spans="1:11" x14ac:dyDescent="0.4">
      <c r="A11" t="s">
        <v>77</v>
      </c>
      <c r="B11" t="s">
        <v>9</v>
      </c>
      <c r="C11" s="11">
        <v>30</v>
      </c>
      <c r="D11" t="s">
        <v>14</v>
      </c>
      <c r="E11" s="47">
        <v>44273</v>
      </c>
      <c r="F11" t="s">
        <v>24</v>
      </c>
      <c r="G11" s="19">
        <v>69120</v>
      </c>
      <c r="H11" t="s">
        <v>207</v>
      </c>
      <c r="I11" s="7">
        <f ca="1">(TODAY()-Staff[[#This Row],[Date Joined]])/365</f>
        <v>2.2575342465753425</v>
      </c>
      <c r="J11" s="19">
        <f ca="1">ROUNDUP(IF(Staff[[#This Row],[Tensure]]&gt;=2,Staff[[#This Row],[Salary]]*0.03,Staff[[#This Row],[Salary]]*0.02),0)</f>
        <v>2074</v>
      </c>
      <c r="K11" s="7">
        <f>_xlfn.XLOOKUP(Staff[[#This Row],[Rating]],SalaryVsRating!$B$13:$B$17,SalaryVsRating!$C$13:$C$17,"")</f>
        <v>3</v>
      </c>
    </row>
    <row r="12" spans="1:11" x14ac:dyDescent="0.4">
      <c r="A12" t="s">
        <v>147</v>
      </c>
      <c r="B12" t="s">
        <v>16</v>
      </c>
      <c r="C12" s="11">
        <v>27</v>
      </c>
      <c r="D12" t="s">
        <v>14</v>
      </c>
      <c r="E12" s="47">
        <v>44061</v>
      </c>
      <c r="F12" t="s">
        <v>27</v>
      </c>
      <c r="G12" s="19">
        <v>119110</v>
      </c>
      <c r="H12" t="s">
        <v>205</v>
      </c>
      <c r="I12" s="7">
        <f ca="1">(TODAY()-Staff[[#This Row],[Date Joined]])/365</f>
        <v>2.8383561643835615</v>
      </c>
      <c r="J12" s="19">
        <f ca="1">ROUNDUP(IF(Staff[[#This Row],[Tensure]]&gt;=2,Staff[[#This Row],[Salary]]*0.03,Staff[[#This Row],[Salary]]*0.02),0)</f>
        <v>3574</v>
      </c>
      <c r="K12" s="7">
        <f>_xlfn.XLOOKUP(Staff[[#This Row],[Rating]],SalaryVsRating!$B$13:$B$17,SalaryVsRating!$C$13:$C$17,"")</f>
        <v>3</v>
      </c>
    </row>
    <row r="13" spans="1:11" x14ac:dyDescent="0.4">
      <c r="A13" t="s">
        <v>152</v>
      </c>
      <c r="B13" t="s">
        <v>16</v>
      </c>
      <c r="C13" s="11">
        <v>28</v>
      </c>
      <c r="D13" t="s">
        <v>14</v>
      </c>
      <c r="E13" s="47">
        <v>44296</v>
      </c>
      <c r="F13" t="s">
        <v>10</v>
      </c>
      <c r="G13" s="19">
        <v>53240</v>
      </c>
      <c r="H13" t="s">
        <v>205</v>
      </c>
      <c r="I13" s="7">
        <f ca="1">(TODAY()-Staff[[#This Row],[Date Joined]])/365</f>
        <v>2.1945205479452055</v>
      </c>
      <c r="J13" s="19">
        <f ca="1">ROUNDUP(IF(Staff[[#This Row],[Tensure]]&gt;=2,Staff[[#This Row],[Salary]]*0.03,Staff[[#This Row],[Salary]]*0.02),0)</f>
        <v>1598</v>
      </c>
      <c r="K13" s="7">
        <f>_xlfn.XLOOKUP(Staff[[#This Row],[Rating]],SalaryVsRating!$B$13:$B$17,SalaryVsRating!$C$13:$C$17,"")</f>
        <v>3</v>
      </c>
    </row>
    <row r="14" spans="1:11" x14ac:dyDescent="0.4">
      <c r="A14" t="s">
        <v>96</v>
      </c>
      <c r="B14" t="s">
        <v>9</v>
      </c>
      <c r="C14" s="11">
        <v>35</v>
      </c>
      <c r="D14" t="s">
        <v>14</v>
      </c>
      <c r="E14" s="47">
        <v>44727</v>
      </c>
      <c r="F14" t="s">
        <v>13</v>
      </c>
      <c r="G14" s="19">
        <v>40400</v>
      </c>
      <c r="H14" t="s">
        <v>207</v>
      </c>
      <c r="I14" s="7">
        <f ca="1">(TODAY()-Staff[[#This Row],[Date Joined]])/365</f>
        <v>1.0136986301369864</v>
      </c>
      <c r="J14" s="19">
        <f ca="1">ROUNDUP(IF(Staff[[#This Row],[Tensure]]&gt;=2,Staff[[#This Row],[Salary]]*0.03,Staff[[#This Row],[Salary]]*0.02),0)</f>
        <v>808</v>
      </c>
      <c r="K14" s="7">
        <f>_xlfn.XLOOKUP(Staff[[#This Row],[Rating]],SalaryVsRating!$B$13:$B$17,SalaryVsRating!$C$13:$C$17,"")</f>
        <v>3</v>
      </c>
    </row>
    <row r="15" spans="1:11" x14ac:dyDescent="0.4">
      <c r="A15" t="s">
        <v>123</v>
      </c>
      <c r="B15" t="s">
        <v>9</v>
      </c>
      <c r="C15" s="11">
        <v>28</v>
      </c>
      <c r="D15" t="s">
        <v>11</v>
      </c>
      <c r="E15" s="47">
        <v>43980</v>
      </c>
      <c r="F15" t="s">
        <v>18</v>
      </c>
      <c r="G15" s="19">
        <v>48170</v>
      </c>
      <c r="H15" t="s">
        <v>205</v>
      </c>
      <c r="I15" s="7">
        <f ca="1">(TODAY()-Staff[[#This Row],[Date Joined]])/365</f>
        <v>3.0602739726027397</v>
      </c>
      <c r="J15" s="19">
        <f ca="1">ROUNDUP(IF(Staff[[#This Row],[Tensure]]&gt;=2,Staff[[#This Row],[Salary]]*0.03,Staff[[#This Row],[Salary]]*0.02),0)</f>
        <v>1446</v>
      </c>
      <c r="K15" s="7">
        <f>_xlfn.XLOOKUP(Staff[[#This Row],[Rating]],SalaryVsRating!$B$13:$B$17,SalaryVsRating!$C$13:$C$17,"")</f>
        <v>4</v>
      </c>
    </row>
    <row r="16" spans="1:11" x14ac:dyDescent="0.4">
      <c r="A16" t="s">
        <v>200</v>
      </c>
      <c r="B16" t="s">
        <v>9</v>
      </c>
      <c r="C16" s="11">
        <v>33</v>
      </c>
      <c r="D16" t="s">
        <v>14</v>
      </c>
      <c r="E16" s="47">
        <v>44181</v>
      </c>
      <c r="F16" t="s">
        <v>18</v>
      </c>
      <c r="G16" s="19">
        <v>59430</v>
      </c>
      <c r="H16" t="s">
        <v>205</v>
      </c>
      <c r="I16" s="7">
        <f ca="1">(TODAY()-Staff[[#This Row],[Date Joined]])/365</f>
        <v>2.5095890410958903</v>
      </c>
      <c r="J16" s="19">
        <f ca="1">ROUNDUP(IF(Staff[[#This Row],[Tensure]]&gt;=2,Staff[[#This Row],[Salary]]*0.03,Staff[[#This Row],[Salary]]*0.02),0)</f>
        <v>1783</v>
      </c>
      <c r="K16" s="7">
        <f>_xlfn.XLOOKUP(Staff[[#This Row],[Rating]],SalaryVsRating!$B$13:$B$17,SalaryVsRating!$C$13:$C$17,"")</f>
        <v>3</v>
      </c>
    </row>
    <row r="17" spans="1:11" x14ac:dyDescent="0.4">
      <c r="A17" t="s">
        <v>195</v>
      </c>
      <c r="B17" t="s">
        <v>16</v>
      </c>
      <c r="C17" s="11">
        <v>33</v>
      </c>
      <c r="D17" t="s">
        <v>50</v>
      </c>
      <c r="E17" s="47">
        <v>44313</v>
      </c>
      <c r="F17" t="s">
        <v>24</v>
      </c>
      <c r="G17" s="19">
        <v>75480</v>
      </c>
      <c r="H17" t="s">
        <v>205</v>
      </c>
      <c r="I17" s="7">
        <f ca="1">(TODAY()-Staff[[#This Row],[Date Joined]])/365</f>
        <v>2.1479452054794521</v>
      </c>
      <c r="J17" s="19">
        <f ca="1">ROUNDUP(IF(Staff[[#This Row],[Tensure]]&gt;=2,Staff[[#This Row],[Salary]]*0.03,Staff[[#This Row],[Salary]]*0.02),0)</f>
        <v>2265</v>
      </c>
      <c r="K17" s="7">
        <f>_xlfn.XLOOKUP(Staff[[#This Row],[Rating]],SalaryVsRating!$B$13:$B$17,SalaryVsRating!$C$13:$C$17,"")</f>
        <v>1</v>
      </c>
    </row>
    <row r="18" spans="1:11" x14ac:dyDescent="0.4">
      <c r="A18" t="s">
        <v>125</v>
      </c>
      <c r="B18" t="s">
        <v>9</v>
      </c>
      <c r="C18" s="11">
        <v>34</v>
      </c>
      <c r="D18" t="s">
        <v>14</v>
      </c>
      <c r="E18" s="47">
        <v>44642</v>
      </c>
      <c r="F18" t="s">
        <v>13</v>
      </c>
      <c r="G18" s="19">
        <v>112650</v>
      </c>
      <c r="H18" t="s">
        <v>205</v>
      </c>
      <c r="I18" s="7">
        <f ca="1">(TODAY()-Staff[[#This Row],[Date Joined]])/365</f>
        <v>1.2465753424657535</v>
      </c>
      <c r="J18" s="19">
        <f ca="1">ROUNDUP(IF(Staff[[#This Row],[Tensure]]&gt;=2,Staff[[#This Row],[Salary]]*0.03,Staff[[#This Row],[Salary]]*0.02),0)</f>
        <v>2253</v>
      </c>
      <c r="K18" s="7">
        <f>_xlfn.XLOOKUP(Staff[[#This Row],[Rating]],SalaryVsRating!$B$13:$B$17,SalaryVsRating!$C$13:$C$17,"")</f>
        <v>3</v>
      </c>
    </row>
    <row r="19" spans="1:11" x14ac:dyDescent="0.4">
      <c r="A19" t="s">
        <v>43</v>
      </c>
      <c r="B19" t="s">
        <v>16</v>
      </c>
      <c r="C19" s="11">
        <v>42</v>
      </c>
      <c r="D19" t="s">
        <v>44</v>
      </c>
      <c r="E19" s="47">
        <v>44779</v>
      </c>
      <c r="F19" t="s">
        <v>13</v>
      </c>
      <c r="G19" s="19">
        <v>75000</v>
      </c>
      <c r="H19" t="s">
        <v>207</v>
      </c>
      <c r="I19" s="7">
        <f ca="1">(TODAY()-Staff[[#This Row],[Date Joined]])/365</f>
        <v>0.87123287671232874</v>
      </c>
      <c r="J19" s="19">
        <f ca="1">ROUNDUP(IF(Staff[[#This Row],[Tensure]]&gt;=2,Staff[[#This Row],[Salary]]*0.03,Staff[[#This Row],[Salary]]*0.02),0)</f>
        <v>1500</v>
      </c>
      <c r="K19" s="7">
        <f>_xlfn.XLOOKUP(Staff[[#This Row],[Rating]],SalaryVsRating!$B$13:$B$17,SalaryVsRating!$C$13:$C$17,"")</f>
        <v>5</v>
      </c>
    </row>
    <row r="20" spans="1:11" x14ac:dyDescent="0.4">
      <c r="A20" t="s">
        <v>175</v>
      </c>
      <c r="B20" t="s">
        <v>9</v>
      </c>
      <c r="C20" s="11">
        <v>40</v>
      </c>
      <c r="D20" t="s">
        <v>14</v>
      </c>
      <c r="E20" s="47">
        <v>44204</v>
      </c>
      <c r="F20" t="s">
        <v>13</v>
      </c>
      <c r="G20" s="19">
        <v>99750</v>
      </c>
      <c r="H20" t="s">
        <v>205</v>
      </c>
      <c r="I20" s="7">
        <f ca="1">(TODAY()-Staff[[#This Row],[Date Joined]])/365</f>
        <v>2.4465753424657533</v>
      </c>
      <c r="J20" s="19">
        <f ca="1">ROUNDUP(IF(Staff[[#This Row],[Tensure]]&gt;=2,Staff[[#This Row],[Salary]]*0.03,Staff[[#This Row],[Salary]]*0.02),0)</f>
        <v>2993</v>
      </c>
      <c r="K20" s="7">
        <f>_xlfn.XLOOKUP(Staff[[#This Row],[Rating]],SalaryVsRating!$B$13:$B$17,SalaryVsRating!$C$13:$C$17,"")</f>
        <v>3</v>
      </c>
    </row>
    <row r="21" spans="1:11" x14ac:dyDescent="0.4">
      <c r="A21" t="s">
        <v>74</v>
      </c>
      <c r="B21" t="s">
        <v>9</v>
      </c>
      <c r="C21" s="11">
        <v>36</v>
      </c>
      <c r="D21" t="s">
        <v>14</v>
      </c>
      <c r="E21" s="47">
        <v>44333</v>
      </c>
      <c r="F21" t="s">
        <v>18</v>
      </c>
      <c r="G21" s="19">
        <v>71380</v>
      </c>
      <c r="H21" t="s">
        <v>207</v>
      </c>
      <c r="I21" s="7">
        <f ca="1">(TODAY()-Staff[[#This Row],[Date Joined]])/365</f>
        <v>2.0931506849315067</v>
      </c>
      <c r="J21" s="19">
        <f ca="1">ROUNDUP(IF(Staff[[#This Row],[Tensure]]&gt;=2,Staff[[#This Row],[Salary]]*0.03,Staff[[#This Row],[Salary]]*0.02),0)</f>
        <v>2142</v>
      </c>
      <c r="K21" s="7">
        <f>_xlfn.XLOOKUP(Staff[[#This Row],[Rating]],SalaryVsRating!$B$13:$B$17,SalaryVsRating!$C$13:$C$17,"")</f>
        <v>3</v>
      </c>
    </row>
    <row r="22" spans="1:11" x14ac:dyDescent="0.4">
      <c r="A22" t="s">
        <v>17</v>
      </c>
      <c r="B22" t="s">
        <v>206</v>
      </c>
      <c r="C22" s="11">
        <v>37</v>
      </c>
      <c r="D22" t="s">
        <v>19</v>
      </c>
      <c r="E22" s="47">
        <v>44146</v>
      </c>
      <c r="F22" t="s">
        <v>18</v>
      </c>
      <c r="G22" s="19">
        <v>115440</v>
      </c>
      <c r="H22" t="s">
        <v>207</v>
      </c>
      <c r="I22" s="7">
        <f ca="1">(TODAY()-Staff[[#This Row],[Date Joined]])/365</f>
        <v>2.6054794520547944</v>
      </c>
      <c r="J22" s="19">
        <f ca="1">ROUNDUP(IF(Staff[[#This Row],[Tensure]]&gt;=2,Staff[[#This Row],[Salary]]*0.03,Staff[[#This Row],[Salary]]*0.02),0)</f>
        <v>3464</v>
      </c>
      <c r="K22" s="7">
        <f>_xlfn.XLOOKUP(Staff[[#This Row],[Rating]],SalaryVsRating!$B$13:$B$17,SalaryVsRating!$C$13:$C$17,"")</f>
        <v>2</v>
      </c>
    </row>
    <row r="23" spans="1:11" x14ac:dyDescent="0.4">
      <c r="A23" t="s">
        <v>55</v>
      </c>
      <c r="B23" t="s">
        <v>16</v>
      </c>
      <c r="C23" s="11">
        <v>28</v>
      </c>
      <c r="D23" t="s">
        <v>14</v>
      </c>
      <c r="E23" s="47">
        <v>44630</v>
      </c>
      <c r="F23" t="s">
        <v>13</v>
      </c>
      <c r="G23" s="19">
        <v>99970</v>
      </c>
      <c r="H23" t="s">
        <v>207</v>
      </c>
      <c r="I23" s="7">
        <f ca="1">(TODAY()-Staff[[#This Row],[Date Joined]])/365</f>
        <v>1.2794520547945205</v>
      </c>
      <c r="J23" s="19">
        <f ca="1">ROUNDUP(IF(Staff[[#This Row],[Tensure]]&gt;=2,Staff[[#This Row],[Salary]]*0.03,Staff[[#This Row],[Salary]]*0.02),0)</f>
        <v>2000</v>
      </c>
      <c r="K23" s="7">
        <f>_xlfn.XLOOKUP(Staff[[#This Row],[Rating]],SalaryVsRating!$B$13:$B$17,SalaryVsRating!$C$13:$C$17,"")</f>
        <v>3</v>
      </c>
    </row>
    <row r="24" spans="1:11" x14ac:dyDescent="0.4">
      <c r="A24" t="s">
        <v>28</v>
      </c>
      <c r="B24" t="s">
        <v>9</v>
      </c>
      <c r="C24" s="11">
        <v>29</v>
      </c>
      <c r="D24" t="s">
        <v>19</v>
      </c>
      <c r="E24" s="47">
        <v>44180</v>
      </c>
      <c r="F24" t="s">
        <v>24</v>
      </c>
      <c r="G24" s="19">
        <v>112110</v>
      </c>
      <c r="H24" t="s">
        <v>207</v>
      </c>
      <c r="I24" s="7">
        <f ca="1">(TODAY()-Staff[[#This Row],[Date Joined]])/365</f>
        <v>2.5123287671232877</v>
      </c>
      <c r="J24" s="19">
        <f ca="1">ROUNDUP(IF(Staff[[#This Row],[Tensure]]&gt;=2,Staff[[#This Row],[Salary]]*0.03,Staff[[#This Row],[Salary]]*0.02),0)</f>
        <v>3364</v>
      </c>
      <c r="K24" s="7">
        <f>_xlfn.XLOOKUP(Staff[[#This Row],[Rating]],SalaryVsRating!$B$13:$B$17,SalaryVsRating!$C$13:$C$17,"")</f>
        <v>2</v>
      </c>
    </row>
    <row r="25" spans="1:11" x14ac:dyDescent="0.4">
      <c r="A25" t="s">
        <v>47</v>
      </c>
      <c r="B25" t="s">
        <v>16</v>
      </c>
      <c r="C25" s="11">
        <v>28</v>
      </c>
      <c r="D25" t="s">
        <v>14</v>
      </c>
      <c r="E25" s="47">
        <v>44185</v>
      </c>
      <c r="F25" t="s">
        <v>18</v>
      </c>
      <c r="G25" s="19">
        <v>75970</v>
      </c>
      <c r="H25" t="s">
        <v>207</v>
      </c>
      <c r="I25" s="7">
        <f ca="1">(TODAY()-Staff[[#This Row],[Date Joined]])/365</f>
        <v>2.4986301369863013</v>
      </c>
      <c r="J25" s="19">
        <f ca="1">ROUNDUP(IF(Staff[[#This Row],[Tensure]]&gt;=2,Staff[[#This Row],[Salary]]*0.03,Staff[[#This Row],[Salary]]*0.02),0)</f>
        <v>2280</v>
      </c>
      <c r="K25" s="7">
        <f>_xlfn.XLOOKUP(Staff[[#This Row],[Rating]],SalaryVsRating!$B$13:$B$17,SalaryVsRating!$C$13:$C$17,"")</f>
        <v>3</v>
      </c>
    </row>
    <row r="26" spans="1:11" x14ac:dyDescent="0.4">
      <c r="A26" t="s">
        <v>144</v>
      </c>
      <c r="B26" t="s">
        <v>16</v>
      </c>
      <c r="C26" s="11">
        <v>25</v>
      </c>
      <c r="D26" t="s">
        <v>11</v>
      </c>
      <c r="E26" s="47">
        <v>44633</v>
      </c>
      <c r="F26" t="s">
        <v>24</v>
      </c>
      <c r="G26" s="19">
        <v>80700</v>
      </c>
      <c r="H26" t="s">
        <v>205</v>
      </c>
      <c r="I26" s="7">
        <f ca="1">(TODAY()-Staff[[#This Row],[Date Joined]])/365</f>
        <v>1.2712328767123289</v>
      </c>
      <c r="J26" s="19">
        <f ca="1">ROUNDUP(IF(Staff[[#This Row],[Tensure]]&gt;=2,Staff[[#This Row],[Salary]]*0.03,Staff[[#This Row],[Salary]]*0.02),0)</f>
        <v>1614</v>
      </c>
      <c r="K26" s="7">
        <f>_xlfn.XLOOKUP(Staff[[#This Row],[Rating]],SalaryVsRating!$B$13:$B$17,SalaryVsRating!$C$13:$C$17,"")</f>
        <v>4</v>
      </c>
    </row>
    <row r="27" spans="1:11" x14ac:dyDescent="0.4">
      <c r="A27" t="s">
        <v>98</v>
      </c>
      <c r="B27" t="s">
        <v>9</v>
      </c>
      <c r="C27" s="11">
        <v>43</v>
      </c>
      <c r="D27" t="s">
        <v>14</v>
      </c>
      <c r="E27" s="47">
        <v>44620</v>
      </c>
      <c r="F27" t="s">
        <v>10</v>
      </c>
      <c r="G27" s="19">
        <v>36040</v>
      </c>
      <c r="H27" t="s">
        <v>207</v>
      </c>
      <c r="I27" s="7">
        <f ca="1">(TODAY()-Staff[[#This Row],[Date Joined]])/365</f>
        <v>1.3068493150684932</v>
      </c>
      <c r="J27" s="19">
        <f ca="1">ROUNDUP(IF(Staff[[#This Row],[Tensure]]&gt;=2,Staff[[#This Row],[Salary]]*0.03,Staff[[#This Row],[Salary]]*0.02),0)</f>
        <v>721</v>
      </c>
      <c r="K27" s="7">
        <f>_xlfn.XLOOKUP(Staff[[#This Row],[Rating]],SalaryVsRating!$B$13:$B$17,SalaryVsRating!$C$13:$C$17,"")</f>
        <v>3</v>
      </c>
    </row>
    <row r="28" spans="1:11" x14ac:dyDescent="0.4">
      <c r="A28" t="s">
        <v>40</v>
      </c>
      <c r="B28" t="s">
        <v>16</v>
      </c>
      <c r="C28" s="11">
        <v>31</v>
      </c>
      <c r="D28" t="s">
        <v>14</v>
      </c>
      <c r="E28" s="47">
        <v>44663</v>
      </c>
      <c r="F28" t="s">
        <v>24</v>
      </c>
      <c r="G28" s="19">
        <v>58100</v>
      </c>
      <c r="H28" t="s">
        <v>207</v>
      </c>
      <c r="I28" s="7">
        <f ca="1">(TODAY()-Staff[[#This Row],[Date Joined]])/365</f>
        <v>1.189041095890411</v>
      </c>
      <c r="J28" s="19">
        <f ca="1">ROUNDUP(IF(Staff[[#This Row],[Tensure]]&gt;=2,Staff[[#This Row],[Salary]]*0.03,Staff[[#This Row],[Salary]]*0.02),0)</f>
        <v>1162</v>
      </c>
      <c r="K28" s="7">
        <f>_xlfn.XLOOKUP(Staff[[#This Row],[Rating]],SalaryVsRating!$B$13:$B$17,SalaryVsRating!$C$13:$C$17,"")</f>
        <v>3</v>
      </c>
    </row>
    <row r="29" spans="1:11" x14ac:dyDescent="0.4">
      <c r="A29" t="s">
        <v>49</v>
      </c>
      <c r="B29" t="s">
        <v>16</v>
      </c>
      <c r="C29" s="11">
        <v>33</v>
      </c>
      <c r="D29" t="s">
        <v>50</v>
      </c>
      <c r="E29" s="47">
        <v>44374</v>
      </c>
      <c r="F29" t="s">
        <v>24</v>
      </c>
      <c r="G29" s="19">
        <v>75480</v>
      </c>
      <c r="H29" t="s">
        <v>207</v>
      </c>
      <c r="I29" s="7">
        <f ca="1">(TODAY()-Staff[[#This Row],[Date Joined]])/365</f>
        <v>1.9808219178082191</v>
      </c>
      <c r="J29" s="19">
        <f ca="1">ROUNDUP(IF(Staff[[#This Row],[Tensure]]&gt;=2,Staff[[#This Row],[Salary]]*0.03,Staff[[#This Row],[Salary]]*0.02),0)</f>
        <v>1510</v>
      </c>
      <c r="K29" s="7">
        <f>_xlfn.XLOOKUP(Staff[[#This Row],[Rating]],SalaryVsRating!$B$13:$B$17,SalaryVsRating!$C$13:$C$17,"")</f>
        <v>1</v>
      </c>
    </row>
    <row r="30" spans="1:11" x14ac:dyDescent="0.4">
      <c r="A30" t="s">
        <v>99</v>
      </c>
      <c r="B30" t="s">
        <v>16</v>
      </c>
      <c r="C30" s="11">
        <v>40</v>
      </c>
      <c r="D30" t="s">
        <v>14</v>
      </c>
      <c r="E30" s="47">
        <v>44381</v>
      </c>
      <c r="F30" t="s">
        <v>24</v>
      </c>
      <c r="G30" s="19">
        <v>104410</v>
      </c>
      <c r="H30" t="s">
        <v>207</v>
      </c>
      <c r="I30" s="7">
        <f ca="1">(TODAY()-Staff[[#This Row],[Date Joined]])/365</f>
        <v>1.9616438356164383</v>
      </c>
      <c r="J30" s="19">
        <f ca="1">ROUNDUP(IF(Staff[[#This Row],[Tensure]]&gt;=2,Staff[[#This Row],[Salary]]*0.03,Staff[[#This Row],[Salary]]*0.02),0)</f>
        <v>2089</v>
      </c>
      <c r="K30" s="7">
        <f>_xlfn.XLOOKUP(Staff[[#This Row],[Rating]],SalaryVsRating!$B$13:$B$17,SalaryVsRating!$C$13:$C$17,"")</f>
        <v>3</v>
      </c>
    </row>
    <row r="31" spans="1:11" x14ac:dyDescent="0.4">
      <c r="A31" t="s">
        <v>160</v>
      </c>
      <c r="B31" t="s">
        <v>9</v>
      </c>
      <c r="C31" s="11">
        <v>42</v>
      </c>
      <c r="D31" t="s">
        <v>19</v>
      </c>
      <c r="E31" s="47">
        <v>44670</v>
      </c>
      <c r="F31" t="s">
        <v>18</v>
      </c>
      <c r="G31" s="19">
        <v>70270</v>
      </c>
      <c r="H31" t="s">
        <v>205</v>
      </c>
      <c r="I31" s="7">
        <f ca="1">(TODAY()-Staff[[#This Row],[Date Joined]])/365</f>
        <v>1.1698630136986301</v>
      </c>
      <c r="J31" s="19">
        <f ca="1">ROUNDUP(IF(Staff[[#This Row],[Tensure]]&gt;=2,Staff[[#This Row],[Salary]]*0.03,Staff[[#This Row],[Salary]]*0.02),0)</f>
        <v>1406</v>
      </c>
      <c r="K31" s="7">
        <f>_xlfn.XLOOKUP(Staff[[#This Row],[Rating]],SalaryVsRating!$B$13:$B$17,SalaryVsRating!$C$13:$C$17,"")</f>
        <v>2</v>
      </c>
    </row>
    <row r="32" spans="1:11" x14ac:dyDescent="0.4">
      <c r="A32" t="s">
        <v>90</v>
      </c>
      <c r="B32" t="s">
        <v>16</v>
      </c>
      <c r="C32" s="11">
        <v>28</v>
      </c>
      <c r="D32" t="s">
        <v>14</v>
      </c>
      <c r="E32" s="47">
        <v>44649</v>
      </c>
      <c r="F32" t="s">
        <v>13</v>
      </c>
      <c r="G32" s="19">
        <v>104120</v>
      </c>
      <c r="H32" t="s">
        <v>207</v>
      </c>
      <c r="I32" s="7">
        <f ca="1">(TODAY()-Staff[[#This Row],[Date Joined]])/365</f>
        <v>1.2273972602739727</v>
      </c>
      <c r="J32" s="19">
        <f ca="1">ROUNDUP(IF(Staff[[#This Row],[Tensure]]&gt;=2,Staff[[#This Row],[Salary]]*0.03,Staff[[#This Row],[Salary]]*0.02),0)</f>
        <v>2083</v>
      </c>
      <c r="K32" s="7">
        <f>_xlfn.XLOOKUP(Staff[[#This Row],[Rating]],SalaryVsRating!$B$13:$B$17,SalaryVsRating!$C$13:$C$17,"")</f>
        <v>3</v>
      </c>
    </row>
    <row r="33" spans="1:11" x14ac:dyDescent="0.4">
      <c r="A33" t="s">
        <v>91</v>
      </c>
      <c r="B33" t="s">
        <v>9</v>
      </c>
      <c r="C33" s="11">
        <v>37</v>
      </c>
      <c r="D33" t="s">
        <v>19</v>
      </c>
      <c r="E33" s="47">
        <v>44338</v>
      </c>
      <c r="F33" t="s">
        <v>24</v>
      </c>
      <c r="G33" s="19">
        <v>88050</v>
      </c>
      <c r="H33" t="s">
        <v>207</v>
      </c>
      <c r="I33" s="7">
        <f ca="1">(TODAY()-Staff[[#This Row],[Date Joined]])/365</f>
        <v>2.0794520547945203</v>
      </c>
      <c r="J33" s="19">
        <f ca="1">ROUNDUP(IF(Staff[[#This Row],[Tensure]]&gt;=2,Staff[[#This Row],[Salary]]*0.03,Staff[[#This Row],[Salary]]*0.02),0)</f>
        <v>2642</v>
      </c>
      <c r="K33" s="7">
        <f>_xlfn.XLOOKUP(Staff[[#This Row],[Rating]],SalaryVsRating!$B$13:$B$17,SalaryVsRating!$C$13:$C$17,"")</f>
        <v>2</v>
      </c>
    </row>
    <row r="34" spans="1:11" x14ac:dyDescent="0.4">
      <c r="A34" t="s">
        <v>180</v>
      </c>
      <c r="B34" t="s">
        <v>9</v>
      </c>
      <c r="C34" s="11">
        <v>26</v>
      </c>
      <c r="D34" t="s">
        <v>14</v>
      </c>
      <c r="E34" s="47">
        <v>44350</v>
      </c>
      <c r="F34" t="s">
        <v>13</v>
      </c>
      <c r="G34" s="19">
        <v>53540</v>
      </c>
      <c r="H34" t="s">
        <v>205</v>
      </c>
      <c r="I34" s="7">
        <f ca="1">(TODAY()-Staff[[#This Row],[Date Joined]])/365</f>
        <v>2.0465753424657533</v>
      </c>
      <c r="J34" s="19">
        <f ca="1">ROUNDUP(IF(Staff[[#This Row],[Tensure]]&gt;=2,Staff[[#This Row],[Salary]]*0.03,Staff[[#This Row],[Salary]]*0.02),0)</f>
        <v>1607</v>
      </c>
      <c r="K34" s="7">
        <f>_xlfn.XLOOKUP(Staff[[#This Row],[Rating]],SalaryVsRating!$B$13:$B$17,SalaryVsRating!$C$13:$C$17,"")</f>
        <v>3</v>
      </c>
    </row>
    <row r="35" spans="1:11" x14ac:dyDescent="0.4">
      <c r="A35" t="s">
        <v>92</v>
      </c>
      <c r="B35" t="s">
        <v>9</v>
      </c>
      <c r="C35" s="11">
        <v>24</v>
      </c>
      <c r="D35" t="s">
        <v>14</v>
      </c>
      <c r="E35" s="47">
        <v>44686</v>
      </c>
      <c r="F35" t="s">
        <v>24</v>
      </c>
      <c r="G35" s="19">
        <v>100420</v>
      </c>
      <c r="H35" t="s">
        <v>207</v>
      </c>
      <c r="I35" s="7">
        <f ca="1">(TODAY()-Staff[[#This Row],[Date Joined]])/365</f>
        <v>1.1260273972602739</v>
      </c>
      <c r="J35" s="19">
        <f ca="1">ROUNDUP(IF(Staff[[#This Row],[Tensure]]&gt;=2,Staff[[#This Row],[Salary]]*0.03,Staff[[#This Row],[Salary]]*0.02),0)</f>
        <v>2009</v>
      </c>
      <c r="K35" s="7">
        <f>_xlfn.XLOOKUP(Staff[[#This Row],[Rating]],SalaryVsRating!$B$13:$B$17,SalaryVsRating!$C$13:$C$17,"")</f>
        <v>3</v>
      </c>
    </row>
    <row r="36" spans="1:11" x14ac:dyDescent="0.4">
      <c r="A36" t="s">
        <v>100</v>
      </c>
      <c r="B36" t="s">
        <v>9</v>
      </c>
      <c r="C36" s="11">
        <v>30</v>
      </c>
      <c r="D36" t="s">
        <v>14</v>
      </c>
      <c r="E36" s="47">
        <v>44606</v>
      </c>
      <c r="F36" t="s">
        <v>18</v>
      </c>
      <c r="G36" s="19">
        <v>96800</v>
      </c>
      <c r="H36" t="s">
        <v>207</v>
      </c>
      <c r="I36" s="7">
        <f ca="1">(TODAY()-Staff[[#This Row],[Date Joined]])/365</f>
        <v>1.3452054794520547</v>
      </c>
      <c r="J36" s="19">
        <f ca="1">ROUNDUP(IF(Staff[[#This Row],[Tensure]]&gt;=2,Staff[[#This Row],[Salary]]*0.03,Staff[[#This Row],[Salary]]*0.02),0)</f>
        <v>1936</v>
      </c>
      <c r="K36" s="7">
        <f>_xlfn.XLOOKUP(Staff[[#This Row],[Rating]],SalaryVsRating!$B$13:$B$17,SalaryVsRating!$C$13:$C$17,"")</f>
        <v>3</v>
      </c>
    </row>
    <row r="37" spans="1:11" x14ac:dyDescent="0.4">
      <c r="A37" t="s">
        <v>105</v>
      </c>
      <c r="B37" t="s">
        <v>16</v>
      </c>
      <c r="C37" s="11">
        <v>32</v>
      </c>
      <c r="D37" t="s">
        <v>14</v>
      </c>
      <c r="E37" s="47">
        <v>44611</v>
      </c>
      <c r="F37" t="s">
        <v>13</v>
      </c>
      <c r="G37" s="19">
        <v>41570</v>
      </c>
      <c r="H37" t="s">
        <v>207</v>
      </c>
      <c r="I37" s="7">
        <f ca="1">(TODAY()-Staff[[#This Row],[Date Joined]])/365</f>
        <v>1.3315068493150686</v>
      </c>
      <c r="J37" s="19">
        <f ca="1">ROUNDUP(IF(Staff[[#This Row],[Tensure]]&gt;=2,Staff[[#This Row],[Salary]]*0.03,Staff[[#This Row],[Salary]]*0.02),0)</f>
        <v>832</v>
      </c>
      <c r="K37" s="7">
        <f>_xlfn.XLOOKUP(Staff[[#This Row],[Rating]],SalaryVsRating!$B$13:$B$17,SalaryVsRating!$C$13:$C$17,"")</f>
        <v>3</v>
      </c>
    </row>
    <row r="38" spans="1:11" x14ac:dyDescent="0.4">
      <c r="A38" t="s">
        <v>42</v>
      </c>
      <c r="B38" t="s">
        <v>206</v>
      </c>
      <c r="C38" s="11">
        <v>30</v>
      </c>
      <c r="D38" t="s">
        <v>14</v>
      </c>
      <c r="E38" s="47">
        <v>44597</v>
      </c>
      <c r="F38" t="s">
        <v>18</v>
      </c>
      <c r="G38" s="19">
        <v>64000</v>
      </c>
      <c r="H38" t="s">
        <v>207</v>
      </c>
      <c r="I38" s="7">
        <f ca="1">(TODAY()-Staff[[#This Row],[Date Joined]])/365</f>
        <v>1.3698630136986301</v>
      </c>
      <c r="J38" s="19">
        <f ca="1">ROUNDUP(IF(Staff[[#This Row],[Tensure]]&gt;=2,Staff[[#This Row],[Salary]]*0.03,Staff[[#This Row],[Salary]]*0.02),0)</f>
        <v>1280</v>
      </c>
      <c r="K38" s="7">
        <f>_xlfn.XLOOKUP(Staff[[#This Row],[Rating]],SalaryVsRating!$B$13:$B$17,SalaryVsRating!$C$13:$C$17,"")</f>
        <v>3</v>
      </c>
    </row>
    <row r="39" spans="1:11" x14ac:dyDescent="0.4">
      <c r="A39" t="s">
        <v>120</v>
      </c>
      <c r="B39" t="s">
        <v>9</v>
      </c>
      <c r="C39" s="11">
        <v>25</v>
      </c>
      <c r="D39" t="s">
        <v>11</v>
      </c>
      <c r="E39" s="47">
        <v>44665</v>
      </c>
      <c r="F39" t="s">
        <v>13</v>
      </c>
      <c r="G39" s="19">
        <v>109190</v>
      </c>
      <c r="H39" t="s">
        <v>205</v>
      </c>
      <c r="I39" s="7">
        <f ca="1">(TODAY()-Staff[[#This Row],[Date Joined]])/365</f>
        <v>1.1835616438356165</v>
      </c>
      <c r="J39" s="19">
        <f ca="1">ROUNDUP(IF(Staff[[#This Row],[Tensure]]&gt;=2,Staff[[#This Row],[Salary]]*0.03,Staff[[#This Row],[Salary]]*0.02),0)</f>
        <v>2184</v>
      </c>
      <c r="K39" s="7">
        <f>_xlfn.XLOOKUP(Staff[[#This Row],[Rating]],SalaryVsRating!$B$13:$B$17,SalaryVsRating!$C$13:$C$17,"")</f>
        <v>4</v>
      </c>
    </row>
    <row r="40" spans="1:11" x14ac:dyDescent="0.4">
      <c r="A40" t="s">
        <v>126</v>
      </c>
      <c r="B40" t="s">
        <v>16</v>
      </c>
      <c r="C40" s="11">
        <v>34</v>
      </c>
      <c r="D40" t="s">
        <v>19</v>
      </c>
      <c r="E40" s="47">
        <v>44660</v>
      </c>
      <c r="F40" t="s">
        <v>10</v>
      </c>
      <c r="G40" s="19">
        <v>49630</v>
      </c>
      <c r="H40" t="s">
        <v>205</v>
      </c>
      <c r="I40" s="7">
        <f ca="1">(TODAY()-Staff[[#This Row],[Date Joined]])/365</f>
        <v>1.1972602739726028</v>
      </c>
      <c r="J40" s="19">
        <f ca="1">ROUNDUP(IF(Staff[[#This Row],[Tensure]]&gt;=2,Staff[[#This Row],[Salary]]*0.03,Staff[[#This Row],[Salary]]*0.02),0)</f>
        <v>993</v>
      </c>
      <c r="K40" s="7">
        <f>_xlfn.XLOOKUP(Staff[[#This Row],[Rating]],SalaryVsRating!$B$13:$B$17,SalaryVsRating!$C$13:$C$17,"")</f>
        <v>2</v>
      </c>
    </row>
    <row r="41" spans="1:11" x14ac:dyDescent="0.4">
      <c r="A41" t="s">
        <v>111</v>
      </c>
      <c r="B41" t="s">
        <v>9</v>
      </c>
      <c r="C41" s="11">
        <v>20</v>
      </c>
      <c r="D41" t="s">
        <v>14</v>
      </c>
      <c r="E41" s="47">
        <v>44122</v>
      </c>
      <c r="F41" t="s">
        <v>24</v>
      </c>
      <c r="G41" s="19">
        <v>112650</v>
      </c>
      <c r="H41" t="s">
        <v>205</v>
      </c>
      <c r="I41" s="7">
        <f ca="1">(TODAY()-Staff[[#This Row],[Date Joined]])/365</f>
        <v>2.6712328767123288</v>
      </c>
      <c r="J41" s="19">
        <f ca="1">ROUNDUP(IF(Staff[[#This Row],[Tensure]]&gt;=2,Staff[[#This Row],[Salary]]*0.03,Staff[[#This Row],[Salary]]*0.02),0)</f>
        <v>3380</v>
      </c>
      <c r="K41" s="7">
        <f>_xlfn.XLOOKUP(Staff[[#This Row],[Rating]],SalaryVsRating!$B$13:$B$17,SalaryVsRating!$C$13:$C$17,"")</f>
        <v>3</v>
      </c>
    </row>
    <row r="42" spans="1:11" x14ac:dyDescent="0.4">
      <c r="A42" t="s">
        <v>167</v>
      </c>
      <c r="B42" t="s">
        <v>16</v>
      </c>
      <c r="C42" s="11">
        <v>34</v>
      </c>
      <c r="D42" t="s">
        <v>14</v>
      </c>
      <c r="E42" s="47">
        <v>44383</v>
      </c>
      <c r="F42" t="s">
        <v>18</v>
      </c>
      <c r="G42" s="19">
        <v>92450</v>
      </c>
      <c r="H42" t="s">
        <v>205</v>
      </c>
      <c r="I42" s="7">
        <f ca="1">(TODAY()-Staff[[#This Row],[Date Joined]])/365</f>
        <v>1.9561643835616438</v>
      </c>
      <c r="J42" s="19">
        <f ca="1">ROUNDUP(IF(Staff[[#This Row],[Tensure]]&gt;=2,Staff[[#This Row],[Salary]]*0.03,Staff[[#This Row],[Salary]]*0.02),0)</f>
        <v>1849</v>
      </c>
      <c r="K42" s="7">
        <f>_xlfn.XLOOKUP(Staff[[#This Row],[Rating]],SalaryVsRating!$B$13:$B$17,SalaryVsRating!$C$13:$C$17,"")</f>
        <v>3</v>
      </c>
    </row>
    <row r="43" spans="1:11" x14ac:dyDescent="0.4">
      <c r="A43" t="s">
        <v>88</v>
      </c>
      <c r="B43" t="s">
        <v>9</v>
      </c>
      <c r="C43" s="11">
        <v>26</v>
      </c>
      <c r="D43" t="s">
        <v>14</v>
      </c>
      <c r="E43" s="47">
        <v>44225</v>
      </c>
      <c r="F43" t="s">
        <v>13</v>
      </c>
      <c r="G43" s="19">
        <v>47360</v>
      </c>
      <c r="H43" t="s">
        <v>207</v>
      </c>
      <c r="I43" s="7">
        <f ca="1">(TODAY()-Staff[[#This Row],[Date Joined]])/365</f>
        <v>2.3890410958904109</v>
      </c>
      <c r="J43" s="19">
        <f ca="1">ROUNDUP(IF(Staff[[#This Row],[Tensure]]&gt;=2,Staff[[#This Row],[Salary]]*0.03,Staff[[#This Row],[Salary]]*0.02),0)</f>
        <v>1421</v>
      </c>
      <c r="K43" s="7">
        <f>_xlfn.XLOOKUP(Staff[[#This Row],[Rating]],SalaryVsRating!$B$13:$B$17,SalaryVsRating!$C$13:$C$17,"")</f>
        <v>3</v>
      </c>
    </row>
    <row r="44" spans="1:11" x14ac:dyDescent="0.4">
      <c r="A44" t="s">
        <v>84</v>
      </c>
      <c r="B44" t="s">
        <v>206</v>
      </c>
      <c r="C44" s="11">
        <v>26</v>
      </c>
      <c r="D44" t="s">
        <v>11</v>
      </c>
      <c r="E44" s="47">
        <v>44271</v>
      </c>
      <c r="F44" t="s">
        <v>24</v>
      </c>
      <c r="G44" s="19">
        <v>90700</v>
      </c>
      <c r="H44" t="s">
        <v>207</v>
      </c>
      <c r="I44" s="7">
        <f ca="1">(TODAY()-Staff[[#This Row],[Date Joined]])/365</f>
        <v>2.2630136986301368</v>
      </c>
      <c r="J44" s="19">
        <f ca="1">ROUNDUP(IF(Staff[[#This Row],[Tensure]]&gt;=2,Staff[[#This Row],[Salary]]*0.03,Staff[[#This Row],[Salary]]*0.02),0)</f>
        <v>2721</v>
      </c>
      <c r="K44" s="7">
        <f>_xlfn.XLOOKUP(Staff[[#This Row],[Rating]],SalaryVsRating!$B$13:$B$17,SalaryVsRating!$C$13:$C$17,"")</f>
        <v>4</v>
      </c>
    </row>
    <row r="45" spans="1:11" x14ac:dyDescent="0.4">
      <c r="A45" t="s">
        <v>171</v>
      </c>
      <c r="B45" t="s">
        <v>16</v>
      </c>
      <c r="C45" s="11">
        <v>20</v>
      </c>
      <c r="D45" t="s">
        <v>19</v>
      </c>
      <c r="E45" s="47">
        <v>44476</v>
      </c>
      <c r="F45" t="s">
        <v>10</v>
      </c>
      <c r="G45" s="19">
        <v>68900</v>
      </c>
      <c r="H45" t="s">
        <v>205</v>
      </c>
      <c r="I45" s="7">
        <f ca="1">(TODAY()-Staff[[#This Row],[Date Joined]])/365</f>
        <v>1.7013698630136986</v>
      </c>
      <c r="J45" s="19">
        <f ca="1">ROUNDUP(IF(Staff[[#This Row],[Tensure]]&gt;=2,Staff[[#This Row],[Salary]]*0.03,Staff[[#This Row],[Salary]]*0.02),0)</f>
        <v>1378</v>
      </c>
      <c r="K45" s="7">
        <f>_xlfn.XLOOKUP(Staff[[#This Row],[Rating]],SalaryVsRating!$B$13:$B$17,SalaryVsRating!$C$13:$C$17,"")</f>
        <v>2</v>
      </c>
    </row>
    <row r="46" spans="1:11" x14ac:dyDescent="0.4">
      <c r="A46" t="s">
        <v>149</v>
      </c>
      <c r="B46" t="s">
        <v>16</v>
      </c>
      <c r="C46" s="11">
        <v>36</v>
      </c>
      <c r="D46" t="s">
        <v>14</v>
      </c>
      <c r="E46" s="47">
        <v>44023</v>
      </c>
      <c r="F46" t="s">
        <v>13</v>
      </c>
      <c r="G46" s="19">
        <v>114890</v>
      </c>
      <c r="H46" t="s">
        <v>205</v>
      </c>
      <c r="I46" s="7">
        <f ca="1">(TODAY()-Staff[[#This Row],[Date Joined]])/365</f>
        <v>2.9424657534246577</v>
      </c>
      <c r="J46" s="19">
        <f ca="1">ROUNDUP(IF(Staff[[#This Row],[Tensure]]&gt;=2,Staff[[#This Row],[Salary]]*0.03,Staff[[#This Row],[Salary]]*0.02),0)</f>
        <v>3447</v>
      </c>
      <c r="K46" s="7">
        <f>_xlfn.XLOOKUP(Staff[[#This Row],[Rating]],SalaryVsRating!$B$13:$B$17,SalaryVsRating!$C$13:$C$17,"")</f>
        <v>3</v>
      </c>
    </row>
    <row r="47" spans="1:11" x14ac:dyDescent="0.4">
      <c r="A47" t="s">
        <v>36</v>
      </c>
      <c r="B47" t="s">
        <v>16</v>
      </c>
      <c r="C47" s="11">
        <v>31</v>
      </c>
      <c r="D47" t="s">
        <v>14</v>
      </c>
      <c r="E47" s="47">
        <v>44145</v>
      </c>
      <c r="F47" t="s">
        <v>24</v>
      </c>
      <c r="G47" s="19">
        <v>41980</v>
      </c>
      <c r="H47" t="s">
        <v>207</v>
      </c>
      <c r="I47" s="7">
        <f ca="1">(TODAY()-Staff[[#This Row],[Date Joined]])/365</f>
        <v>2.6082191780821917</v>
      </c>
      <c r="J47" s="19">
        <f ca="1">ROUNDUP(IF(Staff[[#This Row],[Tensure]]&gt;=2,Staff[[#This Row],[Salary]]*0.03,Staff[[#This Row],[Salary]]*0.02),0)</f>
        <v>1260</v>
      </c>
      <c r="K47" s="7">
        <f>_xlfn.XLOOKUP(Staff[[#This Row],[Rating]],SalaryVsRating!$B$13:$B$17,SalaryVsRating!$C$13:$C$17,"")</f>
        <v>3</v>
      </c>
    </row>
    <row r="48" spans="1:11" x14ac:dyDescent="0.4">
      <c r="A48" t="s">
        <v>102</v>
      </c>
      <c r="B48" t="s">
        <v>9</v>
      </c>
      <c r="C48" s="11">
        <v>28</v>
      </c>
      <c r="D48" t="s">
        <v>50</v>
      </c>
      <c r="E48" s="47">
        <v>44820</v>
      </c>
      <c r="F48" t="s">
        <v>10</v>
      </c>
      <c r="G48" s="19">
        <v>43510</v>
      </c>
      <c r="H48" t="s">
        <v>207</v>
      </c>
      <c r="I48" s="7">
        <f ca="1">(TODAY()-Staff[[#This Row],[Date Joined]])/365</f>
        <v>0.75890410958904109</v>
      </c>
      <c r="J48" s="19">
        <f ca="1">ROUNDUP(IF(Staff[[#This Row],[Tensure]]&gt;=2,Staff[[#This Row],[Salary]]*0.03,Staff[[#This Row],[Salary]]*0.02),0)</f>
        <v>871</v>
      </c>
      <c r="K48" s="7">
        <f>_xlfn.XLOOKUP(Staff[[#This Row],[Rating]],SalaryVsRating!$B$13:$B$17,SalaryVsRating!$C$13:$C$17,"")</f>
        <v>1</v>
      </c>
    </row>
    <row r="49" spans="1:11" x14ac:dyDescent="0.4">
      <c r="A49" t="s">
        <v>57</v>
      </c>
      <c r="B49" t="s">
        <v>9</v>
      </c>
      <c r="C49" s="11">
        <v>31</v>
      </c>
      <c r="D49" t="s">
        <v>14</v>
      </c>
      <c r="E49" s="47">
        <v>44724</v>
      </c>
      <c r="F49" t="s">
        <v>13</v>
      </c>
      <c r="G49" s="19">
        <v>103550</v>
      </c>
      <c r="H49" t="s">
        <v>207</v>
      </c>
      <c r="I49" s="7">
        <f ca="1">(TODAY()-Staff[[#This Row],[Date Joined]])/365</f>
        <v>1.021917808219178</v>
      </c>
      <c r="J49" s="19">
        <f ca="1">ROUNDUP(IF(Staff[[#This Row],[Tensure]]&gt;=2,Staff[[#This Row],[Salary]]*0.03,Staff[[#This Row],[Salary]]*0.02),0)</f>
        <v>2071</v>
      </c>
      <c r="K49" s="7">
        <f>_xlfn.XLOOKUP(Staff[[#This Row],[Rating]],SalaryVsRating!$B$13:$B$17,SalaryVsRating!$C$13:$C$17,"")</f>
        <v>3</v>
      </c>
    </row>
    <row r="50" spans="1:11" x14ac:dyDescent="0.4">
      <c r="A50" t="s">
        <v>108</v>
      </c>
      <c r="B50" t="s">
        <v>9</v>
      </c>
      <c r="C50" s="11">
        <v>30</v>
      </c>
      <c r="D50" t="s">
        <v>14</v>
      </c>
      <c r="E50" s="47">
        <v>44701</v>
      </c>
      <c r="F50" t="s">
        <v>13</v>
      </c>
      <c r="G50" s="19">
        <v>67950</v>
      </c>
      <c r="H50" t="s">
        <v>207</v>
      </c>
      <c r="I50" s="7">
        <f ca="1">(TODAY()-Staff[[#This Row],[Date Joined]])/365</f>
        <v>1.0849315068493151</v>
      </c>
      <c r="J50" s="19">
        <f ca="1">ROUNDUP(IF(Staff[[#This Row],[Tensure]]&gt;=2,Staff[[#This Row],[Salary]]*0.03,Staff[[#This Row],[Salary]]*0.02),0)</f>
        <v>1359</v>
      </c>
      <c r="K50" s="7">
        <f>_xlfn.XLOOKUP(Staff[[#This Row],[Rating]],SalaryVsRating!$B$13:$B$17,SalaryVsRating!$C$13:$C$17,"")</f>
        <v>3</v>
      </c>
    </row>
    <row r="51" spans="1:11" x14ac:dyDescent="0.4">
      <c r="A51" t="s">
        <v>106</v>
      </c>
      <c r="B51" t="s">
        <v>16</v>
      </c>
      <c r="C51" s="11">
        <v>33</v>
      </c>
      <c r="D51" t="s">
        <v>14</v>
      </c>
      <c r="E51" s="47">
        <v>44312</v>
      </c>
      <c r="F51" t="s">
        <v>24</v>
      </c>
      <c r="G51" s="19">
        <v>75280</v>
      </c>
      <c r="H51" t="s">
        <v>207</v>
      </c>
      <c r="I51" s="7">
        <f ca="1">(TODAY()-Staff[[#This Row],[Date Joined]])/365</f>
        <v>2.1506849315068495</v>
      </c>
      <c r="J51" s="19">
        <f ca="1">ROUNDUP(IF(Staff[[#This Row],[Tensure]]&gt;=2,Staff[[#This Row],[Salary]]*0.03,Staff[[#This Row],[Salary]]*0.02),0)</f>
        <v>2259</v>
      </c>
      <c r="K51" s="7">
        <f>_xlfn.XLOOKUP(Staff[[#This Row],[Rating]],SalaryVsRating!$B$13:$B$17,SalaryVsRating!$C$13:$C$17,"")</f>
        <v>3</v>
      </c>
    </row>
    <row r="52" spans="1:11" x14ac:dyDescent="0.4">
      <c r="A52" t="s">
        <v>97</v>
      </c>
      <c r="B52" t="s">
        <v>9</v>
      </c>
      <c r="C52" s="11">
        <v>27</v>
      </c>
      <c r="D52" t="s">
        <v>11</v>
      </c>
      <c r="E52" s="47">
        <v>44236</v>
      </c>
      <c r="F52" t="s">
        <v>18</v>
      </c>
      <c r="G52" s="19">
        <v>91650</v>
      </c>
      <c r="H52" t="s">
        <v>207</v>
      </c>
      <c r="I52" s="7">
        <f ca="1">(TODAY()-Staff[[#This Row],[Date Joined]])/365</f>
        <v>2.3589041095890413</v>
      </c>
      <c r="J52" s="19">
        <f ca="1">ROUNDUP(IF(Staff[[#This Row],[Tensure]]&gt;=2,Staff[[#This Row],[Salary]]*0.03,Staff[[#This Row],[Salary]]*0.02),0)</f>
        <v>2750</v>
      </c>
      <c r="K52" s="7">
        <f>_xlfn.XLOOKUP(Staff[[#This Row],[Rating]],SalaryVsRating!$B$13:$B$17,SalaryVsRating!$C$13:$C$17,"")</f>
        <v>4</v>
      </c>
    </row>
    <row r="53" spans="1:11" x14ac:dyDescent="0.4">
      <c r="A53" t="s">
        <v>22</v>
      </c>
      <c r="B53" t="s">
        <v>9</v>
      </c>
      <c r="C53" s="11">
        <v>33</v>
      </c>
      <c r="D53" t="s">
        <v>11</v>
      </c>
      <c r="E53" s="47">
        <v>44701</v>
      </c>
      <c r="F53" t="s">
        <v>13</v>
      </c>
      <c r="G53" s="19">
        <v>48530</v>
      </c>
      <c r="H53" t="s">
        <v>207</v>
      </c>
      <c r="I53" s="7">
        <f ca="1">(TODAY()-Staff[[#This Row],[Date Joined]])/365</f>
        <v>1.0849315068493151</v>
      </c>
      <c r="J53" s="19">
        <f ca="1">ROUNDUP(IF(Staff[[#This Row],[Tensure]]&gt;=2,Staff[[#This Row],[Salary]]*0.03,Staff[[#This Row],[Salary]]*0.02),0)</f>
        <v>971</v>
      </c>
      <c r="K53" s="7">
        <f>_xlfn.XLOOKUP(Staff[[#This Row],[Rating]],SalaryVsRating!$B$13:$B$17,SalaryVsRating!$C$13:$C$17,"")</f>
        <v>4</v>
      </c>
    </row>
    <row r="54" spans="1:11" x14ac:dyDescent="0.4">
      <c r="A54" t="s">
        <v>41</v>
      </c>
      <c r="B54" t="s">
        <v>9</v>
      </c>
      <c r="C54" s="11">
        <v>27</v>
      </c>
      <c r="D54" t="s">
        <v>14</v>
      </c>
      <c r="E54" s="47">
        <v>44567</v>
      </c>
      <c r="F54" t="s">
        <v>18</v>
      </c>
      <c r="G54" s="19">
        <v>48980</v>
      </c>
      <c r="H54" t="s">
        <v>207</v>
      </c>
      <c r="I54" s="7">
        <f ca="1">(TODAY()-Staff[[#This Row],[Date Joined]])/365</f>
        <v>1.452054794520548</v>
      </c>
      <c r="J54" s="19">
        <f ca="1">ROUNDUP(IF(Staff[[#This Row],[Tensure]]&gt;=2,Staff[[#This Row],[Salary]]*0.03,Staff[[#This Row],[Salary]]*0.02),0)</f>
        <v>980</v>
      </c>
      <c r="K54" s="7">
        <f>_xlfn.XLOOKUP(Staff[[#This Row],[Rating]],SalaryVsRating!$B$13:$B$17,SalaryVsRating!$C$13:$C$17,"")</f>
        <v>3</v>
      </c>
    </row>
    <row r="55" spans="1:11" x14ac:dyDescent="0.4">
      <c r="A55" t="s">
        <v>26</v>
      </c>
      <c r="B55" t="s">
        <v>16</v>
      </c>
      <c r="C55" s="11">
        <v>27</v>
      </c>
      <c r="D55" t="s">
        <v>14</v>
      </c>
      <c r="E55" s="47">
        <v>44122</v>
      </c>
      <c r="F55" t="s">
        <v>27</v>
      </c>
      <c r="G55" s="19">
        <v>119110</v>
      </c>
      <c r="H55" t="s">
        <v>207</v>
      </c>
      <c r="I55" s="7">
        <f ca="1">(TODAY()-Staff[[#This Row],[Date Joined]])/365</f>
        <v>2.6712328767123288</v>
      </c>
      <c r="J55" s="19">
        <f ca="1">ROUNDUP(IF(Staff[[#This Row],[Tensure]]&gt;=2,Staff[[#This Row],[Salary]]*0.03,Staff[[#This Row],[Salary]]*0.02),0)</f>
        <v>3574</v>
      </c>
      <c r="K55" s="7">
        <f>_xlfn.XLOOKUP(Staff[[#This Row],[Rating]],SalaryVsRating!$B$13:$B$17,SalaryVsRating!$C$13:$C$17,"")</f>
        <v>3</v>
      </c>
    </row>
    <row r="56" spans="1:11" x14ac:dyDescent="0.4">
      <c r="A56" t="s">
        <v>71</v>
      </c>
      <c r="B56" t="s">
        <v>16</v>
      </c>
      <c r="C56" s="11">
        <v>32</v>
      </c>
      <c r="D56" t="s">
        <v>14</v>
      </c>
      <c r="E56" s="47">
        <v>44400</v>
      </c>
      <c r="F56" t="s">
        <v>27</v>
      </c>
      <c r="G56" s="19">
        <v>45510</v>
      </c>
      <c r="H56" t="s">
        <v>207</v>
      </c>
      <c r="I56" s="7">
        <f ca="1">(TODAY()-Staff[[#This Row],[Date Joined]])/365</f>
        <v>1.9095890410958904</v>
      </c>
      <c r="J56" s="19">
        <f ca="1">ROUNDUP(IF(Staff[[#This Row],[Tensure]]&gt;=2,Staff[[#This Row],[Salary]]*0.03,Staff[[#This Row],[Salary]]*0.02),0)</f>
        <v>911</v>
      </c>
      <c r="K56" s="7">
        <f>_xlfn.XLOOKUP(Staff[[#This Row],[Rating]],SalaryVsRating!$B$13:$B$17,SalaryVsRating!$C$13:$C$17,"")</f>
        <v>3</v>
      </c>
    </row>
    <row r="57" spans="1:11" x14ac:dyDescent="0.4">
      <c r="A57" t="s">
        <v>192</v>
      </c>
      <c r="B57" t="s">
        <v>16</v>
      </c>
      <c r="C57" s="11">
        <v>24</v>
      </c>
      <c r="D57" t="s">
        <v>14</v>
      </c>
      <c r="E57" s="47">
        <v>44087</v>
      </c>
      <c r="F57" t="s">
        <v>24</v>
      </c>
      <c r="G57" s="19">
        <v>62780</v>
      </c>
      <c r="H57" t="s">
        <v>205</v>
      </c>
      <c r="I57" s="7">
        <f ca="1">(TODAY()-Staff[[#This Row],[Date Joined]])/365</f>
        <v>2.7671232876712328</v>
      </c>
      <c r="J57" s="19">
        <f ca="1">ROUNDUP(IF(Staff[[#This Row],[Tensure]]&gt;=2,Staff[[#This Row],[Salary]]*0.03,Staff[[#This Row],[Salary]]*0.02),0)</f>
        <v>1884</v>
      </c>
      <c r="K57" s="7">
        <f>_xlfn.XLOOKUP(Staff[[#This Row],[Rating]],SalaryVsRating!$B$13:$B$17,SalaryVsRating!$C$13:$C$17,"")</f>
        <v>3</v>
      </c>
    </row>
    <row r="58" spans="1:11" x14ac:dyDescent="0.4">
      <c r="A58" t="s">
        <v>132</v>
      </c>
      <c r="B58" t="s">
        <v>9</v>
      </c>
      <c r="C58" s="11">
        <v>37</v>
      </c>
      <c r="D58" t="s">
        <v>19</v>
      </c>
      <c r="E58" s="47">
        <v>44277</v>
      </c>
      <c r="F58" t="s">
        <v>24</v>
      </c>
      <c r="G58" s="19">
        <v>88050</v>
      </c>
      <c r="H58" t="s">
        <v>205</v>
      </c>
      <c r="I58" s="7">
        <f ca="1">(TODAY()-Staff[[#This Row],[Date Joined]])/365</f>
        <v>2.2465753424657535</v>
      </c>
      <c r="J58" s="19">
        <f ca="1">ROUNDUP(IF(Staff[[#This Row],[Tensure]]&gt;=2,Staff[[#This Row],[Salary]]*0.03,Staff[[#This Row],[Salary]]*0.02),0)</f>
        <v>2642</v>
      </c>
      <c r="K58" s="7">
        <f>_xlfn.XLOOKUP(Staff[[#This Row],[Rating]],SalaryVsRating!$B$13:$B$17,SalaryVsRating!$C$13:$C$17,"")</f>
        <v>2</v>
      </c>
    </row>
    <row r="59" spans="1:11" x14ac:dyDescent="0.4">
      <c r="A59" t="s">
        <v>172</v>
      </c>
      <c r="B59" t="s">
        <v>9</v>
      </c>
      <c r="C59" s="11">
        <v>32</v>
      </c>
      <c r="D59" t="s">
        <v>14</v>
      </c>
      <c r="E59" s="47">
        <v>44403</v>
      </c>
      <c r="F59" t="s">
        <v>10</v>
      </c>
      <c r="G59" s="19">
        <v>53540</v>
      </c>
      <c r="H59" t="s">
        <v>205</v>
      </c>
      <c r="I59" s="7">
        <f ca="1">(TODAY()-Staff[[#This Row],[Date Joined]])/365</f>
        <v>1.9013698630136986</v>
      </c>
      <c r="J59" s="19">
        <f ca="1">ROUNDUP(IF(Staff[[#This Row],[Tensure]]&gt;=2,Staff[[#This Row],[Salary]]*0.03,Staff[[#This Row],[Salary]]*0.02),0)</f>
        <v>1071</v>
      </c>
      <c r="K59" s="7">
        <f>_xlfn.XLOOKUP(Staff[[#This Row],[Rating]],SalaryVsRating!$B$13:$B$17,SalaryVsRating!$C$13:$C$17,"")</f>
        <v>3</v>
      </c>
    </row>
    <row r="60" spans="1:11" x14ac:dyDescent="0.4">
      <c r="A60" t="s">
        <v>107</v>
      </c>
      <c r="B60" t="s">
        <v>9</v>
      </c>
      <c r="C60" s="11">
        <v>33</v>
      </c>
      <c r="D60" t="s">
        <v>14</v>
      </c>
      <c r="E60" s="47">
        <v>44385</v>
      </c>
      <c r="F60" t="s">
        <v>10</v>
      </c>
      <c r="G60" s="19">
        <v>74550</v>
      </c>
      <c r="H60" t="s">
        <v>207</v>
      </c>
      <c r="I60" s="7">
        <f ca="1">(TODAY()-Staff[[#This Row],[Date Joined]])/365</f>
        <v>1.9506849315068493</v>
      </c>
      <c r="J60" s="19">
        <f ca="1">ROUNDUP(IF(Staff[[#This Row],[Tensure]]&gt;=2,Staff[[#This Row],[Salary]]*0.03,Staff[[#This Row],[Salary]]*0.02),0)</f>
        <v>1491</v>
      </c>
      <c r="K60" s="7">
        <f>_xlfn.XLOOKUP(Staff[[#This Row],[Rating]],SalaryVsRating!$B$13:$B$17,SalaryVsRating!$C$13:$C$17,"")</f>
        <v>3</v>
      </c>
    </row>
    <row r="61" spans="1:11" x14ac:dyDescent="0.4">
      <c r="A61" t="s">
        <v>170</v>
      </c>
      <c r="B61" t="s">
        <v>16</v>
      </c>
      <c r="C61" s="11">
        <v>40</v>
      </c>
      <c r="D61" t="s">
        <v>14</v>
      </c>
      <c r="E61" s="47">
        <v>44276</v>
      </c>
      <c r="F61" t="s">
        <v>24</v>
      </c>
      <c r="G61" s="19">
        <v>87620</v>
      </c>
      <c r="H61" t="s">
        <v>205</v>
      </c>
      <c r="I61" s="7">
        <f ca="1">(TODAY()-Staff[[#This Row],[Date Joined]])/365</f>
        <v>2.2493150684931509</v>
      </c>
      <c r="J61" s="19">
        <f ca="1">ROUNDUP(IF(Staff[[#This Row],[Tensure]]&gt;=2,Staff[[#This Row],[Salary]]*0.03,Staff[[#This Row],[Salary]]*0.02),0)</f>
        <v>2629</v>
      </c>
      <c r="K61" s="7">
        <f>_xlfn.XLOOKUP(Staff[[#This Row],[Rating]],SalaryVsRating!$B$13:$B$17,SalaryVsRating!$C$13:$C$17,"")</f>
        <v>3</v>
      </c>
    </row>
    <row r="62" spans="1:11" x14ac:dyDescent="0.4">
      <c r="A62" t="s">
        <v>52</v>
      </c>
      <c r="B62" t="s">
        <v>16</v>
      </c>
      <c r="C62" s="11">
        <v>36</v>
      </c>
      <c r="D62" t="s">
        <v>14</v>
      </c>
      <c r="E62" s="47">
        <v>44494</v>
      </c>
      <c r="F62" t="s">
        <v>10</v>
      </c>
      <c r="G62" s="19">
        <v>78540</v>
      </c>
      <c r="H62" t="s">
        <v>207</v>
      </c>
      <c r="I62" s="7">
        <f ca="1">(TODAY()-Staff[[#This Row],[Date Joined]])/365</f>
        <v>1.6520547945205479</v>
      </c>
      <c r="J62" s="19">
        <f ca="1">ROUNDUP(IF(Staff[[#This Row],[Tensure]]&gt;=2,Staff[[#This Row],[Salary]]*0.03,Staff[[#This Row],[Salary]]*0.02),0)</f>
        <v>1571</v>
      </c>
      <c r="K62" s="7">
        <f>_xlfn.XLOOKUP(Staff[[#This Row],[Rating]],SalaryVsRating!$B$13:$B$17,SalaryVsRating!$C$13:$C$17,"")</f>
        <v>3</v>
      </c>
    </row>
    <row r="63" spans="1:11" x14ac:dyDescent="0.4">
      <c r="A63" t="s">
        <v>94</v>
      </c>
      <c r="B63" t="s">
        <v>16</v>
      </c>
      <c r="C63" s="11">
        <v>21</v>
      </c>
      <c r="D63" t="s">
        <v>14</v>
      </c>
      <c r="E63" s="47">
        <v>44678</v>
      </c>
      <c r="F63" t="s">
        <v>24</v>
      </c>
      <c r="G63" s="19">
        <v>33920</v>
      </c>
      <c r="H63" t="s">
        <v>207</v>
      </c>
      <c r="I63" s="7">
        <f ca="1">(TODAY()-Staff[[#This Row],[Date Joined]])/365</f>
        <v>1.1479452054794521</v>
      </c>
      <c r="J63" s="19">
        <f ca="1">ROUNDUP(IF(Staff[[#This Row],[Tensure]]&gt;=2,Staff[[#This Row],[Salary]]*0.03,Staff[[#This Row],[Salary]]*0.02),0)</f>
        <v>679</v>
      </c>
      <c r="K63" s="7">
        <f>_xlfn.XLOOKUP(Staff[[#This Row],[Rating]],SalaryVsRating!$B$13:$B$17,SalaryVsRating!$C$13:$C$17,"")</f>
        <v>3</v>
      </c>
    </row>
    <row r="64" spans="1:11" x14ac:dyDescent="0.4">
      <c r="A64" t="s">
        <v>145</v>
      </c>
      <c r="B64" t="s">
        <v>9</v>
      </c>
      <c r="C64" s="11">
        <v>24</v>
      </c>
      <c r="D64" t="s">
        <v>19</v>
      </c>
      <c r="E64" s="47">
        <v>44375</v>
      </c>
      <c r="F64" t="s">
        <v>18</v>
      </c>
      <c r="G64" s="19">
        <v>52610</v>
      </c>
      <c r="H64" t="s">
        <v>205</v>
      </c>
      <c r="I64" s="7">
        <f ca="1">(TODAY()-Staff[[#This Row],[Date Joined]])/365</f>
        <v>1.978082191780822</v>
      </c>
      <c r="J64" s="19">
        <f ca="1">ROUNDUP(IF(Staff[[#This Row],[Tensure]]&gt;=2,Staff[[#This Row],[Salary]]*0.03,Staff[[#This Row],[Salary]]*0.02),0)</f>
        <v>1053</v>
      </c>
      <c r="K64" s="7">
        <f>_xlfn.XLOOKUP(Staff[[#This Row],[Rating]],SalaryVsRating!$B$13:$B$17,SalaryVsRating!$C$13:$C$17,"")</f>
        <v>2</v>
      </c>
    </row>
    <row r="65" spans="1:11" x14ac:dyDescent="0.4">
      <c r="A65" t="s">
        <v>58</v>
      </c>
      <c r="B65" t="s">
        <v>9</v>
      </c>
      <c r="C65" s="11">
        <v>31</v>
      </c>
      <c r="D65" t="s">
        <v>14</v>
      </c>
      <c r="E65" s="47">
        <v>44511</v>
      </c>
      <c r="F65" t="s">
        <v>24</v>
      </c>
      <c r="G65" s="19">
        <v>48950</v>
      </c>
      <c r="H65" t="s">
        <v>207</v>
      </c>
      <c r="I65" s="7">
        <f ca="1">(TODAY()-Staff[[#This Row],[Date Joined]])/365</f>
        <v>1.6054794520547946</v>
      </c>
      <c r="J65" s="19">
        <f ca="1">ROUNDUP(IF(Staff[[#This Row],[Tensure]]&gt;=2,Staff[[#This Row],[Salary]]*0.03,Staff[[#This Row],[Salary]]*0.02),0)</f>
        <v>979</v>
      </c>
      <c r="K65" s="7">
        <f>_xlfn.XLOOKUP(Staff[[#This Row],[Rating]],SalaryVsRating!$B$13:$B$17,SalaryVsRating!$C$13:$C$17,"")</f>
        <v>3</v>
      </c>
    </row>
    <row r="66" spans="1:11" x14ac:dyDescent="0.4">
      <c r="A66" t="s">
        <v>21</v>
      </c>
      <c r="B66" t="s">
        <v>16</v>
      </c>
      <c r="C66" s="11">
        <v>30</v>
      </c>
      <c r="D66" t="s">
        <v>14</v>
      </c>
      <c r="E66" s="47">
        <v>44861</v>
      </c>
      <c r="F66" t="s">
        <v>13</v>
      </c>
      <c r="G66" s="19">
        <v>112570</v>
      </c>
      <c r="H66" t="s">
        <v>207</v>
      </c>
      <c r="I66" s="7">
        <f ca="1">(TODAY()-Staff[[#This Row],[Date Joined]])/365</f>
        <v>0.64657534246575343</v>
      </c>
      <c r="J66" s="19">
        <f ca="1">ROUNDUP(IF(Staff[[#This Row],[Tensure]]&gt;=2,Staff[[#This Row],[Salary]]*0.03,Staff[[#This Row],[Salary]]*0.02),0)</f>
        <v>2252</v>
      </c>
      <c r="K66" s="7">
        <f>_xlfn.XLOOKUP(Staff[[#This Row],[Rating]],SalaryVsRating!$B$13:$B$17,SalaryVsRating!$C$13:$C$17,"")</f>
        <v>3</v>
      </c>
    </row>
    <row r="67" spans="1:11" x14ac:dyDescent="0.4">
      <c r="A67" t="s">
        <v>127</v>
      </c>
      <c r="B67" t="s">
        <v>9</v>
      </c>
      <c r="C67" s="11">
        <v>36</v>
      </c>
      <c r="D67" t="s">
        <v>14</v>
      </c>
      <c r="E67" s="47">
        <v>43958</v>
      </c>
      <c r="F67" t="s">
        <v>24</v>
      </c>
      <c r="G67" s="19">
        <v>118840</v>
      </c>
      <c r="H67" t="s">
        <v>205</v>
      </c>
      <c r="I67" s="7">
        <f ca="1">(TODAY()-Staff[[#This Row],[Date Joined]])/365</f>
        <v>3.1205479452054794</v>
      </c>
      <c r="J67" s="19">
        <f ca="1">ROUNDUP(IF(Staff[[#This Row],[Tensure]]&gt;=2,Staff[[#This Row],[Salary]]*0.03,Staff[[#This Row],[Salary]]*0.02),0)</f>
        <v>3566</v>
      </c>
      <c r="K67" s="7">
        <f>_xlfn.XLOOKUP(Staff[[#This Row],[Rating]],SalaryVsRating!$B$13:$B$17,SalaryVsRating!$C$13:$C$17,"")</f>
        <v>3</v>
      </c>
    </row>
    <row r="68" spans="1:11" x14ac:dyDescent="0.4">
      <c r="A68" t="s">
        <v>155</v>
      </c>
      <c r="B68" t="s">
        <v>16</v>
      </c>
      <c r="C68" s="11">
        <v>33</v>
      </c>
      <c r="D68" t="s">
        <v>14</v>
      </c>
      <c r="E68" s="47">
        <v>44253</v>
      </c>
      <c r="F68" t="s">
        <v>24</v>
      </c>
      <c r="G68" s="19">
        <v>75280</v>
      </c>
      <c r="H68" t="s">
        <v>205</v>
      </c>
      <c r="I68" s="7">
        <f ca="1">(TODAY()-Staff[[#This Row],[Date Joined]])/365</f>
        <v>2.3123287671232875</v>
      </c>
      <c r="J68" s="19">
        <f ca="1">ROUNDUP(IF(Staff[[#This Row],[Tensure]]&gt;=2,Staff[[#This Row],[Salary]]*0.03,Staff[[#This Row],[Salary]]*0.02),0)</f>
        <v>2259</v>
      </c>
      <c r="K68" s="7">
        <f>_xlfn.XLOOKUP(Staff[[#This Row],[Rating]],SalaryVsRating!$B$13:$B$17,SalaryVsRating!$C$13:$C$17,"")</f>
        <v>3</v>
      </c>
    </row>
    <row r="69" spans="1:11" x14ac:dyDescent="0.4">
      <c r="A69" t="s">
        <v>86</v>
      </c>
      <c r="B69" t="s">
        <v>16</v>
      </c>
      <c r="C69" s="11">
        <v>25</v>
      </c>
      <c r="D69" t="s">
        <v>14</v>
      </c>
      <c r="E69" s="47">
        <v>44205</v>
      </c>
      <c r="F69" t="s">
        <v>10</v>
      </c>
      <c r="G69" s="19">
        <v>92700</v>
      </c>
      <c r="H69" t="s">
        <v>207</v>
      </c>
      <c r="I69" s="7">
        <f ca="1">(TODAY()-Staff[[#This Row],[Date Joined]])/365</f>
        <v>2.4438356164383563</v>
      </c>
      <c r="J69" s="19">
        <f ca="1">ROUNDUP(IF(Staff[[#This Row],[Tensure]]&gt;=2,Staff[[#This Row],[Salary]]*0.03,Staff[[#This Row],[Salary]]*0.02),0)</f>
        <v>2781</v>
      </c>
      <c r="K69" s="7">
        <f>_xlfn.XLOOKUP(Staff[[#This Row],[Rating]],SalaryVsRating!$B$13:$B$17,SalaryVsRating!$C$13:$C$17,"")</f>
        <v>3</v>
      </c>
    </row>
    <row r="70" spans="1:11" x14ac:dyDescent="0.4">
      <c r="A70" t="s">
        <v>93</v>
      </c>
      <c r="B70" t="s">
        <v>16</v>
      </c>
      <c r="C70" s="11">
        <v>30</v>
      </c>
      <c r="D70" t="s">
        <v>14</v>
      </c>
      <c r="E70" s="47">
        <v>44850</v>
      </c>
      <c r="F70" t="s">
        <v>13</v>
      </c>
      <c r="G70" s="19">
        <v>114180</v>
      </c>
      <c r="H70" t="s">
        <v>207</v>
      </c>
      <c r="I70" s="7">
        <f ca="1">(TODAY()-Staff[[#This Row],[Date Joined]])/365</f>
        <v>0.67671232876712328</v>
      </c>
      <c r="J70" s="19">
        <f ca="1">ROUNDUP(IF(Staff[[#This Row],[Tensure]]&gt;=2,Staff[[#This Row],[Salary]]*0.03,Staff[[#This Row],[Salary]]*0.02),0)</f>
        <v>2284</v>
      </c>
      <c r="K70" s="7">
        <f>_xlfn.XLOOKUP(Staff[[#This Row],[Rating]],SalaryVsRating!$B$13:$B$17,SalaryVsRating!$C$13:$C$17,"")</f>
        <v>3</v>
      </c>
    </row>
    <row r="71" spans="1:11" x14ac:dyDescent="0.4">
      <c r="A71" t="s">
        <v>20</v>
      </c>
      <c r="B71" t="s">
        <v>9</v>
      </c>
      <c r="C71" s="11">
        <v>32</v>
      </c>
      <c r="D71" t="s">
        <v>14</v>
      </c>
      <c r="E71" s="47">
        <v>44465</v>
      </c>
      <c r="F71" t="s">
        <v>10</v>
      </c>
      <c r="G71" s="19">
        <v>53540</v>
      </c>
      <c r="H71" t="s">
        <v>207</v>
      </c>
      <c r="I71" s="7">
        <f ca="1">(TODAY()-Staff[[#This Row],[Date Joined]])/365</f>
        <v>1.7315068493150685</v>
      </c>
      <c r="J71" s="19">
        <f ca="1">ROUNDUP(IF(Staff[[#This Row],[Tensure]]&gt;=2,Staff[[#This Row],[Salary]]*0.03,Staff[[#This Row],[Salary]]*0.02),0)</f>
        <v>1071</v>
      </c>
      <c r="K71" s="7">
        <f>_xlfn.XLOOKUP(Staff[[#This Row],[Rating]],SalaryVsRating!$B$13:$B$17,SalaryVsRating!$C$13:$C$17,"")</f>
        <v>3</v>
      </c>
    </row>
    <row r="72" spans="1:11" x14ac:dyDescent="0.4">
      <c r="A72" t="s">
        <v>193</v>
      </c>
      <c r="B72" t="s">
        <v>9</v>
      </c>
      <c r="C72" s="11">
        <v>20</v>
      </c>
      <c r="D72" t="s">
        <v>14</v>
      </c>
      <c r="E72" s="47">
        <v>44397</v>
      </c>
      <c r="F72" t="s">
        <v>24</v>
      </c>
      <c r="G72" s="19">
        <v>107700</v>
      </c>
      <c r="H72" t="s">
        <v>205</v>
      </c>
      <c r="I72" s="7">
        <f ca="1">(TODAY()-Staff[[#This Row],[Date Joined]])/365</f>
        <v>1.9178082191780821</v>
      </c>
      <c r="J72" s="19">
        <f ca="1">ROUNDUP(IF(Staff[[#This Row],[Tensure]]&gt;=2,Staff[[#This Row],[Salary]]*0.03,Staff[[#This Row],[Salary]]*0.02),0)</f>
        <v>2154</v>
      </c>
      <c r="K72" s="7">
        <f>_xlfn.XLOOKUP(Staff[[#This Row],[Rating]],SalaryVsRating!$B$13:$B$17,SalaryVsRating!$C$13:$C$17,"")</f>
        <v>3</v>
      </c>
    </row>
    <row r="73" spans="1:11" x14ac:dyDescent="0.4">
      <c r="A73" t="s">
        <v>39</v>
      </c>
      <c r="B73" t="s">
        <v>16</v>
      </c>
      <c r="C73" s="11">
        <v>30</v>
      </c>
      <c r="D73" t="s">
        <v>19</v>
      </c>
      <c r="E73" s="47">
        <v>44389</v>
      </c>
      <c r="F73" t="s">
        <v>18</v>
      </c>
      <c r="G73" s="19">
        <v>67910</v>
      </c>
      <c r="H73" t="s">
        <v>207</v>
      </c>
      <c r="I73" s="7">
        <f ca="1">(TODAY()-Staff[[#This Row],[Date Joined]])/365</f>
        <v>1.9397260273972603</v>
      </c>
      <c r="J73" s="19">
        <f ca="1">ROUNDUP(IF(Staff[[#This Row],[Tensure]]&gt;=2,Staff[[#This Row],[Salary]]*0.03,Staff[[#This Row],[Salary]]*0.02),0)</f>
        <v>1359</v>
      </c>
      <c r="K73" s="7">
        <f>_xlfn.XLOOKUP(Staff[[#This Row],[Rating]],SalaryVsRating!$B$13:$B$17,SalaryVsRating!$C$13:$C$17,"")</f>
        <v>2</v>
      </c>
    </row>
    <row r="74" spans="1:11" x14ac:dyDescent="0.4">
      <c r="A74" t="s">
        <v>66</v>
      </c>
      <c r="B74" t="s">
        <v>16</v>
      </c>
      <c r="C74" s="11">
        <v>20</v>
      </c>
      <c r="D74" t="s">
        <v>19</v>
      </c>
      <c r="E74" s="47">
        <v>44537</v>
      </c>
      <c r="F74" t="s">
        <v>10</v>
      </c>
      <c r="G74" s="19">
        <v>68900</v>
      </c>
      <c r="H74" t="s">
        <v>207</v>
      </c>
      <c r="I74" s="7">
        <f ca="1">(TODAY()-Staff[[#This Row],[Date Joined]])/365</f>
        <v>1.5342465753424657</v>
      </c>
      <c r="J74" s="19">
        <f ca="1">ROUNDUP(IF(Staff[[#This Row],[Tensure]]&gt;=2,Staff[[#This Row],[Salary]]*0.03,Staff[[#This Row],[Salary]]*0.02),0)</f>
        <v>1378</v>
      </c>
      <c r="K74" s="7">
        <f>_xlfn.XLOOKUP(Staff[[#This Row],[Rating]],SalaryVsRating!$B$13:$B$17,SalaryVsRating!$C$13:$C$17,"")</f>
        <v>2</v>
      </c>
    </row>
    <row r="75" spans="1:11" x14ac:dyDescent="0.4">
      <c r="A75" t="s">
        <v>178</v>
      </c>
      <c r="B75" t="s">
        <v>9</v>
      </c>
      <c r="C75" s="11">
        <v>27</v>
      </c>
      <c r="D75" t="s">
        <v>50</v>
      </c>
      <c r="E75" s="47">
        <v>44547</v>
      </c>
      <c r="F75" t="s">
        <v>13</v>
      </c>
      <c r="G75" s="19">
        <v>113280</v>
      </c>
      <c r="H75" t="s">
        <v>205</v>
      </c>
      <c r="I75" s="7">
        <f ca="1">(TODAY()-Staff[[#This Row],[Date Joined]])/365</f>
        <v>1.5068493150684932</v>
      </c>
      <c r="J75" s="19">
        <f ca="1">ROUNDUP(IF(Staff[[#This Row],[Tensure]]&gt;=2,Staff[[#This Row],[Salary]]*0.03,Staff[[#This Row],[Salary]]*0.02),0)</f>
        <v>2266</v>
      </c>
      <c r="K75" s="7">
        <f>_xlfn.XLOOKUP(Staff[[#This Row],[Rating]],SalaryVsRating!$B$13:$B$17,SalaryVsRating!$C$13:$C$17,"")</f>
        <v>1</v>
      </c>
    </row>
    <row r="76" spans="1:11" x14ac:dyDescent="0.4">
      <c r="A76" t="s">
        <v>161</v>
      </c>
      <c r="B76" t="s">
        <v>16</v>
      </c>
      <c r="C76" s="11">
        <v>28</v>
      </c>
      <c r="D76" t="s">
        <v>14</v>
      </c>
      <c r="E76" s="47">
        <v>44124</v>
      </c>
      <c r="F76" t="s">
        <v>18</v>
      </c>
      <c r="G76" s="19">
        <v>75970</v>
      </c>
      <c r="H76" t="s">
        <v>205</v>
      </c>
      <c r="I76" s="7">
        <f ca="1">(TODAY()-Staff[[#This Row],[Date Joined]])/365</f>
        <v>2.6657534246575341</v>
      </c>
      <c r="J76" s="19">
        <f ca="1">ROUNDUP(IF(Staff[[#This Row],[Tensure]]&gt;=2,Staff[[#This Row],[Salary]]*0.03,Staff[[#This Row],[Salary]]*0.02),0)</f>
        <v>2280</v>
      </c>
      <c r="K76" s="7">
        <f>_xlfn.XLOOKUP(Staff[[#This Row],[Rating]],SalaryVsRating!$B$13:$B$17,SalaryVsRating!$C$13:$C$17,"")</f>
        <v>3</v>
      </c>
    </row>
    <row r="77" spans="1:11" x14ac:dyDescent="0.4">
      <c r="A77" t="s">
        <v>176</v>
      </c>
      <c r="B77" t="s">
        <v>16</v>
      </c>
      <c r="C77" s="11">
        <v>31</v>
      </c>
      <c r="D77" t="s">
        <v>14</v>
      </c>
      <c r="E77" s="47">
        <v>44084</v>
      </c>
      <c r="F77" t="s">
        <v>24</v>
      </c>
      <c r="G77" s="19">
        <v>41980</v>
      </c>
      <c r="H77" t="s">
        <v>205</v>
      </c>
      <c r="I77" s="7">
        <f ca="1">(TODAY()-Staff[[#This Row],[Date Joined]])/365</f>
        <v>2.7753424657534245</v>
      </c>
      <c r="J77" s="19">
        <f ca="1">ROUNDUP(IF(Staff[[#This Row],[Tensure]]&gt;=2,Staff[[#This Row],[Salary]]*0.03,Staff[[#This Row],[Salary]]*0.02),0)</f>
        <v>1260</v>
      </c>
      <c r="K77" s="7">
        <f>_xlfn.XLOOKUP(Staff[[#This Row],[Rating]],SalaryVsRating!$B$13:$B$17,SalaryVsRating!$C$13:$C$17,"")</f>
        <v>3</v>
      </c>
    </row>
    <row r="78" spans="1:11" x14ac:dyDescent="0.4">
      <c r="A78" t="s">
        <v>181</v>
      </c>
      <c r="B78" t="s">
        <v>9</v>
      </c>
      <c r="C78" s="11">
        <v>37</v>
      </c>
      <c r="D78" t="s">
        <v>14</v>
      </c>
      <c r="E78" s="47">
        <v>44640</v>
      </c>
      <c r="F78" t="s">
        <v>24</v>
      </c>
      <c r="G78" s="19">
        <v>69070</v>
      </c>
      <c r="H78" t="s">
        <v>205</v>
      </c>
      <c r="I78" s="7">
        <f ca="1">(TODAY()-Staff[[#This Row],[Date Joined]])/365</f>
        <v>1.252054794520548</v>
      </c>
      <c r="J78" s="19">
        <f ca="1">ROUNDUP(IF(Staff[[#This Row],[Tensure]]&gt;=2,Staff[[#This Row],[Salary]]*0.03,Staff[[#This Row],[Salary]]*0.02),0)</f>
        <v>1382</v>
      </c>
      <c r="K78" s="7">
        <f>_xlfn.XLOOKUP(Staff[[#This Row],[Rating]],SalaryVsRating!$B$13:$B$17,SalaryVsRating!$C$13:$C$17,"")</f>
        <v>3</v>
      </c>
    </row>
    <row r="79" spans="1:11" x14ac:dyDescent="0.4">
      <c r="A79" t="s">
        <v>70</v>
      </c>
      <c r="B79" t="s">
        <v>9</v>
      </c>
      <c r="C79" s="11">
        <v>28</v>
      </c>
      <c r="D79" t="s">
        <v>11</v>
      </c>
      <c r="E79" s="47">
        <v>44041</v>
      </c>
      <c r="F79" t="s">
        <v>18</v>
      </c>
      <c r="G79" s="19">
        <v>48170</v>
      </c>
      <c r="H79" t="s">
        <v>207</v>
      </c>
      <c r="I79" s="7">
        <f ca="1">(TODAY()-Staff[[#This Row],[Date Joined]])/365</f>
        <v>2.893150684931507</v>
      </c>
      <c r="J79" s="19">
        <f ca="1">ROUNDUP(IF(Staff[[#This Row],[Tensure]]&gt;=2,Staff[[#This Row],[Salary]]*0.03,Staff[[#This Row],[Salary]]*0.02),0)</f>
        <v>1446</v>
      </c>
      <c r="K79" s="7">
        <f>_xlfn.XLOOKUP(Staff[[#This Row],[Rating]],SalaryVsRating!$B$13:$B$17,SalaryVsRating!$C$13:$C$17,"")</f>
        <v>4</v>
      </c>
    </row>
    <row r="80" spans="1:11" x14ac:dyDescent="0.4">
      <c r="A80" t="s">
        <v>82</v>
      </c>
      <c r="B80" t="s">
        <v>16</v>
      </c>
      <c r="C80" s="11">
        <v>28</v>
      </c>
      <c r="D80" t="s">
        <v>14</v>
      </c>
      <c r="E80" s="47">
        <v>44486</v>
      </c>
      <c r="F80" t="s">
        <v>13</v>
      </c>
      <c r="G80" s="19">
        <v>104770</v>
      </c>
      <c r="H80" t="s">
        <v>207</v>
      </c>
      <c r="I80" s="7">
        <f ca="1">(TODAY()-Staff[[#This Row],[Date Joined]])/365</f>
        <v>1.6739726027397259</v>
      </c>
      <c r="J80" s="19">
        <f ca="1">ROUNDUP(IF(Staff[[#This Row],[Tensure]]&gt;=2,Staff[[#This Row],[Salary]]*0.03,Staff[[#This Row],[Salary]]*0.02),0)</f>
        <v>2096</v>
      </c>
      <c r="K80" s="7">
        <f>_xlfn.XLOOKUP(Staff[[#This Row],[Rating]],SalaryVsRating!$B$13:$B$17,SalaryVsRating!$C$13:$C$17,"")</f>
        <v>3</v>
      </c>
    </row>
    <row r="81" spans="1:11" x14ac:dyDescent="0.4">
      <c r="A81" t="s">
        <v>48</v>
      </c>
      <c r="B81" t="s">
        <v>16</v>
      </c>
      <c r="C81" s="11">
        <v>34</v>
      </c>
      <c r="D81" t="s">
        <v>14</v>
      </c>
      <c r="E81" s="47">
        <v>44612</v>
      </c>
      <c r="F81" t="s">
        <v>18</v>
      </c>
      <c r="G81" s="19">
        <v>60130</v>
      </c>
      <c r="H81" t="s">
        <v>207</v>
      </c>
      <c r="I81" s="7">
        <f ca="1">(TODAY()-Staff[[#This Row],[Date Joined]])/365</f>
        <v>1.3287671232876712</v>
      </c>
      <c r="J81" s="19">
        <f ca="1">ROUNDUP(IF(Staff[[#This Row],[Tensure]]&gt;=2,Staff[[#This Row],[Salary]]*0.03,Staff[[#This Row],[Salary]]*0.02),0)</f>
        <v>1203</v>
      </c>
      <c r="K81" s="7">
        <f>_xlfn.XLOOKUP(Staff[[#This Row],[Rating]],SalaryVsRating!$B$13:$B$17,SalaryVsRating!$C$13:$C$17,"")</f>
        <v>3</v>
      </c>
    </row>
    <row r="82" spans="1:11" x14ac:dyDescent="0.4">
      <c r="A82" t="s">
        <v>31</v>
      </c>
      <c r="B82" t="s">
        <v>9</v>
      </c>
      <c r="C82" s="11">
        <v>20</v>
      </c>
      <c r="D82" t="s">
        <v>14</v>
      </c>
      <c r="E82" s="47">
        <v>44459</v>
      </c>
      <c r="F82" t="s">
        <v>24</v>
      </c>
      <c r="G82" s="19">
        <v>107700</v>
      </c>
      <c r="H82" t="s">
        <v>207</v>
      </c>
      <c r="I82" s="7">
        <f ca="1">(TODAY()-Staff[[#This Row],[Date Joined]])/365</f>
        <v>1.747945205479452</v>
      </c>
      <c r="J82" s="19">
        <f ca="1">ROUNDUP(IF(Staff[[#This Row],[Tensure]]&gt;=2,Staff[[#This Row],[Salary]]*0.03,Staff[[#This Row],[Salary]]*0.02),0)</f>
        <v>2154</v>
      </c>
      <c r="K82" s="7">
        <f>_xlfn.XLOOKUP(Staff[[#This Row],[Rating]],SalaryVsRating!$B$13:$B$17,SalaryVsRating!$C$13:$C$17,"")</f>
        <v>3</v>
      </c>
    </row>
    <row r="83" spans="1:11" x14ac:dyDescent="0.4">
      <c r="A83" t="s">
        <v>186</v>
      </c>
      <c r="B83" t="s">
        <v>16</v>
      </c>
      <c r="C83" s="11">
        <v>37</v>
      </c>
      <c r="D83" t="s">
        <v>14</v>
      </c>
      <c r="E83" s="47">
        <v>44389</v>
      </c>
      <c r="F83" t="s">
        <v>27</v>
      </c>
      <c r="G83" s="19">
        <v>118100</v>
      </c>
      <c r="H83" t="s">
        <v>205</v>
      </c>
      <c r="I83" s="7">
        <f ca="1">(TODAY()-Staff[[#This Row],[Date Joined]])/365</f>
        <v>1.9397260273972603</v>
      </c>
      <c r="J83" s="19">
        <f ca="1">ROUNDUP(IF(Staff[[#This Row],[Tensure]]&gt;=2,Staff[[#This Row],[Salary]]*0.03,Staff[[#This Row],[Salary]]*0.02),0)</f>
        <v>2362</v>
      </c>
      <c r="K83" s="7">
        <f>_xlfn.XLOOKUP(Staff[[#This Row],[Rating]],SalaryVsRating!$B$13:$B$17,SalaryVsRating!$C$13:$C$17,"")</f>
        <v>3</v>
      </c>
    </row>
    <row r="84" spans="1:11" x14ac:dyDescent="0.4">
      <c r="A84" t="s">
        <v>159</v>
      </c>
      <c r="B84" t="s">
        <v>9</v>
      </c>
      <c r="C84" s="11">
        <v>27</v>
      </c>
      <c r="D84" t="s">
        <v>11</v>
      </c>
      <c r="E84" s="47">
        <v>44174</v>
      </c>
      <c r="F84" t="s">
        <v>18</v>
      </c>
      <c r="G84" s="19">
        <v>91650</v>
      </c>
      <c r="H84" t="s">
        <v>205</v>
      </c>
      <c r="I84" s="7">
        <f ca="1">(TODAY()-Staff[[#This Row],[Date Joined]])/365</f>
        <v>2.5287671232876714</v>
      </c>
      <c r="J84" s="19">
        <f ca="1">ROUNDUP(IF(Staff[[#This Row],[Tensure]]&gt;=2,Staff[[#This Row],[Salary]]*0.03,Staff[[#This Row],[Salary]]*0.02),0)</f>
        <v>2750</v>
      </c>
      <c r="K84" s="7">
        <f>_xlfn.XLOOKUP(Staff[[#This Row],[Rating]],SalaryVsRating!$B$13:$B$17,SalaryVsRating!$C$13:$C$17,"")</f>
        <v>4</v>
      </c>
    </row>
    <row r="85" spans="1:11" x14ac:dyDescent="0.4">
      <c r="A85" t="s">
        <v>182</v>
      </c>
      <c r="B85" t="s">
        <v>16</v>
      </c>
      <c r="C85" s="11">
        <v>30</v>
      </c>
      <c r="D85" t="s">
        <v>19</v>
      </c>
      <c r="E85" s="47">
        <v>44328</v>
      </c>
      <c r="F85" t="s">
        <v>18</v>
      </c>
      <c r="G85" s="19">
        <v>67910</v>
      </c>
      <c r="H85" t="s">
        <v>205</v>
      </c>
      <c r="I85" s="7">
        <f ca="1">(TODAY()-Staff[[#This Row],[Date Joined]])/365</f>
        <v>2.106849315068493</v>
      </c>
      <c r="J85" s="19">
        <f ca="1">ROUNDUP(IF(Staff[[#This Row],[Tensure]]&gt;=2,Staff[[#This Row],[Salary]]*0.03,Staff[[#This Row],[Salary]]*0.02),0)</f>
        <v>2038</v>
      </c>
      <c r="K85" s="7">
        <f>_xlfn.XLOOKUP(Staff[[#This Row],[Rating]],SalaryVsRating!$B$13:$B$17,SalaryVsRating!$C$13:$C$17,"")</f>
        <v>2</v>
      </c>
    </row>
    <row r="86" spans="1:11" x14ac:dyDescent="0.4">
      <c r="A86" t="s">
        <v>101</v>
      </c>
      <c r="B86" t="s">
        <v>16</v>
      </c>
      <c r="C86" s="11">
        <v>34</v>
      </c>
      <c r="D86" t="s">
        <v>14</v>
      </c>
      <c r="E86" s="47">
        <v>44459</v>
      </c>
      <c r="F86" t="s">
        <v>18</v>
      </c>
      <c r="G86" s="19">
        <v>85000</v>
      </c>
      <c r="H86" t="s">
        <v>207</v>
      </c>
      <c r="I86" s="7">
        <f ca="1">(TODAY()-Staff[[#This Row],[Date Joined]])/365</f>
        <v>1.747945205479452</v>
      </c>
      <c r="J86" s="19">
        <f ca="1">ROUNDUP(IF(Staff[[#This Row],[Tensure]]&gt;=2,Staff[[#This Row],[Salary]]*0.03,Staff[[#This Row],[Salary]]*0.02),0)</f>
        <v>1700</v>
      </c>
      <c r="K86" s="7">
        <f>_xlfn.XLOOKUP(Staff[[#This Row],[Rating]],SalaryVsRating!$B$13:$B$17,SalaryVsRating!$C$13:$C$17,"")</f>
        <v>3</v>
      </c>
    </row>
    <row r="87" spans="1:11" x14ac:dyDescent="0.4">
      <c r="A87" t="s">
        <v>162</v>
      </c>
      <c r="B87" t="s">
        <v>206</v>
      </c>
      <c r="C87" s="11">
        <v>27</v>
      </c>
      <c r="D87" t="s">
        <v>11</v>
      </c>
      <c r="E87" s="47">
        <v>44212</v>
      </c>
      <c r="F87" t="s">
        <v>24</v>
      </c>
      <c r="G87" s="19">
        <v>90700</v>
      </c>
      <c r="H87" t="s">
        <v>205</v>
      </c>
      <c r="I87" s="7">
        <f ca="1">(TODAY()-Staff[[#This Row],[Date Joined]])/365</f>
        <v>2.4246575342465753</v>
      </c>
      <c r="J87" s="19">
        <f ca="1">ROUNDUP(IF(Staff[[#This Row],[Tensure]]&gt;=2,Staff[[#This Row],[Salary]]*0.03,Staff[[#This Row],[Salary]]*0.02),0)</f>
        <v>2721</v>
      </c>
      <c r="K87" s="7">
        <f>_xlfn.XLOOKUP(Staff[[#This Row],[Rating]],SalaryVsRating!$B$13:$B$17,SalaryVsRating!$C$13:$C$17,"")</f>
        <v>4</v>
      </c>
    </row>
    <row r="88" spans="1:11" x14ac:dyDescent="0.4">
      <c r="A88" t="s">
        <v>32</v>
      </c>
      <c r="B88" t="s">
        <v>16</v>
      </c>
      <c r="C88" s="11">
        <v>32</v>
      </c>
      <c r="D88" t="s">
        <v>11</v>
      </c>
      <c r="E88" s="47">
        <v>44354</v>
      </c>
      <c r="F88" t="s">
        <v>24</v>
      </c>
      <c r="G88" s="19">
        <v>43840</v>
      </c>
      <c r="H88" t="s">
        <v>207</v>
      </c>
      <c r="I88" s="7">
        <f ca="1">(TODAY()-Staff[[#This Row],[Date Joined]])/365</f>
        <v>2.0356164383561643</v>
      </c>
      <c r="J88" s="19">
        <f ca="1">ROUNDUP(IF(Staff[[#This Row],[Tensure]]&gt;=2,Staff[[#This Row],[Salary]]*0.03,Staff[[#This Row],[Salary]]*0.02),0)</f>
        <v>1316</v>
      </c>
      <c r="K88" s="7">
        <f>_xlfn.XLOOKUP(Staff[[#This Row],[Rating]],SalaryVsRating!$B$13:$B$17,SalaryVsRating!$C$13:$C$17,"")</f>
        <v>4</v>
      </c>
    </row>
    <row r="89" spans="1:11" x14ac:dyDescent="0.4">
      <c r="A89" t="s">
        <v>29</v>
      </c>
      <c r="B89" t="s">
        <v>9</v>
      </c>
      <c r="C89" s="11">
        <v>25</v>
      </c>
      <c r="D89" t="s">
        <v>14</v>
      </c>
      <c r="E89" s="47">
        <v>44383</v>
      </c>
      <c r="F89" t="s">
        <v>10</v>
      </c>
      <c r="G89" s="19">
        <v>65700</v>
      </c>
      <c r="H89" t="s">
        <v>207</v>
      </c>
      <c r="I89" s="7">
        <f ca="1">(TODAY()-Staff[[#This Row],[Date Joined]])/365</f>
        <v>1.9561643835616438</v>
      </c>
      <c r="J89" s="19">
        <f ca="1">ROUNDUP(IF(Staff[[#This Row],[Tensure]]&gt;=2,Staff[[#This Row],[Salary]]*0.03,Staff[[#This Row],[Salary]]*0.02),0)</f>
        <v>1314</v>
      </c>
      <c r="K89" s="7">
        <f>_xlfn.XLOOKUP(Staff[[#This Row],[Rating]],SalaryVsRating!$B$13:$B$17,SalaryVsRating!$C$13:$C$17,"")</f>
        <v>3</v>
      </c>
    </row>
    <row r="90" spans="1:11" x14ac:dyDescent="0.4">
      <c r="A90" t="s">
        <v>59</v>
      </c>
      <c r="B90" t="s">
        <v>9</v>
      </c>
      <c r="C90" s="11">
        <v>24</v>
      </c>
      <c r="D90" t="s">
        <v>19</v>
      </c>
      <c r="E90" s="47">
        <v>44436</v>
      </c>
      <c r="F90" t="s">
        <v>18</v>
      </c>
      <c r="G90" s="19">
        <v>52610</v>
      </c>
      <c r="H90" t="s">
        <v>207</v>
      </c>
      <c r="I90" s="7">
        <f ca="1">(TODAY()-Staff[[#This Row],[Date Joined]])/365</f>
        <v>1.810958904109589</v>
      </c>
      <c r="J90" s="19">
        <f ca="1">ROUNDUP(IF(Staff[[#This Row],[Tensure]]&gt;=2,Staff[[#This Row],[Salary]]*0.03,Staff[[#This Row],[Salary]]*0.02),0)</f>
        <v>1053</v>
      </c>
      <c r="K90" s="7">
        <f>_xlfn.XLOOKUP(Staff[[#This Row],[Rating]],SalaryVsRating!$B$13:$B$17,SalaryVsRating!$C$13:$C$17,"")</f>
        <v>2</v>
      </c>
    </row>
    <row r="91" spans="1:11" x14ac:dyDescent="0.4">
      <c r="A91" t="s">
        <v>35</v>
      </c>
      <c r="B91" t="s">
        <v>9</v>
      </c>
      <c r="C91" s="11">
        <v>21</v>
      </c>
      <c r="D91" t="s">
        <v>14</v>
      </c>
      <c r="E91" s="47">
        <v>44762</v>
      </c>
      <c r="F91" t="s">
        <v>13</v>
      </c>
      <c r="G91" s="19">
        <v>57090</v>
      </c>
      <c r="H91" t="s">
        <v>207</v>
      </c>
      <c r="I91" s="7">
        <f ca="1">(TODAY()-Staff[[#This Row],[Date Joined]])/365</f>
        <v>0.9178082191780822</v>
      </c>
      <c r="J91" s="19">
        <f ca="1">ROUNDUP(IF(Staff[[#This Row],[Tensure]]&gt;=2,Staff[[#This Row],[Salary]]*0.03,Staff[[#This Row],[Salary]]*0.02),0)</f>
        <v>1142</v>
      </c>
      <c r="K91" s="7">
        <f>_xlfn.XLOOKUP(Staff[[#This Row],[Rating]],SalaryVsRating!$B$13:$B$17,SalaryVsRating!$C$13:$C$17,"")</f>
        <v>3</v>
      </c>
    </row>
    <row r="92" spans="1:11" x14ac:dyDescent="0.4">
      <c r="A92" t="s">
        <v>65</v>
      </c>
      <c r="B92" t="s">
        <v>9</v>
      </c>
      <c r="C92" s="11">
        <v>20</v>
      </c>
      <c r="D92" t="s">
        <v>14</v>
      </c>
      <c r="E92" s="47">
        <v>44744</v>
      </c>
      <c r="F92" t="s">
        <v>13</v>
      </c>
      <c r="G92" s="19">
        <v>79570</v>
      </c>
      <c r="H92" t="s">
        <v>207</v>
      </c>
      <c r="I92" s="7">
        <f ca="1">(TODAY()-Staff[[#This Row],[Date Joined]])/365</f>
        <v>0.9671232876712329</v>
      </c>
      <c r="J92" s="19">
        <f ca="1">ROUNDUP(IF(Staff[[#This Row],[Tensure]]&gt;=2,Staff[[#This Row],[Salary]]*0.03,Staff[[#This Row],[Salary]]*0.02),0)</f>
        <v>1592</v>
      </c>
      <c r="K92" s="7">
        <f>_xlfn.XLOOKUP(Staff[[#This Row],[Rating]],SalaryVsRating!$B$13:$B$17,SalaryVsRating!$C$13:$C$17,"")</f>
        <v>3</v>
      </c>
    </row>
    <row r="93" spans="1:11" x14ac:dyDescent="0.4">
      <c r="A93" t="s">
        <v>165</v>
      </c>
      <c r="B93" t="s">
        <v>16</v>
      </c>
      <c r="C93" s="11">
        <v>33</v>
      </c>
      <c r="D93" t="s">
        <v>14</v>
      </c>
      <c r="E93" s="47">
        <v>44006</v>
      </c>
      <c r="F93" t="s">
        <v>18</v>
      </c>
      <c r="G93" s="19">
        <v>65360</v>
      </c>
      <c r="H93" t="s">
        <v>205</v>
      </c>
      <c r="I93" s="7">
        <f ca="1">(TODAY()-Staff[[#This Row],[Date Joined]])/365</f>
        <v>2.989041095890411</v>
      </c>
      <c r="J93" s="19">
        <f ca="1">ROUNDUP(IF(Staff[[#This Row],[Tensure]]&gt;=2,Staff[[#This Row],[Salary]]*0.03,Staff[[#This Row],[Salary]]*0.02),0)</f>
        <v>1961</v>
      </c>
      <c r="K93" s="7">
        <f>_xlfn.XLOOKUP(Staff[[#This Row],[Rating]],SalaryVsRating!$B$13:$B$17,SalaryVsRating!$C$13:$C$17,"")</f>
        <v>3</v>
      </c>
    </row>
    <row r="94" spans="1:11" x14ac:dyDescent="0.4">
      <c r="A94" t="s">
        <v>95</v>
      </c>
      <c r="B94" t="s">
        <v>9</v>
      </c>
      <c r="C94" s="11">
        <v>23</v>
      </c>
      <c r="D94" t="s">
        <v>14</v>
      </c>
      <c r="E94" s="47">
        <v>44440</v>
      </c>
      <c r="F94" t="s">
        <v>13</v>
      </c>
      <c r="G94" s="19">
        <v>106460</v>
      </c>
      <c r="H94" t="s">
        <v>207</v>
      </c>
      <c r="I94" s="7">
        <f ca="1">(TODAY()-Staff[[#This Row],[Date Joined]])/365</f>
        <v>1.8</v>
      </c>
      <c r="J94" s="19">
        <f ca="1">ROUNDUP(IF(Staff[[#This Row],[Tensure]]&gt;=2,Staff[[#This Row],[Salary]]*0.03,Staff[[#This Row],[Salary]]*0.02),0)</f>
        <v>2130</v>
      </c>
      <c r="K94" s="7">
        <f>_xlfn.XLOOKUP(Staff[[#This Row],[Rating]],SalaryVsRating!$B$13:$B$17,SalaryVsRating!$C$13:$C$17,"")</f>
        <v>3</v>
      </c>
    </row>
    <row r="95" spans="1:11" x14ac:dyDescent="0.4">
      <c r="A95" t="s">
        <v>148</v>
      </c>
      <c r="B95" t="s">
        <v>9</v>
      </c>
      <c r="C95" s="11">
        <v>22</v>
      </c>
      <c r="D95" t="s">
        <v>11</v>
      </c>
      <c r="E95" s="47">
        <v>44384</v>
      </c>
      <c r="F95" t="s">
        <v>10</v>
      </c>
      <c r="G95" s="19">
        <v>112780</v>
      </c>
      <c r="H95" t="s">
        <v>205</v>
      </c>
      <c r="I95" s="7">
        <f ca="1">(TODAY()-Staff[[#This Row],[Date Joined]])/365</f>
        <v>1.9534246575342467</v>
      </c>
      <c r="J95" s="19">
        <f ca="1">ROUNDUP(IF(Staff[[#This Row],[Tensure]]&gt;=2,Staff[[#This Row],[Salary]]*0.03,Staff[[#This Row],[Salary]]*0.02),0)</f>
        <v>2256</v>
      </c>
      <c r="K95" s="7">
        <f>_xlfn.XLOOKUP(Staff[[#This Row],[Rating]],SalaryVsRating!$B$13:$B$17,SalaryVsRating!$C$13:$C$17,"")</f>
        <v>4</v>
      </c>
    </row>
    <row r="96" spans="1:11" x14ac:dyDescent="0.4">
      <c r="A96" t="s">
        <v>156</v>
      </c>
      <c r="B96" t="s">
        <v>16</v>
      </c>
      <c r="C96" s="11">
        <v>34</v>
      </c>
      <c r="D96" t="s">
        <v>14</v>
      </c>
      <c r="E96" s="47">
        <v>44594</v>
      </c>
      <c r="F96" t="s">
        <v>18</v>
      </c>
      <c r="G96" s="19">
        <v>58940</v>
      </c>
      <c r="H96" t="s">
        <v>205</v>
      </c>
      <c r="I96" s="7">
        <f ca="1">(TODAY()-Staff[[#This Row],[Date Joined]])/365</f>
        <v>1.3780821917808219</v>
      </c>
      <c r="J96" s="19">
        <f ca="1">ROUNDUP(IF(Staff[[#This Row],[Tensure]]&gt;=2,Staff[[#This Row],[Salary]]*0.03,Staff[[#This Row],[Salary]]*0.02),0)</f>
        <v>1179</v>
      </c>
      <c r="K96" s="7">
        <f>_xlfn.XLOOKUP(Staff[[#This Row],[Rating]],SalaryVsRating!$B$13:$B$17,SalaryVsRating!$C$13:$C$17,"")</f>
        <v>3</v>
      </c>
    </row>
    <row r="97" spans="1:11" x14ac:dyDescent="0.4">
      <c r="A97" t="s">
        <v>177</v>
      </c>
      <c r="B97" t="s">
        <v>9</v>
      </c>
      <c r="C97" s="11">
        <v>36</v>
      </c>
      <c r="D97" t="s">
        <v>14</v>
      </c>
      <c r="E97" s="47">
        <v>44272</v>
      </c>
      <c r="F97" t="s">
        <v>18</v>
      </c>
      <c r="G97" s="19">
        <v>71380</v>
      </c>
      <c r="H97" t="s">
        <v>205</v>
      </c>
      <c r="I97" s="7">
        <f ca="1">(TODAY()-Staff[[#This Row],[Date Joined]])/365</f>
        <v>2.2602739726027399</v>
      </c>
      <c r="J97" s="19">
        <f ca="1">ROUNDUP(IF(Staff[[#This Row],[Tensure]]&gt;=2,Staff[[#This Row],[Salary]]*0.03,Staff[[#This Row],[Salary]]*0.02),0)</f>
        <v>2142</v>
      </c>
      <c r="K97" s="7">
        <f>_xlfn.XLOOKUP(Staff[[#This Row],[Rating]],SalaryVsRating!$B$13:$B$17,SalaryVsRating!$C$13:$C$17,"")</f>
        <v>3</v>
      </c>
    </row>
    <row r="98" spans="1:11" x14ac:dyDescent="0.4">
      <c r="A98" t="s">
        <v>169</v>
      </c>
      <c r="B98" t="s">
        <v>16</v>
      </c>
      <c r="C98" s="11">
        <v>27</v>
      </c>
      <c r="D98" t="s">
        <v>14</v>
      </c>
      <c r="E98" s="47">
        <v>44625</v>
      </c>
      <c r="F98" t="s">
        <v>24</v>
      </c>
      <c r="G98" s="19">
        <v>83750</v>
      </c>
      <c r="H98" t="s">
        <v>205</v>
      </c>
      <c r="I98" s="7">
        <f ca="1">(TODAY()-Staff[[#This Row],[Date Joined]])/365</f>
        <v>1.2931506849315069</v>
      </c>
      <c r="J98" s="19">
        <f ca="1">ROUNDUP(IF(Staff[[#This Row],[Tensure]]&gt;=2,Staff[[#This Row],[Salary]]*0.03,Staff[[#This Row],[Salary]]*0.02),0)</f>
        <v>1675</v>
      </c>
      <c r="K98" s="7">
        <f>_xlfn.XLOOKUP(Staff[[#This Row],[Rating]],SalaryVsRating!$B$13:$B$17,SalaryVsRating!$C$13:$C$17,"")</f>
        <v>3</v>
      </c>
    </row>
    <row r="99" spans="1:11" x14ac:dyDescent="0.4">
      <c r="A99" t="s">
        <v>184</v>
      </c>
      <c r="B99" t="s">
        <v>16</v>
      </c>
      <c r="C99" s="11">
        <v>34</v>
      </c>
      <c r="D99" t="s">
        <v>14</v>
      </c>
      <c r="E99" s="47">
        <v>44550</v>
      </c>
      <c r="F99" t="s">
        <v>18</v>
      </c>
      <c r="G99" s="19">
        <v>60130</v>
      </c>
      <c r="H99" t="s">
        <v>205</v>
      </c>
      <c r="I99" s="7">
        <f ca="1">(TODAY()-Staff[[#This Row],[Date Joined]])/365</f>
        <v>1.4986301369863013</v>
      </c>
      <c r="J99" s="19">
        <f ca="1">ROUNDUP(IF(Staff[[#This Row],[Tensure]]&gt;=2,Staff[[#This Row],[Salary]]*0.03,Staff[[#This Row],[Salary]]*0.02),0)</f>
        <v>1203</v>
      </c>
      <c r="K99" s="7">
        <f>_xlfn.XLOOKUP(Staff[[#This Row],[Rating]],SalaryVsRating!$B$13:$B$17,SalaryVsRating!$C$13:$C$17,"")</f>
        <v>3</v>
      </c>
    </row>
    <row r="100" spans="1:11" x14ac:dyDescent="0.4">
      <c r="A100" t="s">
        <v>63</v>
      </c>
      <c r="B100" t="s">
        <v>16</v>
      </c>
      <c r="C100" s="11">
        <v>34</v>
      </c>
      <c r="D100" t="s">
        <v>14</v>
      </c>
      <c r="E100" s="47">
        <v>44445</v>
      </c>
      <c r="F100" t="s">
        <v>18</v>
      </c>
      <c r="G100" s="19">
        <v>92450</v>
      </c>
      <c r="H100" t="s">
        <v>207</v>
      </c>
      <c r="I100" s="7">
        <f ca="1">(TODAY()-Staff[[#This Row],[Date Joined]])/365</f>
        <v>1.7863013698630137</v>
      </c>
      <c r="J100" s="19">
        <f ca="1">ROUNDUP(IF(Staff[[#This Row],[Tensure]]&gt;=2,Staff[[#This Row],[Salary]]*0.03,Staff[[#This Row],[Salary]]*0.02),0)</f>
        <v>1849</v>
      </c>
      <c r="K100" s="7">
        <f>_xlfn.XLOOKUP(Staff[[#This Row],[Rating]],SalaryVsRating!$B$13:$B$17,SalaryVsRating!$C$13:$C$17,"")</f>
        <v>3</v>
      </c>
    </row>
    <row r="101" spans="1:11" x14ac:dyDescent="0.4">
      <c r="A101" t="s">
        <v>68</v>
      </c>
      <c r="B101" t="s">
        <v>9</v>
      </c>
      <c r="C101" s="11">
        <v>19</v>
      </c>
      <c r="D101" t="s">
        <v>14</v>
      </c>
      <c r="E101" s="47">
        <v>44277</v>
      </c>
      <c r="F101" t="s">
        <v>13</v>
      </c>
      <c r="G101" s="19">
        <v>58960</v>
      </c>
      <c r="H101" t="s">
        <v>207</v>
      </c>
      <c r="I101" s="7">
        <f ca="1">(TODAY()-Staff[[#This Row],[Date Joined]])/365</f>
        <v>2.2465753424657535</v>
      </c>
      <c r="J101" s="19">
        <f ca="1">ROUNDUP(IF(Staff[[#This Row],[Tensure]]&gt;=2,Staff[[#This Row],[Salary]]*0.03,Staff[[#This Row],[Salary]]*0.02),0)</f>
        <v>1769</v>
      </c>
      <c r="K101" s="7">
        <f>_xlfn.XLOOKUP(Staff[[#This Row],[Rating]],SalaryVsRating!$B$13:$B$17,SalaryVsRating!$C$13:$C$17,"")</f>
        <v>3</v>
      </c>
    </row>
    <row r="102" spans="1:11" x14ac:dyDescent="0.4">
      <c r="A102" t="s">
        <v>8</v>
      </c>
      <c r="B102" t="s">
        <v>9</v>
      </c>
      <c r="C102" s="11">
        <v>22</v>
      </c>
      <c r="D102" t="s">
        <v>11</v>
      </c>
      <c r="E102" s="47">
        <v>44446</v>
      </c>
      <c r="F102" t="s">
        <v>10</v>
      </c>
      <c r="G102" s="19">
        <v>112780</v>
      </c>
      <c r="H102" t="s">
        <v>207</v>
      </c>
      <c r="I102" s="7">
        <f ca="1">(TODAY()-Staff[[#This Row],[Date Joined]])/365</f>
        <v>1.7835616438356163</v>
      </c>
      <c r="J102" s="19">
        <f ca="1">ROUNDUP(IF(Staff[[#This Row],[Tensure]]&gt;=2,Staff[[#This Row],[Salary]]*0.03,Staff[[#This Row],[Salary]]*0.02),0)</f>
        <v>2256</v>
      </c>
      <c r="K102" s="7">
        <f>_xlfn.XLOOKUP(Staff[[#This Row],[Rating]],SalaryVsRating!$B$13:$B$17,SalaryVsRating!$C$13:$C$17,"")</f>
        <v>4</v>
      </c>
    </row>
    <row r="103" spans="1:11" x14ac:dyDescent="0.4">
      <c r="A103" t="s">
        <v>53</v>
      </c>
      <c r="B103" t="s">
        <v>9</v>
      </c>
      <c r="C103" s="11">
        <v>25</v>
      </c>
      <c r="D103" t="s">
        <v>11</v>
      </c>
      <c r="E103" s="47">
        <v>44726</v>
      </c>
      <c r="F103" t="s">
        <v>13</v>
      </c>
      <c r="G103" s="19">
        <v>109190</v>
      </c>
      <c r="H103" t="s">
        <v>207</v>
      </c>
      <c r="I103" s="7">
        <f ca="1">(TODAY()-Staff[[#This Row],[Date Joined]])/365</f>
        <v>1.0164383561643835</v>
      </c>
      <c r="J103" s="19">
        <f ca="1">ROUNDUP(IF(Staff[[#This Row],[Tensure]]&gt;=2,Staff[[#This Row],[Salary]]*0.03,Staff[[#This Row],[Salary]]*0.02),0)</f>
        <v>2184</v>
      </c>
      <c r="K103" s="7">
        <f>_xlfn.XLOOKUP(Staff[[#This Row],[Rating]],SalaryVsRating!$B$13:$B$17,SalaryVsRating!$C$13:$C$17,"")</f>
        <v>4</v>
      </c>
    </row>
    <row r="104" spans="1:11" x14ac:dyDescent="0.4">
      <c r="A104" t="s">
        <v>81</v>
      </c>
      <c r="B104" t="s">
        <v>206</v>
      </c>
      <c r="C104" s="11">
        <v>32</v>
      </c>
      <c r="D104" t="s">
        <v>14</v>
      </c>
      <c r="E104" s="47">
        <v>44774</v>
      </c>
      <c r="F104" t="s">
        <v>24</v>
      </c>
      <c r="G104" s="19">
        <v>91310</v>
      </c>
      <c r="H104" t="s">
        <v>207</v>
      </c>
      <c r="I104" s="7">
        <f ca="1">(TODAY()-Staff[[#This Row],[Date Joined]])/365</f>
        <v>0.8849315068493151</v>
      </c>
      <c r="J104" s="19">
        <f ca="1">ROUNDUP(IF(Staff[[#This Row],[Tensure]]&gt;=2,Staff[[#This Row],[Salary]]*0.03,Staff[[#This Row],[Salary]]*0.02),0)</f>
        <v>1827</v>
      </c>
      <c r="K104" s="7">
        <f>_xlfn.XLOOKUP(Staff[[#This Row],[Rating]],SalaryVsRating!$B$13:$B$17,SalaryVsRating!$C$13:$C$17,"")</f>
        <v>3</v>
      </c>
    </row>
    <row r="105" spans="1:11" x14ac:dyDescent="0.4">
      <c r="A105" t="s">
        <v>114</v>
      </c>
      <c r="B105" t="s">
        <v>16</v>
      </c>
      <c r="C105" s="11">
        <v>32</v>
      </c>
      <c r="D105" t="s">
        <v>14</v>
      </c>
      <c r="E105" s="47">
        <v>44339</v>
      </c>
      <c r="F105" t="s">
        <v>27</v>
      </c>
      <c r="G105" s="19">
        <v>45510</v>
      </c>
      <c r="H105" t="s">
        <v>205</v>
      </c>
      <c r="I105" s="7">
        <f ca="1">(TODAY()-Staff[[#This Row],[Date Joined]])/365</f>
        <v>2.0767123287671234</v>
      </c>
      <c r="J105" s="19">
        <f ca="1">ROUNDUP(IF(Staff[[#This Row],[Tensure]]&gt;=2,Staff[[#This Row],[Salary]]*0.03,Staff[[#This Row],[Salary]]*0.02),0)</f>
        <v>1366</v>
      </c>
      <c r="K105" s="7">
        <f>_xlfn.XLOOKUP(Staff[[#This Row],[Rating]],SalaryVsRating!$B$13:$B$17,SalaryVsRating!$C$13:$C$17,"")</f>
        <v>3</v>
      </c>
    </row>
    <row r="106" spans="1:11" x14ac:dyDescent="0.4">
      <c r="A106" t="s">
        <v>179</v>
      </c>
      <c r="B106" t="s">
        <v>16</v>
      </c>
      <c r="C106" s="11">
        <v>33</v>
      </c>
      <c r="D106" t="s">
        <v>14</v>
      </c>
      <c r="E106" s="47">
        <v>44747</v>
      </c>
      <c r="F106" t="s">
        <v>18</v>
      </c>
      <c r="G106" s="19">
        <v>86570</v>
      </c>
      <c r="H106" t="s">
        <v>205</v>
      </c>
      <c r="I106" s="7">
        <f ca="1">(TODAY()-Staff[[#This Row],[Date Joined]])/365</f>
        <v>0.95890410958904104</v>
      </c>
      <c r="J106" s="19">
        <f ca="1">ROUNDUP(IF(Staff[[#This Row],[Tensure]]&gt;=2,Staff[[#This Row],[Salary]]*0.03,Staff[[#This Row],[Salary]]*0.02),0)</f>
        <v>1732</v>
      </c>
      <c r="K106" s="7">
        <f>_xlfn.XLOOKUP(Staff[[#This Row],[Rating]],SalaryVsRating!$B$13:$B$17,SalaryVsRating!$C$13:$C$17,"")</f>
        <v>3</v>
      </c>
    </row>
    <row r="107" spans="1:11" x14ac:dyDescent="0.4">
      <c r="A107" t="s">
        <v>76</v>
      </c>
      <c r="B107" t="s">
        <v>9</v>
      </c>
      <c r="C107" s="11">
        <v>27</v>
      </c>
      <c r="D107" t="s">
        <v>50</v>
      </c>
      <c r="E107" s="47">
        <v>44609</v>
      </c>
      <c r="F107" t="s">
        <v>13</v>
      </c>
      <c r="G107" s="19">
        <v>113280</v>
      </c>
      <c r="H107" t="s">
        <v>207</v>
      </c>
      <c r="I107" s="7">
        <f ca="1">(TODAY()-Staff[[#This Row],[Date Joined]])/365</f>
        <v>1.3369863013698631</v>
      </c>
      <c r="J107" s="19">
        <f ca="1">ROUNDUP(IF(Staff[[#This Row],[Tensure]]&gt;=2,Staff[[#This Row],[Salary]]*0.03,Staff[[#This Row],[Salary]]*0.02),0)</f>
        <v>2266</v>
      </c>
      <c r="K107" s="7">
        <f>_xlfn.XLOOKUP(Staff[[#This Row],[Rating]],SalaryVsRating!$B$13:$B$17,SalaryVsRating!$C$13:$C$17,"")</f>
        <v>1</v>
      </c>
    </row>
    <row r="108" spans="1:11" x14ac:dyDescent="0.4">
      <c r="A108" t="s">
        <v>190</v>
      </c>
      <c r="B108" t="s">
        <v>9</v>
      </c>
      <c r="C108" s="11">
        <v>30</v>
      </c>
      <c r="D108" t="s">
        <v>14</v>
      </c>
      <c r="E108" s="47">
        <v>44640</v>
      </c>
      <c r="F108" t="s">
        <v>13</v>
      </c>
      <c r="G108" s="19">
        <v>67950</v>
      </c>
      <c r="H108" t="s">
        <v>205</v>
      </c>
      <c r="I108" s="7">
        <f ca="1">(TODAY()-Staff[[#This Row],[Date Joined]])/365</f>
        <v>1.252054794520548</v>
      </c>
      <c r="J108" s="19">
        <f ca="1">ROUNDUP(IF(Staff[[#This Row],[Tensure]]&gt;=2,Staff[[#This Row],[Salary]]*0.03,Staff[[#This Row],[Salary]]*0.02),0)</f>
        <v>1359</v>
      </c>
      <c r="K108" s="7">
        <f>_xlfn.XLOOKUP(Staff[[#This Row],[Rating]],SalaryVsRating!$B$13:$B$17,SalaryVsRating!$C$13:$C$17,"")</f>
        <v>3</v>
      </c>
    </row>
    <row r="109" spans="1:11" x14ac:dyDescent="0.4">
      <c r="A109" t="s">
        <v>140</v>
      </c>
      <c r="B109" t="s">
        <v>16</v>
      </c>
      <c r="C109" s="11">
        <v>30</v>
      </c>
      <c r="D109" t="s">
        <v>14</v>
      </c>
      <c r="E109" s="47">
        <v>44800</v>
      </c>
      <c r="F109" t="s">
        <v>13</v>
      </c>
      <c r="G109" s="19">
        <v>112570</v>
      </c>
      <c r="H109" t="s">
        <v>205</v>
      </c>
      <c r="I109" s="7">
        <f ca="1">(TODAY()-Staff[[#This Row],[Date Joined]])/365</f>
        <v>0.81369863013698629</v>
      </c>
      <c r="J109" s="19">
        <f ca="1">ROUNDUP(IF(Staff[[#This Row],[Tensure]]&gt;=2,Staff[[#This Row],[Salary]]*0.03,Staff[[#This Row],[Salary]]*0.02),0)</f>
        <v>2252</v>
      </c>
      <c r="K109" s="7">
        <f>_xlfn.XLOOKUP(Staff[[#This Row],[Rating]],SalaryVsRating!$B$13:$B$17,SalaryVsRating!$C$13:$C$17,"")</f>
        <v>3</v>
      </c>
    </row>
    <row r="110" spans="1:11" x14ac:dyDescent="0.4">
      <c r="A110" t="s">
        <v>89</v>
      </c>
      <c r="B110" t="s">
        <v>9</v>
      </c>
      <c r="C110" s="11">
        <v>30</v>
      </c>
      <c r="D110" t="s">
        <v>14</v>
      </c>
      <c r="E110" s="47">
        <v>44666</v>
      </c>
      <c r="F110" t="s">
        <v>13</v>
      </c>
      <c r="G110" s="19">
        <v>60570</v>
      </c>
      <c r="H110" t="s">
        <v>207</v>
      </c>
      <c r="I110" s="7">
        <f ca="1">(TODAY()-Staff[[#This Row],[Date Joined]])/365</f>
        <v>1.1808219178082191</v>
      </c>
      <c r="J110" s="19">
        <f ca="1">ROUNDUP(IF(Staff[[#This Row],[Tensure]]&gt;=2,Staff[[#This Row],[Salary]]*0.03,Staff[[#This Row],[Salary]]*0.02),0)</f>
        <v>1212</v>
      </c>
      <c r="K110" s="7">
        <f>_xlfn.XLOOKUP(Staff[[#This Row],[Rating]],SalaryVsRating!$B$13:$B$17,SalaryVsRating!$C$13:$C$17,"")</f>
        <v>3</v>
      </c>
    </row>
    <row r="111" spans="1:11" x14ac:dyDescent="0.4">
      <c r="A111" t="s">
        <v>121</v>
      </c>
      <c r="B111" t="s">
        <v>16</v>
      </c>
      <c r="C111" s="11">
        <v>40</v>
      </c>
      <c r="D111" t="s">
        <v>14</v>
      </c>
      <c r="E111" s="47">
        <v>44320</v>
      </c>
      <c r="F111" t="s">
        <v>24</v>
      </c>
      <c r="G111" s="19">
        <v>104410</v>
      </c>
      <c r="H111" t="s">
        <v>205</v>
      </c>
      <c r="I111" s="7">
        <f ca="1">(TODAY()-Staff[[#This Row],[Date Joined]])/365</f>
        <v>2.128767123287671</v>
      </c>
      <c r="J111" s="19">
        <f ca="1">ROUNDUP(IF(Staff[[#This Row],[Tensure]]&gt;=2,Staff[[#This Row],[Salary]]*0.03,Staff[[#This Row],[Salary]]*0.02),0)</f>
        <v>3133</v>
      </c>
      <c r="K111" s="7">
        <f>_xlfn.XLOOKUP(Staff[[#This Row],[Rating]],SalaryVsRating!$B$13:$B$17,SalaryVsRating!$C$13:$C$17,"")</f>
        <v>3</v>
      </c>
    </row>
    <row r="112" spans="1:11" x14ac:dyDescent="0.4">
      <c r="A112" t="s">
        <v>163</v>
      </c>
      <c r="B112" t="s">
        <v>9</v>
      </c>
      <c r="C112" s="11">
        <v>30</v>
      </c>
      <c r="D112" t="s">
        <v>14</v>
      </c>
      <c r="E112" s="47">
        <v>44607</v>
      </c>
      <c r="F112" t="s">
        <v>13</v>
      </c>
      <c r="G112" s="19">
        <v>60570</v>
      </c>
      <c r="H112" t="s">
        <v>205</v>
      </c>
      <c r="I112" s="7">
        <f ca="1">(TODAY()-Staff[[#This Row],[Date Joined]])/365</f>
        <v>1.3424657534246576</v>
      </c>
      <c r="J112" s="19">
        <f ca="1">ROUNDUP(IF(Staff[[#This Row],[Tensure]]&gt;=2,Staff[[#This Row],[Salary]]*0.03,Staff[[#This Row],[Salary]]*0.02),0)</f>
        <v>1212</v>
      </c>
      <c r="K112" s="7">
        <f>_xlfn.XLOOKUP(Staff[[#This Row],[Rating]],SalaryVsRating!$B$13:$B$17,SalaryVsRating!$C$13:$C$17,"")</f>
        <v>3</v>
      </c>
    </row>
    <row r="113" spans="1:11" x14ac:dyDescent="0.4">
      <c r="A113" t="s">
        <v>87</v>
      </c>
      <c r="B113" t="s">
        <v>16</v>
      </c>
      <c r="C113" s="11">
        <v>21</v>
      </c>
      <c r="D113" t="s">
        <v>14</v>
      </c>
      <c r="E113" s="47">
        <v>44317</v>
      </c>
      <c r="F113" t="s">
        <v>18</v>
      </c>
      <c r="G113" s="19">
        <v>65920</v>
      </c>
      <c r="H113" t="s">
        <v>207</v>
      </c>
      <c r="I113" s="7">
        <f ca="1">(TODAY()-Staff[[#This Row],[Date Joined]])/365</f>
        <v>2.1369863013698631</v>
      </c>
      <c r="J113" s="19">
        <f ca="1">ROUNDUP(IF(Staff[[#This Row],[Tensure]]&gt;=2,Staff[[#This Row],[Salary]]*0.03,Staff[[#This Row],[Salary]]*0.02),0)</f>
        <v>1978</v>
      </c>
      <c r="K113" s="7">
        <f>_xlfn.XLOOKUP(Staff[[#This Row],[Rating]],SalaryVsRating!$B$13:$B$17,SalaryVsRating!$C$13:$C$17,"")</f>
        <v>3</v>
      </c>
    </row>
    <row r="114" spans="1:11" x14ac:dyDescent="0.4">
      <c r="A114" t="s">
        <v>45</v>
      </c>
      <c r="B114" t="s">
        <v>16</v>
      </c>
      <c r="C114" s="11">
        <v>40</v>
      </c>
      <c r="D114" t="s">
        <v>14</v>
      </c>
      <c r="E114" s="47">
        <v>44337</v>
      </c>
      <c r="F114" t="s">
        <v>24</v>
      </c>
      <c r="G114" s="19">
        <v>87620</v>
      </c>
      <c r="H114" t="s">
        <v>207</v>
      </c>
      <c r="I114" s="7">
        <f ca="1">(TODAY()-Staff[[#This Row],[Date Joined]])/365</f>
        <v>2.0821917808219177</v>
      </c>
      <c r="J114" s="19">
        <f ca="1">ROUNDUP(IF(Staff[[#This Row],[Tensure]]&gt;=2,Staff[[#This Row],[Salary]]*0.03,Staff[[#This Row],[Salary]]*0.02),0)</f>
        <v>2629</v>
      </c>
      <c r="K114" s="7">
        <f>_xlfn.XLOOKUP(Staff[[#This Row],[Rating]],SalaryVsRating!$B$13:$B$17,SalaryVsRating!$C$13:$C$17,"")</f>
        <v>3</v>
      </c>
    </row>
    <row r="115" spans="1:11" x14ac:dyDescent="0.4">
      <c r="A115" t="s">
        <v>116</v>
      </c>
      <c r="B115" t="s">
        <v>16</v>
      </c>
      <c r="C115" s="11">
        <v>38</v>
      </c>
      <c r="D115" t="s">
        <v>11</v>
      </c>
      <c r="E115" s="47">
        <v>44268</v>
      </c>
      <c r="F115" t="s">
        <v>10</v>
      </c>
      <c r="G115" s="19">
        <v>56870</v>
      </c>
      <c r="H115" t="s">
        <v>205</v>
      </c>
      <c r="I115" s="7">
        <f ca="1">(TODAY()-Staff[[#This Row],[Date Joined]])/365</f>
        <v>2.2712328767123289</v>
      </c>
      <c r="J115" s="19">
        <f ca="1">ROUNDUP(IF(Staff[[#This Row],[Tensure]]&gt;=2,Staff[[#This Row],[Salary]]*0.03,Staff[[#This Row],[Salary]]*0.02),0)</f>
        <v>1707</v>
      </c>
      <c r="K115" s="7">
        <f>_xlfn.XLOOKUP(Staff[[#This Row],[Rating]],SalaryVsRating!$B$13:$B$17,SalaryVsRating!$C$13:$C$17,"")</f>
        <v>4</v>
      </c>
    </row>
    <row r="116" spans="1:11" x14ac:dyDescent="0.4">
      <c r="A116" t="s">
        <v>122</v>
      </c>
      <c r="B116" t="s">
        <v>9</v>
      </c>
      <c r="C116" s="11">
        <v>30</v>
      </c>
      <c r="D116" t="s">
        <v>14</v>
      </c>
      <c r="E116" s="47">
        <v>44544</v>
      </c>
      <c r="F116" t="s">
        <v>18</v>
      </c>
      <c r="G116" s="19">
        <v>96800</v>
      </c>
      <c r="H116" t="s">
        <v>205</v>
      </c>
      <c r="I116" s="7">
        <f ca="1">(TODAY()-Staff[[#This Row],[Date Joined]])/365</f>
        <v>1.515068493150685</v>
      </c>
      <c r="J116" s="19">
        <f ca="1">ROUNDUP(IF(Staff[[#This Row],[Tensure]]&gt;=2,Staff[[#This Row],[Salary]]*0.03,Staff[[#This Row],[Salary]]*0.02),0)</f>
        <v>1936</v>
      </c>
      <c r="K116" s="7">
        <f>_xlfn.XLOOKUP(Staff[[#This Row],[Rating]],SalaryVsRating!$B$13:$B$17,SalaryVsRating!$C$13:$C$17,"")</f>
        <v>3</v>
      </c>
    </row>
    <row r="117" spans="1:11" x14ac:dyDescent="0.4">
      <c r="A117" t="s">
        <v>64</v>
      </c>
      <c r="B117" t="s">
        <v>9</v>
      </c>
      <c r="C117" s="11">
        <v>20</v>
      </c>
      <c r="D117" t="s">
        <v>14</v>
      </c>
      <c r="E117" s="47">
        <v>44183</v>
      </c>
      <c r="F117" t="s">
        <v>24</v>
      </c>
      <c r="G117" s="19">
        <v>112650</v>
      </c>
      <c r="H117" t="s">
        <v>207</v>
      </c>
      <c r="I117" s="7">
        <f ca="1">(TODAY()-Staff[[#This Row],[Date Joined]])/365</f>
        <v>2.504109589041096</v>
      </c>
      <c r="J117" s="19">
        <f ca="1">ROUNDUP(IF(Staff[[#This Row],[Tensure]]&gt;=2,Staff[[#This Row],[Salary]]*0.03,Staff[[#This Row],[Salary]]*0.02),0)</f>
        <v>3380</v>
      </c>
      <c r="K117" s="7">
        <f>_xlfn.XLOOKUP(Staff[[#This Row],[Rating]],SalaryVsRating!$B$13:$B$17,SalaryVsRating!$C$13:$C$17,"")</f>
        <v>3</v>
      </c>
    </row>
    <row r="118" spans="1:11" x14ac:dyDescent="0.4">
      <c r="A118" t="s">
        <v>30</v>
      </c>
      <c r="B118" t="s">
        <v>9</v>
      </c>
      <c r="C118" s="11">
        <v>37</v>
      </c>
      <c r="D118" t="s">
        <v>14</v>
      </c>
      <c r="E118" s="47">
        <v>44701</v>
      </c>
      <c r="F118" t="s">
        <v>24</v>
      </c>
      <c r="G118" s="19">
        <v>69070</v>
      </c>
      <c r="H118" t="s">
        <v>207</v>
      </c>
      <c r="I118" s="7">
        <f ca="1">(TODAY()-Staff[[#This Row],[Date Joined]])/365</f>
        <v>1.0849315068493151</v>
      </c>
      <c r="J118" s="19">
        <f ca="1">ROUNDUP(IF(Staff[[#This Row],[Tensure]]&gt;=2,Staff[[#This Row],[Salary]]*0.03,Staff[[#This Row],[Salary]]*0.02),0)</f>
        <v>1382</v>
      </c>
      <c r="K118" s="7">
        <f>_xlfn.XLOOKUP(Staff[[#This Row],[Rating]],SalaryVsRating!$B$13:$B$17,SalaryVsRating!$C$13:$C$17,"")</f>
        <v>3</v>
      </c>
    </row>
    <row r="119" spans="1:11" x14ac:dyDescent="0.4">
      <c r="A119" t="s">
        <v>103</v>
      </c>
      <c r="B119" t="s">
        <v>9</v>
      </c>
      <c r="C119" s="11">
        <v>33</v>
      </c>
      <c r="D119" t="s">
        <v>14</v>
      </c>
      <c r="E119" s="47">
        <v>44243</v>
      </c>
      <c r="F119" t="s">
        <v>18</v>
      </c>
      <c r="G119" s="19">
        <v>59430</v>
      </c>
      <c r="H119" t="s">
        <v>207</v>
      </c>
      <c r="I119" s="7">
        <f ca="1">(TODAY()-Staff[[#This Row],[Date Joined]])/365</f>
        <v>2.3397260273972602</v>
      </c>
      <c r="J119" s="19">
        <f ca="1">ROUNDUP(IF(Staff[[#This Row],[Tensure]]&gt;=2,Staff[[#This Row],[Salary]]*0.03,Staff[[#This Row],[Salary]]*0.02),0)</f>
        <v>1783</v>
      </c>
      <c r="K119" s="7">
        <f>_xlfn.XLOOKUP(Staff[[#This Row],[Rating]],SalaryVsRating!$B$13:$B$17,SalaryVsRating!$C$13:$C$17,"")</f>
        <v>3</v>
      </c>
    </row>
    <row r="120" spans="1:11" x14ac:dyDescent="0.4">
      <c r="A120" t="s">
        <v>73</v>
      </c>
      <c r="B120" t="s">
        <v>9</v>
      </c>
      <c r="C120" s="11">
        <v>30</v>
      </c>
      <c r="D120" t="s">
        <v>14</v>
      </c>
      <c r="E120" s="47">
        <v>44850</v>
      </c>
      <c r="F120" t="s">
        <v>24</v>
      </c>
      <c r="G120" s="19">
        <v>69710</v>
      </c>
      <c r="H120" t="s">
        <v>207</v>
      </c>
      <c r="I120" s="7">
        <f ca="1">(TODAY()-Staff[[#This Row],[Date Joined]])/365</f>
        <v>0.67671232876712328</v>
      </c>
      <c r="J120" s="19">
        <f ca="1">ROUNDUP(IF(Staff[[#This Row],[Tensure]]&gt;=2,Staff[[#This Row],[Salary]]*0.03,Staff[[#This Row],[Salary]]*0.02),0)</f>
        <v>1395</v>
      </c>
      <c r="K120" s="7">
        <f>_xlfn.XLOOKUP(Staff[[#This Row],[Rating]],SalaryVsRating!$B$13:$B$17,SalaryVsRating!$C$13:$C$17,"")</f>
        <v>3</v>
      </c>
    </row>
    <row r="121" spans="1:11" x14ac:dyDescent="0.4">
      <c r="A121" t="s">
        <v>134</v>
      </c>
      <c r="B121" t="s">
        <v>16</v>
      </c>
      <c r="C121" s="11">
        <v>42</v>
      </c>
      <c r="D121" t="s">
        <v>44</v>
      </c>
      <c r="E121" s="47">
        <v>44718</v>
      </c>
      <c r="F121" t="s">
        <v>13</v>
      </c>
      <c r="G121" s="19">
        <v>75000</v>
      </c>
      <c r="H121" t="s">
        <v>205</v>
      </c>
      <c r="I121" s="7">
        <f ca="1">(TODAY()-Staff[[#This Row],[Date Joined]])/365</f>
        <v>1.0383561643835617</v>
      </c>
      <c r="J121" s="19">
        <f ca="1">ROUNDUP(IF(Staff[[#This Row],[Tensure]]&gt;=2,Staff[[#This Row],[Salary]]*0.03,Staff[[#This Row],[Salary]]*0.02),0)</f>
        <v>1500</v>
      </c>
      <c r="K121" s="7">
        <f>_xlfn.XLOOKUP(Staff[[#This Row],[Rating]],SalaryVsRating!$B$13:$B$17,SalaryVsRating!$C$13:$C$17,"")</f>
        <v>5</v>
      </c>
    </row>
    <row r="122" spans="1:11" x14ac:dyDescent="0.4">
      <c r="A122" t="s">
        <v>146</v>
      </c>
      <c r="B122" t="s">
        <v>9</v>
      </c>
      <c r="C122" s="11">
        <v>29</v>
      </c>
      <c r="D122" t="s">
        <v>19</v>
      </c>
      <c r="E122" s="47">
        <v>44119</v>
      </c>
      <c r="F122" t="s">
        <v>24</v>
      </c>
      <c r="G122" s="19">
        <v>112110</v>
      </c>
      <c r="H122" t="s">
        <v>205</v>
      </c>
      <c r="I122" s="7">
        <f ca="1">(TODAY()-Staff[[#This Row],[Date Joined]])/365</f>
        <v>2.6794520547945204</v>
      </c>
      <c r="J122" s="19">
        <f ca="1">ROUNDUP(IF(Staff[[#This Row],[Tensure]]&gt;=2,Staff[[#This Row],[Salary]]*0.03,Staff[[#This Row],[Salary]]*0.02),0)</f>
        <v>3364</v>
      </c>
      <c r="K122" s="7">
        <f>_xlfn.XLOOKUP(Staff[[#This Row],[Rating]],SalaryVsRating!$B$13:$B$17,SalaryVsRating!$C$13:$C$17,"")</f>
        <v>2</v>
      </c>
    </row>
    <row r="123" spans="1:11" x14ac:dyDescent="0.4">
      <c r="A123" t="s">
        <v>46</v>
      </c>
      <c r="B123" t="s">
        <v>16</v>
      </c>
      <c r="C123" s="11">
        <v>29</v>
      </c>
      <c r="D123" t="s">
        <v>14</v>
      </c>
      <c r="E123" s="47">
        <v>44023</v>
      </c>
      <c r="F123" t="s">
        <v>24</v>
      </c>
      <c r="G123" s="19">
        <v>34980</v>
      </c>
      <c r="H123" t="s">
        <v>207</v>
      </c>
      <c r="I123" s="7">
        <f ca="1">(TODAY()-Staff[[#This Row],[Date Joined]])/365</f>
        <v>2.9424657534246577</v>
      </c>
      <c r="J123" s="19">
        <f ca="1">ROUNDUP(IF(Staff[[#This Row],[Tensure]]&gt;=2,Staff[[#This Row],[Salary]]*0.03,Staff[[#This Row],[Salary]]*0.02),0)</f>
        <v>1050</v>
      </c>
      <c r="K123" s="7">
        <f>_xlfn.XLOOKUP(Staff[[#This Row],[Rating]],SalaryVsRating!$B$13:$B$17,SalaryVsRating!$C$13:$C$17,"")</f>
        <v>3</v>
      </c>
    </row>
    <row r="124" spans="1:11" x14ac:dyDescent="0.4">
      <c r="A124" t="s">
        <v>38</v>
      </c>
      <c r="B124" t="s">
        <v>16</v>
      </c>
      <c r="C124" s="11">
        <v>34</v>
      </c>
      <c r="D124" t="s">
        <v>14</v>
      </c>
      <c r="E124" s="47">
        <v>44653</v>
      </c>
      <c r="F124" t="s">
        <v>18</v>
      </c>
      <c r="G124" s="19">
        <v>58940</v>
      </c>
      <c r="H124" t="s">
        <v>207</v>
      </c>
      <c r="I124" s="7">
        <f ca="1">(TODAY()-Staff[[#This Row],[Date Joined]])/365</f>
        <v>1.2164383561643837</v>
      </c>
      <c r="J124" s="19">
        <f ca="1">ROUNDUP(IF(Staff[[#This Row],[Tensure]]&gt;=2,Staff[[#This Row],[Salary]]*0.03,Staff[[#This Row],[Salary]]*0.02),0)</f>
        <v>1179</v>
      </c>
      <c r="K124" s="7">
        <f>_xlfn.XLOOKUP(Staff[[#This Row],[Rating]],SalaryVsRating!$B$13:$B$17,SalaryVsRating!$C$13:$C$17,"")</f>
        <v>3</v>
      </c>
    </row>
    <row r="125" spans="1:11" x14ac:dyDescent="0.4">
      <c r="A125" t="s">
        <v>85</v>
      </c>
      <c r="B125" t="s">
        <v>16</v>
      </c>
      <c r="C125" s="11">
        <v>38</v>
      </c>
      <c r="D125" t="s">
        <v>11</v>
      </c>
      <c r="E125" s="47">
        <v>44329</v>
      </c>
      <c r="F125" t="s">
        <v>10</v>
      </c>
      <c r="G125" s="19">
        <v>56870</v>
      </c>
      <c r="H125" t="s">
        <v>207</v>
      </c>
      <c r="I125" s="7">
        <f ca="1">(TODAY()-Staff[[#This Row],[Date Joined]])/365</f>
        <v>2.1041095890410957</v>
      </c>
      <c r="J125" s="19">
        <f ca="1">ROUNDUP(IF(Staff[[#This Row],[Tensure]]&gt;=2,Staff[[#This Row],[Salary]]*0.03,Staff[[#This Row],[Salary]]*0.02),0)</f>
        <v>1707</v>
      </c>
      <c r="K125" s="7">
        <f>_xlfn.XLOOKUP(Staff[[#This Row],[Rating]],SalaryVsRating!$B$13:$B$17,SalaryVsRating!$C$13:$C$17,"")</f>
        <v>4</v>
      </c>
    </row>
    <row r="126" spans="1:11" x14ac:dyDescent="0.4">
      <c r="A126" t="s">
        <v>34</v>
      </c>
      <c r="B126" t="s">
        <v>9</v>
      </c>
      <c r="C126" s="11">
        <v>21</v>
      </c>
      <c r="D126" t="s">
        <v>14</v>
      </c>
      <c r="E126" s="47">
        <v>44104</v>
      </c>
      <c r="F126" t="s">
        <v>13</v>
      </c>
      <c r="G126" s="19">
        <v>37920</v>
      </c>
      <c r="H126" t="s">
        <v>207</v>
      </c>
      <c r="I126" s="7">
        <f ca="1">(TODAY()-Staff[[#This Row],[Date Joined]])/365</f>
        <v>2.7205479452054795</v>
      </c>
      <c r="J126" s="19">
        <f ca="1">ROUNDUP(IF(Staff[[#This Row],[Tensure]]&gt;=2,Staff[[#This Row],[Salary]]*0.03,Staff[[#This Row],[Salary]]*0.02),0)</f>
        <v>1138</v>
      </c>
      <c r="K126" s="7">
        <f>_xlfn.XLOOKUP(Staff[[#This Row],[Rating]],SalaryVsRating!$B$13:$B$17,SalaryVsRating!$C$13:$C$17,"")</f>
        <v>3</v>
      </c>
    </row>
    <row r="127" spans="1:11" x14ac:dyDescent="0.4">
      <c r="A127" t="s">
        <v>201</v>
      </c>
      <c r="B127" t="s">
        <v>9</v>
      </c>
      <c r="C127" s="11">
        <v>33</v>
      </c>
      <c r="D127" t="s">
        <v>11</v>
      </c>
      <c r="E127" s="47">
        <v>44640</v>
      </c>
      <c r="F127" t="s">
        <v>13</v>
      </c>
      <c r="G127" s="19">
        <v>48530</v>
      </c>
      <c r="H127" t="s">
        <v>205</v>
      </c>
      <c r="I127" s="7">
        <f ca="1">(TODAY()-Staff[[#This Row],[Date Joined]])/365</f>
        <v>1.252054794520548</v>
      </c>
      <c r="J127" s="19">
        <f ca="1">ROUNDUP(IF(Staff[[#This Row],[Tensure]]&gt;=2,Staff[[#This Row],[Salary]]*0.03,Staff[[#This Row],[Salary]]*0.02),0)</f>
        <v>971</v>
      </c>
      <c r="K127" s="7">
        <f>_xlfn.XLOOKUP(Staff[[#This Row],[Rating]],SalaryVsRating!$B$13:$B$17,SalaryVsRating!$C$13:$C$17,"")</f>
        <v>4</v>
      </c>
    </row>
    <row r="128" spans="1:11" x14ac:dyDescent="0.4">
      <c r="A128" t="s">
        <v>196</v>
      </c>
      <c r="B128" t="s">
        <v>9</v>
      </c>
      <c r="C128" s="11">
        <v>33</v>
      </c>
      <c r="D128" t="s">
        <v>14</v>
      </c>
      <c r="E128" s="47">
        <v>44448</v>
      </c>
      <c r="F128" t="s">
        <v>24</v>
      </c>
      <c r="G128" s="19">
        <v>53870</v>
      </c>
      <c r="H128" t="s">
        <v>205</v>
      </c>
      <c r="I128" s="7">
        <f ca="1">(TODAY()-Staff[[#This Row],[Date Joined]])/365</f>
        <v>1.7780821917808218</v>
      </c>
      <c r="J128" s="19">
        <f ca="1">ROUNDUP(IF(Staff[[#This Row],[Tensure]]&gt;=2,Staff[[#This Row],[Salary]]*0.03,Staff[[#This Row],[Salary]]*0.02),0)</f>
        <v>1078</v>
      </c>
      <c r="K128" s="7">
        <f>_xlfn.XLOOKUP(Staff[[#This Row],[Rating]],SalaryVsRating!$B$13:$B$17,SalaryVsRating!$C$13:$C$17,"")</f>
        <v>3</v>
      </c>
    </row>
    <row r="129" spans="1:11" x14ac:dyDescent="0.4">
      <c r="A129" t="s">
        <v>137</v>
      </c>
      <c r="B129" t="s">
        <v>16</v>
      </c>
      <c r="C129" s="11">
        <v>31</v>
      </c>
      <c r="D129" t="s">
        <v>14</v>
      </c>
      <c r="E129" s="47">
        <v>44604</v>
      </c>
      <c r="F129" t="s">
        <v>24</v>
      </c>
      <c r="G129" s="19">
        <v>58100</v>
      </c>
      <c r="H129" t="s">
        <v>205</v>
      </c>
      <c r="I129" s="7">
        <f ca="1">(TODAY()-Staff[[#This Row],[Date Joined]])/365</f>
        <v>1.3506849315068492</v>
      </c>
      <c r="J129" s="19">
        <f ca="1">ROUNDUP(IF(Staff[[#This Row],[Tensure]]&gt;=2,Staff[[#This Row],[Salary]]*0.03,Staff[[#This Row],[Salary]]*0.02),0)</f>
        <v>1162</v>
      </c>
      <c r="K129" s="7">
        <f>_xlfn.XLOOKUP(Staff[[#This Row],[Rating]],SalaryVsRating!$B$13:$B$17,SalaryVsRating!$C$13:$C$17,"")</f>
        <v>3</v>
      </c>
    </row>
    <row r="130" spans="1:11" x14ac:dyDescent="0.4">
      <c r="A130" t="s">
        <v>139</v>
      </c>
      <c r="B130" t="s">
        <v>16</v>
      </c>
      <c r="C130" s="11">
        <v>32</v>
      </c>
      <c r="D130" t="s">
        <v>14</v>
      </c>
      <c r="E130" s="47">
        <v>44549</v>
      </c>
      <c r="F130" t="s">
        <v>13</v>
      </c>
      <c r="G130" s="19">
        <v>41570</v>
      </c>
      <c r="H130" t="s">
        <v>205</v>
      </c>
      <c r="I130" s="7">
        <f ca="1">(TODAY()-Staff[[#This Row],[Date Joined]])/365</f>
        <v>1.5013698630136987</v>
      </c>
      <c r="J130" s="19">
        <f ca="1">ROUNDUP(IF(Staff[[#This Row],[Tensure]]&gt;=2,Staff[[#This Row],[Salary]]*0.03,Staff[[#This Row],[Salary]]*0.02),0)</f>
        <v>832</v>
      </c>
      <c r="K130" s="7">
        <f>_xlfn.XLOOKUP(Staff[[#This Row],[Rating]],SalaryVsRating!$B$13:$B$17,SalaryVsRating!$C$13:$C$17,"")</f>
        <v>3</v>
      </c>
    </row>
    <row r="131" spans="1:11" x14ac:dyDescent="0.4">
      <c r="A131" t="s">
        <v>117</v>
      </c>
      <c r="B131" t="s">
        <v>16</v>
      </c>
      <c r="C131" s="11">
        <v>25</v>
      </c>
      <c r="D131" t="s">
        <v>14</v>
      </c>
      <c r="E131" s="47">
        <v>44144</v>
      </c>
      <c r="F131" t="s">
        <v>10</v>
      </c>
      <c r="G131" s="19">
        <v>92700</v>
      </c>
      <c r="H131" t="s">
        <v>205</v>
      </c>
      <c r="I131" s="7">
        <f ca="1">(TODAY()-Staff[[#This Row],[Date Joined]])/365</f>
        <v>2.6109589041095891</v>
      </c>
      <c r="J131" s="19">
        <f ca="1">ROUNDUP(IF(Staff[[#This Row],[Tensure]]&gt;=2,Staff[[#This Row],[Salary]]*0.03,Staff[[#This Row],[Salary]]*0.02),0)</f>
        <v>2781</v>
      </c>
      <c r="K131" s="7">
        <f>_xlfn.XLOOKUP(Staff[[#This Row],[Rating]],SalaryVsRating!$B$13:$B$17,SalaryVsRating!$C$13:$C$17,"")</f>
        <v>3</v>
      </c>
    </row>
    <row r="132" spans="1:11" x14ac:dyDescent="0.4">
      <c r="A132" t="s">
        <v>75</v>
      </c>
      <c r="B132" t="s">
        <v>16</v>
      </c>
      <c r="C132" s="11">
        <v>38</v>
      </c>
      <c r="D132" t="s">
        <v>44</v>
      </c>
      <c r="E132" s="47">
        <v>44377</v>
      </c>
      <c r="F132" t="s">
        <v>10</v>
      </c>
      <c r="G132" s="19">
        <v>109160</v>
      </c>
      <c r="H132" t="s">
        <v>207</v>
      </c>
      <c r="I132" s="7">
        <f ca="1">(TODAY()-Staff[[#This Row],[Date Joined]])/365</f>
        <v>1.9726027397260273</v>
      </c>
      <c r="J132" s="19">
        <f ca="1">ROUNDUP(IF(Staff[[#This Row],[Tensure]]&gt;=2,Staff[[#This Row],[Salary]]*0.03,Staff[[#This Row],[Salary]]*0.02),0)</f>
        <v>2184</v>
      </c>
      <c r="K132" s="7">
        <f>_xlfn.XLOOKUP(Staff[[#This Row],[Rating]],SalaryVsRating!$B$13:$B$17,SalaryVsRating!$C$13:$C$17,"")</f>
        <v>5</v>
      </c>
    </row>
    <row r="133" spans="1:11" x14ac:dyDescent="0.4">
      <c r="A133" t="s">
        <v>183</v>
      </c>
      <c r="B133" t="s">
        <v>9</v>
      </c>
      <c r="C133" s="11">
        <v>30</v>
      </c>
      <c r="D133" t="s">
        <v>14</v>
      </c>
      <c r="E133" s="47">
        <v>44214</v>
      </c>
      <c r="F133" t="s">
        <v>24</v>
      </c>
      <c r="G133" s="19">
        <v>69120</v>
      </c>
      <c r="H133" t="s">
        <v>205</v>
      </c>
      <c r="I133" s="7">
        <f ca="1">(TODAY()-Staff[[#This Row],[Date Joined]])/365</f>
        <v>2.419178082191781</v>
      </c>
      <c r="J133" s="19">
        <f ca="1">ROUNDUP(IF(Staff[[#This Row],[Tensure]]&gt;=2,Staff[[#This Row],[Salary]]*0.03,Staff[[#This Row],[Salary]]*0.02),0)</f>
        <v>2074</v>
      </c>
      <c r="K133" s="7">
        <f>_xlfn.XLOOKUP(Staff[[#This Row],[Rating]],SalaryVsRating!$B$13:$B$17,SalaryVsRating!$C$13:$C$17,"")</f>
        <v>3</v>
      </c>
    </row>
    <row r="134" spans="1:11" x14ac:dyDescent="0.4">
      <c r="A134" t="s">
        <v>138</v>
      </c>
      <c r="B134" t="s">
        <v>16</v>
      </c>
      <c r="C134" s="11">
        <v>44</v>
      </c>
      <c r="D134" t="s">
        <v>14</v>
      </c>
      <c r="E134" s="47">
        <v>44985</v>
      </c>
      <c r="F134" t="s">
        <v>24</v>
      </c>
      <c r="G134" s="19">
        <v>114870</v>
      </c>
      <c r="H134" t="s">
        <v>205</v>
      </c>
      <c r="I134" s="7">
        <f ca="1">(TODAY()-Staff[[#This Row],[Date Joined]])/365</f>
        <v>0.30684931506849317</v>
      </c>
      <c r="J134" s="19">
        <f ca="1">ROUNDUP(IF(Staff[[#This Row],[Tensure]]&gt;=2,Staff[[#This Row],[Salary]]*0.03,Staff[[#This Row],[Salary]]*0.02),0)</f>
        <v>2298</v>
      </c>
      <c r="K134" s="7">
        <f>_xlfn.XLOOKUP(Staff[[#This Row],[Rating]],SalaryVsRating!$B$13:$B$17,SalaryVsRating!$C$13:$C$17,"")</f>
        <v>3</v>
      </c>
    </row>
    <row r="135" spans="1:11" x14ac:dyDescent="0.4">
      <c r="A135" t="s">
        <v>199</v>
      </c>
      <c r="B135" t="s">
        <v>9</v>
      </c>
      <c r="C135" s="11">
        <v>46</v>
      </c>
      <c r="D135" t="s">
        <v>14</v>
      </c>
      <c r="E135" s="47">
        <v>44697</v>
      </c>
      <c r="F135" t="s">
        <v>13</v>
      </c>
      <c r="G135" s="19">
        <v>70610</v>
      </c>
      <c r="H135" t="s">
        <v>205</v>
      </c>
      <c r="I135" s="7">
        <f ca="1">(TODAY()-Staff[[#This Row],[Date Joined]])/365</f>
        <v>1.095890410958904</v>
      </c>
      <c r="J135" s="19">
        <f ca="1">ROUNDUP(IF(Staff[[#This Row],[Tensure]]&gt;=2,Staff[[#This Row],[Salary]]*0.03,Staff[[#This Row],[Salary]]*0.02),0)</f>
        <v>1413</v>
      </c>
      <c r="K135" s="7">
        <f>_xlfn.XLOOKUP(Staff[[#This Row],[Rating]],SalaryVsRating!$B$13:$B$17,SalaryVsRating!$C$13:$C$17,"")</f>
        <v>3</v>
      </c>
    </row>
    <row r="136" spans="1:11" x14ac:dyDescent="0.4">
      <c r="A136" t="s">
        <v>51</v>
      </c>
      <c r="B136" t="s">
        <v>9</v>
      </c>
      <c r="C136" s="11">
        <v>33</v>
      </c>
      <c r="D136" t="s">
        <v>14</v>
      </c>
      <c r="E136" s="47">
        <v>44164</v>
      </c>
      <c r="F136" t="s">
        <v>13</v>
      </c>
      <c r="G136" s="19">
        <v>115920</v>
      </c>
      <c r="H136" t="s">
        <v>207</v>
      </c>
      <c r="I136" s="7">
        <f ca="1">(TODAY()-Staff[[#This Row],[Date Joined]])/365</f>
        <v>2.5561643835616437</v>
      </c>
      <c r="J136" s="19">
        <f ca="1">ROUNDUP(IF(Staff[[#This Row],[Tensure]]&gt;=2,Staff[[#This Row],[Salary]]*0.03,Staff[[#This Row],[Salary]]*0.02),0)</f>
        <v>3478</v>
      </c>
      <c r="K136" s="7">
        <f>_xlfn.XLOOKUP(Staff[[#This Row],[Rating]],SalaryVsRating!$B$13:$B$17,SalaryVsRating!$C$13:$C$17,"")</f>
        <v>3</v>
      </c>
    </row>
    <row r="137" spans="1:11" x14ac:dyDescent="0.4">
      <c r="A137" t="s">
        <v>118</v>
      </c>
      <c r="B137" t="s">
        <v>206</v>
      </c>
      <c r="C137" s="11">
        <v>32</v>
      </c>
      <c r="D137" t="s">
        <v>14</v>
      </c>
      <c r="E137" s="47">
        <v>44713</v>
      </c>
      <c r="F137" t="s">
        <v>24</v>
      </c>
      <c r="G137" s="19">
        <v>91310</v>
      </c>
      <c r="H137" t="s">
        <v>205</v>
      </c>
      <c r="I137" s="7">
        <f ca="1">(TODAY()-Staff[[#This Row],[Date Joined]])/365</f>
        <v>1.0520547945205478</v>
      </c>
      <c r="J137" s="19">
        <f ca="1">ROUNDUP(IF(Staff[[#This Row],[Tensure]]&gt;=2,Staff[[#This Row],[Salary]]*0.03,Staff[[#This Row],[Salary]]*0.02),0)</f>
        <v>1827</v>
      </c>
      <c r="K137" s="7">
        <f>_xlfn.XLOOKUP(Staff[[#This Row],[Rating]],SalaryVsRating!$B$13:$B$17,SalaryVsRating!$C$13:$C$17,"")</f>
        <v>3</v>
      </c>
    </row>
    <row r="138" spans="1:11" x14ac:dyDescent="0.4">
      <c r="A138" t="s">
        <v>173</v>
      </c>
      <c r="B138" t="s">
        <v>9</v>
      </c>
      <c r="C138" s="11">
        <v>28</v>
      </c>
      <c r="D138" t="s">
        <v>50</v>
      </c>
      <c r="E138" s="47">
        <v>44758</v>
      </c>
      <c r="F138" t="s">
        <v>10</v>
      </c>
      <c r="G138" s="19">
        <v>43510</v>
      </c>
      <c r="H138" t="s">
        <v>205</v>
      </c>
      <c r="I138" s="7">
        <f ca="1">(TODAY()-Staff[[#This Row],[Date Joined]])/365</f>
        <v>0.92876712328767119</v>
      </c>
      <c r="J138" s="19">
        <f ca="1">ROUNDUP(IF(Staff[[#This Row],[Tensure]]&gt;=2,Staff[[#This Row],[Salary]]*0.03,Staff[[#This Row],[Salary]]*0.02),0)</f>
        <v>871</v>
      </c>
      <c r="K138" s="7">
        <f>_xlfn.XLOOKUP(Staff[[#This Row],[Rating]],SalaryVsRating!$B$13:$B$17,SalaryVsRating!$C$13:$C$17,"")</f>
        <v>1</v>
      </c>
    </row>
    <row r="139" spans="1:11" x14ac:dyDescent="0.4">
      <c r="A139" t="s">
        <v>187</v>
      </c>
      <c r="B139" t="s">
        <v>16</v>
      </c>
      <c r="C139" s="11">
        <v>36</v>
      </c>
      <c r="D139" t="s">
        <v>14</v>
      </c>
      <c r="E139" s="47">
        <v>44468</v>
      </c>
      <c r="F139" t="s">
        <v>13</v>
      </c>
      <c r="G139" s="19">
        <v>78390</v>
      </c>
      <c r="H139" t="s">
        <v>205</v>
      </c>
      <c r="I139" s="7">
        <f ca="1">(TODAY()-Staff[[#This Row],[Date Joined]])/365</f>
        <v>1.7232876712328766</v>
      </c>
      <c r="J139" s="19">
        <f ca="1">ROUNDUP(IF(Staff[[#This Row],[Tensure]]&gt;=2,Staff[[#This Row],[Salary]]*0.03,Staff[[#This Row],[Salary]]*0.02),0)</f>
        <v>1568</v>
      </c>
      <c r="K139" s="7">
        <f>_xlfn.XLOOKUP(Staff[[#This Row],[Rating]],SalaryVsRating!$B$13:$B$17,SalaryVsRating!$C$13:$C$17,"")</f>
        <v>3</v>
      </c>
    </row>
    <row r="140" spans="1:11" x14ac:dyDescent="0.4">
      <c r="A140" t="s">
        <v>185</v>
      </c>
      <c r="B140" t="s">
        <v>9</v>
      </c>
      <c r="C140" s="11">
        <v>23</v>
      </c>
      <c r="D140" t="s">
        <v>14</v>
      </c>
      <c r="E140" s="47">
        <v>44378</v>
      </c>
      <c r="F140" t="s">
        <v>13</v>
      </c>
      <c r="G140" s="19">
        <v>106460</v>
      </c>
      <c r="H140" t="s">
        <v>205</v>
      </c>
      <c r="I140" s="7">
        <f ca="1">(TODAY()-Staff[[#This Row],[Date Joined]])/365</f>
        <v>1.9698630136986301</v>
      </c>
      <c r="J140" s="19">
        <f ca="1">ROUNDUP(IF(Staff[[#This Row],[Tensure]]&gt;=2,Staff[[#This Row],[Salary]]*0.03,Staff[[#This Row],[Salary]]*0.02),0)</f>
        <v>2130</v>
      </c>
      <c r="K140" s="7">
        <f>_xlfn.XLOOKUP(Staff[[#This Row],[Rating]],SalaryVsRating!$B$13:$B$17,SalaryVsRating!$C$13:$C$17,"")</f>
        <v>3</v>
      </c>
    </row>
    <row r="141" spans="1:11" x14ac:dyDescent="0.4">
      <c r="A141" t="s">
        <v>115</v>
      </c>
      <c r="B141" t="s">
        <v>206</v>
      </c>
      <c r="C141" s="11">
        <v>37</v>
      </c>
      <c r="D141" t="s">
        <v>19</v>
      </c>
      <c r="E141" s="47">
        <v>44085</v>
      </c>
      <c r="F141" t="s">
        <v>18</v>
      </c>
      <c r="G141" s="19">
        <v>115440</v>
      </c>
      <c r="H141" t="s">
        <v>205</v>
      </c>
      <c r="I141" s="7">
        <f ca="1">(TODAY()-Staff[[#This Row],[Date Joined]])/365</f>
        <v>2.7726027397260276</v>
      </c>
      <c r="J141" s="19">
        <f ca="1">ROUNDUP(IF(Staff[[#This Row],[Tensure]]&gt;=2,Staff[[#This Row],[Salary]]*0.03,Staff[[#This Row],[Salary]]*0.02),0)</f>
        <v>3464</v>
      </c>
      <c r="K141" s="7">
        <f>_xlfn.XLOOKUP(Staff[[#This Row],[Rating]],SalaryVsRating!$B$13:$B$17,SalaryVsRating!$C$13:$C$17,"")</f>
        <v>2</v>
      </c>
    </row>
    <row r="142" spans="1:11" x14ac:dyDescent="0.4">
      <c r="A142" t="s">
        <v>151</v>
      </c>
      <c r="B142" t="s">
        <v>9</v>
      </c>
      <c r="C142" s="11">
        <v>21</v>
      </c>
      <c r="D142" t="s">
        <v>14</v>
      </c>
      <c r="E142" s="47">
        <v>44180</v>
      </c>
      <c r="F142" t="s">
        <v>27</v>
      </c>
      <c r="G142" s="19">
        <v>75880</v>
      </c>
      <c r="H142" t="s">
        <v>205</v>
      </c>
      <c r="I142" s="7">
        <f ca="1">(TODAY()-Staff[[#This Row],[Date Joined]])/365</f>
        <v>2.5123287671232877</v>
      </c>
      <c r="J142" s="19">
        <f ca="1">ROUNDUP(IF(Staff[[#This Row],[Tensure]]&gt;=2,Staff[[#This Row],[Salary]]*0.03,Staff[[#This Row],[Salary]]*0.02),0)</f>
        <v>2277</v>
      </c>
      <c r="K142" s="7">
        <f>_xlfn.XLOOKUP(Staff[[#This Row],[Rating]],SalaryVsRating!$B$13:$B$17,SalaryVsRating!$C$13:$C$17,"")</f>
        <v>3</v>
      </c>
    </row>
    <row r="143" spans="1:11" x14ac:dyDescent="0.4">
      <c r="A143" t="s">
        <v>131</v>
      </c>
      <c r="B143" t="s">
        <v>9</v>
      </c>
      <c r="C143" s="11">
        <v>27</v>
      </c>
      <c r="D143" t="s">
        <v>14</v>
      </c>
      <c r="E143" s="47">
        <v>44073</v>
      </c>
      <c r="F143" t="s">
        <v>10</v>
      </c>
      <c r="G143" s="19">
        <v>54970</v>
      </c>
      <c r="H143" t="s">
        <v>205</v>
      </c>
      <c r="I143" s="7">
        <f ca="1">(TODAY()-Staff[[#This Row],[Date Joined]])/365</f>
        <v>2.8054794520547945</v>
      </c>
      <c r="J143" s="19">
        <f ca="1">ROUNDUP(IF(Staff[[#This Row],[Tensure]]&gt;=2,Staff[[#This Row],[Salary]]*0.03,Staff[[#This Row],[Salary]]*0.02),0)</f>
        <v>1650</v>
      </c>
      <c r="K143" s="7">
        <f>_xlfn.XLOOKUP(Staff[[#This Row],[Rating]],SalaryVsRating!$B$13:$B$17,SalaryVsRating!$C$13:$C$17,"")</f>
        <v>3</v>
      </c>
    </row>
    <row r="144" spans="1:11" x14ac:dyDescent="0.4">
      <c r="A144" t="s">
        <v>164</v>
      </c>
      <c r="B144" t="s">
        <v>9</v>
      </c>
      <c r="C144" s="11">
        <v>33</v>
      </c>
      <c r="D144" t="s">
        <v>14</v>
      </c>
      <c r="E144" s="47">
        <v>44103</v>
      </c>
      <c r="F144" t="s">
        <v>13</v>
      </c>
      <c r="G144" s="19">
        <v>115920</v>
      </c>
      <c r="H144" t="s">
        <v>205</v>
      </c>
      <c r="I144" s="7">
        <f ca="1">(TODAY()-Staff[[#This Row],[Date Joined]])/365</f>
        <v>2.7232876712328768</v>
      </c>
      <c r="J144" s="19">
        <f ca="1">ROUNDUP(IF(Staff[[#This Row],[Tensure]]&gt;=2,Staff[[#This Row],[Salary]]*0.03,Staff[[#This Row],[Salary]]*0.02),0)</f>
        <v>3478</v>
      </c>
      <c r="K144" s="7">
        <f>_xlfn.XLOOKUP(Staff[[#This Row],[Rating]],SalaryVsRating!$B$13:$B$17,SalaryVsRating!$C$13:$C$17,"")</f>
        <v>3</v>
      </c>
    </row>
    <row r="145" spans="1:11" x14ac:dyDescent="0.4">
      <c r="A145" t="s">
        <v>188</v>
      </c>
      <c r="B145" t="s">
        <v>16</v>
      </c>
      <c r="C145" s="11">
        <v>30</v>
      </c>
      <c r="D145" t="s">
        <v>14</v>
      </c>
      <c r="E145" s="47">
        <v>44789</v>
      </c>
      <c r="F145" t="s">
        <v>13</v>
      </c>
      <c r="G145" s="19">
        <v>114180</v>
      </c>
      <c r="H145" t="s">
        <v>205</v>
      </c>
      <c r="I145" s="7">
        <f ca="1">(TODAY()-Staff[[#This Row],[Date Joined]])/365</f>
        <v>0.84383561643835614</v>
      </c>
      <c r="J145" s="19">
        <f ca="1">ROUNDUP(IF(Staff[[#This Row],[Tensure]]&gt;=2,Staff[[#This Row],[Salary]]*0.03,Staff[[#This Row],[Salary]]*0.02),0)</f>
        <v>2284</v>
      </c>
      <c r="K145" s="7">
        <f>_xlfn.XLOOKUP(Staff[[#This Row],[Rating]],SalaryVsRating!$B$13:$B$17,SalaryVsRating!$C$13:$C$17,"")</f>
        <v>3</v>
      </c>
    </row>
    <row r="146" spans="1:11" x14ac:dyDescent="0.4">
      <c r="A146" t="s">
        <v>189</v>
      </c>
      <c r="B146" t="s">
        <v>16</v>
      </c>
      <c r="C146" s="11">
        <v>28</v>
      </c>
      <c r="D146" t="s">
        <v>14</v>
      </c>
      <c r="E146" s="47">
        <v>44590</v>
      </c>
      <c r="F146" t="s">
        <v>13</v>
      </c>
      <c r="G146" s="19">
        <v>104120</v>
      </c>
      <c r="H146" t="s">
        <v>205</v>
      </c>
      <c r="I146" s="7">
        <f ca="1">(TODAY()-Staff[[#This Row],[Date Joined]])/365</f>
        <v>1.3890410958904109</v>
      </c>
      <c r="J146" s="19">
        <f ca="1">ROUNDUP(IF(Staff[[#This Row],[Tensure]]&gt;=2,Staff[[#This Row],[Salary]]*0.03,Staff[[#This Row],[Salary]]*0.02),0)</f>
        <v>2083</v>
      </c>
      <c r="K146" s="7">
        <f>_xlfn.XLOOKUP(Staff[[#This Row],[Rating]],SalaryVsRating!$B$13:$B$17,SalaryVsRating!$C$13:$C$17,"")</f>
        <v>3</v>
      </c>
    </row>
    <row r="147" spans="1:11" x14ac:dyDescent="0.4">
      <c r="A147" t="s">
        <v>113</v>
      </c>
      <c r="B147" t="s">
        <v>9</v>
      </c>
      <c r="C147" s="11">
        <v>31</v>
      </c>
      <c r="D147" t="s">
        <v>14</v>
      </c>
      <c r="E147" s="47">
        <v>44663</v>
      </c>
      <c r="F147" t="s">
        <v>13</v>
      </c>
      <c r="G147" s="19">
        <v>103550</v>
      </c>
      <c r="H147" t="s">
        <v>205</v>
      </c>
      <c r="I147" s="7">
        <f ca="1">(TODAY()-Staff[[#This Row],[Date Joined]])/365</f>
        <v>1.189041095890411</v>
      </c>
      <c r="J147" s="19">
        <f ca="1">ROUNDUP(IF(Staff[[#This Row],[Tensure]]&gt;=2,Staff[[#This Row],[Salary]]*0.03,Staff[[#This Row],[Salary]]*0.02),0)</f>
        <v>2071</v>
      </c>
      <c r="K147" s="7">
        <f>_xlfn.XLOOKUP(Staff[[#This Row],[Rating]],SalaryVsRating!$B$13:$B$17,SalaryVsRating!$C$13:$C$17,"")</f>
        <v>3</v>
      </c>
    </row>
    <row r="148" spans="1:11" x14ac:dyDescent="0.4">
      <c r="A148" t="s">
        <v>174</v>
      </c>
      <c r="B148" t="s">
        <v>16</v>
      </c>
      <c r="C148" s="11">
        <v>38</v>
      </c>
      <c r="D148" t="s">
        <v>44</v>
      </c>
      <c r="E148" s="47">
        <v>44316</v>
      </c>
      <c r="F148" t="s">
        <v>10</v>
      </c>
      <c r="G148" s="19">
        <v>109160</v>
      </c>
      <c r="H148" t="s">
        <v>205</v>
      </c>
      <c r="I148" s="7">
        <f ca="1">(TODAY()-Staff[[#This Row],[Date Joined]])/365</f>
        <v>2.1397260273972605</v>
      </c>
      <c r="J148" s="19">
        <f ca="1">ROUNDUP(IF(Staff[[#This Row],[Tensure]]&gt;=2,Staff[[#This Row],[Salary]]*0.03,Staff[[#This Row],[Salary]]*0.02),0)</f>
        <v>3275</v>
      </c>
      <c r="K148" s="7">
        <f>_xlfn.XLOOKUP(Staff[[#This Row],[Rating]],SalaryVsRating!$B$13:$B$17,SalaryVsRating!$C$13:$C$17,"")</f>
        <v>5</v>
      </c>
    </row>
    <row r="149" spans="1:11" x14ac:dyDescent="0.4">
      <c r="A149" t="s">
        <v>37</v>
      </c>
      <c r="B149" t="s">
        <v>9</v>
      </c>
      <c r="C149" s="11">
        <v>21</v>
      </c>
      <c r="D149" t="s">
        <v>14</v>
      </c>
      <c r="E149" s="47">
        <v>44242</v>
      </c>
      <c r="F149" t="s">
        <v>27</v>
      </c>
      <c r="G149" s="19">
        <v>75880</v>
      </c>
      <c r="H149" t="s">
        <v>207</v>
      </c>
      <c r="I149" s="7">
        <f ca="1">(TODAY()-Staff[[#This Row],[Date Joined]])/365</f>
        <v>2.3424657534246576</v>
      </c>
      <c r="J149" s="19">
        <f ca="1">ROUNDUP(IF(Staff[[#This Row],[Tensure]]&gt;=2,Staff[[#This Row],[Salary]]*0.03,Staff[[#This Row],[Salary]]*0.02),0)</f>
        <v>2277</v>
      </c>
      <c r="K149" s="7">
        <f>_xlfn.XLOOKUP(Staff[[#This Row],[Rating]],SalaryVsRating!$B$13:$B$17,SalaryVsRating!$C$13:$C$17,"")</f>
        <v>3</v>
      </c>
    </row>
    <row r="150" spans="1:11" x14ac:dyDescent="0.4">
      <c r="A150" t="s">
        <v>158</v>
      </c>
      <c r="B150" t="s">
        <v>9</v>
      </c>
      <c r="C150" s="11">
        <v>21</v>
      </c>
      <c r="D150" t="s">
        <v>14</v>
      </c>
      <c r="E150" s="47">
        <v>44701</v>
      </c>
      <c r="F150" t="s">
        <v>13</v>
      </c>
      <c r="G150" s="19">
        <v>57090</v>
      </c>
      <c r="H150" t="s">
        <v>205</v>
      </c>
      <c r="I150" s="7">
        <f ca="1">(TODAY()-Staff[[#This Row],[Date Joined]])/365</f>
        <v>1.0849315068493151</v>
      </c>
      <c r="J150" s="19">
        <f ca="1">ROUNDUP(IF(Staff[[#This Row],[Tensure]]&gt;=2,Staff[[#This Row],[Salary]]*0.03,Staff[[#This Row],[Salary]]*0.02),0)</f>
        <v>1142</v>
      </c>
      <c r="K150" s="7">
        <f>_xlfn.XLOOKUP(Staff[[#This Row],[Rating]],SalaryVsRating!$B$13:$B$17,SalaryVsRating!$C$13:$C$17,"")</f>
        <v>3</v>
      </c>
    </row>
    <row r="151" spans="1:11" x14ac:dyDescent="0.4">
      <c r="A151" t="s">
        <v>109</v>
      </c>
      <c r="B151" t="s">
        <v>9</v>
      </c>
      <c r="C151" s="11">
        <v>42</v>
      </c>
      <c r="D151" t="s">
        <v>19</v>
      </c>
      <c r="E151" s="47">
        <v>44731</v>
      </c>
      <c r="F151" t="s">
        <v>18</v>
      </c>
      <c r="G151" s="19">
        <v>70270</v>
      </c>
      <c r="H151" t="s">
        <v>207</v>
      </c>
      <c r="I151" s="7">
        <f ca="1">(TODAY()-Staff[[#This Row],[Date Joined]])/365</f>
        <v>1.0027397260273974</v>
      </c>
      <c r="J151" s="19">
        <f ca="1">ROUNDUP(IF(Staff[[#This Row],[Tensure]]&gt;=2,Staff[[#This Row],[Salary]]*0.03,Staff[[#This Row],[Salary]]*0.02),0)</f>
        <v>1406</v>
      </c>
      <c r="K151" s="7">
        <f>_xlfn.XLOOKUP(Staff[[#This Row],[Rating]],SalaryVsRating!$B$13:$B$17,SalaryVsRating!$C$13:$C$17,"")</f>
        <v>2</v>
      </c>
    </row>
    <row r="152" spans="1:11" x14ac:dyDescent="0.4">
      <c r="A152" t="s">
        <v>128</v>
      </c>
      <c r="B152" t="s">
        <v>9</v>
      </c>
      <c r="C152" s="11">
        <v>30</v>
      </c>
      <c r="D152" t="s">
        <v>14</v>
      </c>
      <c r="E152" s="47">
        <v>44789</v>
      </c>
      <c r="F152" t="s">
        <v>24</v>
      </c>
      <c r="G152" s="19">
        <v>69710</v>
      </c>
      <c r="H152" t="s">
        <v>205</v>
      </c>
      <c r="I152" s="7">
        <f ca="1">(TODAY()-Staff[[#This Row],[Date Joined]])/365</f>
        <v>0.84383561643835614</v>
      </c>
      <c r="J152" s="19">
        <f ca="1">ROUNDUP(IF(Staff[[#This Row],[Tensure]]&gt;=2,Staff[[#This Row],[Salary]]*0.03,Staff[[#This Row],[Salary]]*0.02),0)</f>
        <v>1395</v>
      </c>
      <c r="K152" s="7">
        <f>_xlfn.XLOOKUP(Staff[[#This Row],[Rating]],SalaryVsRating!$B$13:$B$17,SalaryVsRating!$C$13:$C$17,"")</f>
        <v>3</v>
      </c>
    </row>
    <row r="153" spans="1:11" x14ac:dyDescent="0.4">
      <c r="A153" t="s">
        <v>157</v>
      </c>
      <c r="B153" t="s">
        <v>16</v>
      </c>
      <c r="C153" s="11">
        <v>28</v>
      </c>
      <c r="D153" t="s">
        <v>14</v>
      </c>
      <c r="E153" s="47">
        <v>44425</v>
      </c>
      <c r="F153" t="s">
        <v>13</v>
      </c>
      <c r="G153" s="19">
        <v>104770</v>
      </c>
      <c r="H153" t="s">
        <v>205</v>
      </c>
      <c r="I153" s="7">
        <f ca="1">(TODAY()-Staff[[#This Row],[Date Joined]])/365</f>
        <v>1.8410958904109589</v>
      </c>
      <c r="J153" s="19">
        <f ca="1">ROUNDUP(IF(Staff[[#This Row],[Tensure]]&gt;=2,Staff[[#This Row],[Salary]]*0.03,Staff[[#This Row],[Salary]]*0.02),0)</f>
        <v>2096</v>
      </c>
      <c r="K153" s="7">
        <f>_xlfn.XLOOKUP(Staff[[#This Row],[Rating]],SalaryVsRating!$B$13:$B$17,SalaryVsRating!$C$13:$C$17,"")</f>
        <v>3</v>
      </c>
    </row>
    <row r="154" spans="1:11" x14ac:dyDescent="0.4">
      <c r="A154" t="s">
        <v>141</v>
      </c>
      <c r="B154" t="s">
        <v>9</v>
      </c>
      <c r="C154" s="11">
        <v>26</v>
      </c>
      <c r="D154" t="s">
        <v>14</v>
      </c>
      <c r="E154" s="47">
        <v>44164</v>
      </c>
      <c r="F154" t="s">
        <v>13</v>
      </c>
      <c r="G154" s="19">
        <v>47360</v>
      </c>
      <c r="H154" t="s">
        <v>205</v>
      </c>
      <c r="I154" s="7">
        <f ca="1">(TODAY()-Staff[[#This Row],[Date Joined]])/365</f>
        <v>2.5561643835616437</v>
      </c>
      <c r="J154" s="19">
        <f ca="1">ROUNDUP(IF(Staff[[#This Row],[Tensure]]&gt;=2,Staff[[#This Row],[Salary]]*0.03,Staff[[#This Row],[Salary]]*0.02),0)</f>
        <v>1421</v>
      </c>
      <c r="K154" s="7">
        <f>_xlfn.XLOOKUP(Staff[[#This Row],[Rating]],SalaryVsRating!$B$13:$B$17,SalaryVsRating!$C$13:$C$17,"")</f>
        <v>3</v>
      </c>
    </row>
    <row r="155" spans="1:11" x14ac:dyDescent="0.4">
      <c r="A155" t="s">
        <v>135</v>
      </c>
      <c r="B155" t="s">
        <v>9</v>
      </c>
      <c r="C155" s="11">
        <v>35</v>
      </c>
      <c r="D155" t="s">
        <v>14</v>
      </c>
      <c r="E155" s="47">
        <v>44666</v>
      </c>
      <c r="F155" t="s">
        <v>13</v>
      </c>
      <c r="G155" s="19">
        <v>40400</v>
      </c>
      <c r="H155" t="s">
        <v>205</v>
      </c>
      <c r="I155" s="7">
        <f ca="1">(TODAY()-Staff[[#This Row],[Date Joined]])/365</f>
        <v>1.1808219178082191</v>
      </c>
      <c r="J155" s="19">
        <f ca="1">ROUNDUP(IF(Staff[[#This Row],[Tensure]]&gt;=2,Staff[[#This Row],[Salary]]*0.03,Staff[[#This Row],[Salary]]*0.02),0)</f>
        <v>808</v>
      </c>
      <c r="K155" s="7">
        <f>_xlfn.XLOOKUP(Staff[[#This Row],[Rating]],SalaryVsRating!$B$13:$B$17,SalaryVsRating!$C$13:$C$17,"")</f>
        <v>3</v>
      </c>
    </row>
    <row r="156" spans="1:11" x14ac:dyDescent="0.4">
      <c r="A156" t="s">
        <v>130</v>
      </c>
      <c r="B156" t="s">
        <v>16</v>
      </c>
      <c r="C156" s="11">
        <v>22</v>
      </c>
      <c r="D156" t="s">
        <v>11</v>
      </c>
      <c r="E156" s="47">
        <v>44388</v>
      </c>
      <c r="F156" t="s">
        <v>13</v>
      </c>
      <c r="G156" s="19">
        <v>76900</v>
      </c>
      <c r="H156" t="s">
        <v>205</v>
      </c>
      <c r="I156" s="7">
        <f ca="1">(TODAY()-Staff[[#This Row],[Date Joined]])/365</f>
        <v>1.9424657534246574</v>
      </c>
      <c r="J156" s="19">
        <f ca="1">ROUNDUP(IF(Staff[[#This Row],[Tensure]]&gt;=2,Staff[[#This Row],[Salary]]*0.03,Staff[[#This Row],[Salary]]*0.02),0)</f>
        <v>1538</v>
      </c>
      <c r="K156" s="7">
        <f>_xlfn.XLOOKUP(Staff[[#This Row],[Rating]],SalaryVsRating!$B$13:$B$17,SalaryVsRating!$C$13:$C$17,"")</f>
        <v>4</v>
      </c>
    </row>
    <row r="157" spans="1:11" x14ac:dyDescent="0.4">
      <c r="A157" t="s">
        <v>154</v>
      </c>
      <c r="B157" t="s">
        <v>16</v>
      </c>
      <c r="C157" s="11">
        <v>21</v>
      </c>
      <c r="D157" t="s">
        <v>14</v>
      </c>
      <c r="E157" s="47">
        <v>44619</v>
      </c>
      <c r="F157" t="s">
        <v>24</v>
      </c>
      <c r="G157" s="19">
        <v>33920</v>
      </c>
      <c r="H157" t="s">
        <v>205</v>
      </c>
      <c r="I157" s="7">
        <f ca="1">(TODAY()-Staff[[#This Row],[Date Joined]])/365</f>
        <v>1.3095890410958904</v>
      </c>
      <c r="J157" s="19">
        <f ca="1">ROUNDUP(IF(Staff[[#This Row],[Tensure]]&gt;=2,Staff[[#This Row],[Salary]]*0.03,Staff[[#This Row],[Salary]]*0.02),0)</f>
        <v>679</v>
      </c>
      <c r="K157" s="7">
        <f>_xlfn.XLOOKUP(Staff[[#This Row],[Rating]],SalaryVsRating!$B$13:$B$17,SalaryVsRating!$C$13:$C$17,"")</f>
        <v>3</v>
      </c>
    </row>
    <row r="158" spans="1:11" x14ac:dyDescent="0.4">
      <c r="A158" t="s">
        <v>197</v>
      </c>
      <c r="B158" t="s">
        <v>16</v>
      </c>
      <c r="C158" s="11">
        <v>36</v>
      </c>
      <c r="D158" t="s">
        <v>14</v>
      </c>
      <c r="E158" s="47">
        <v>44433</v>
      </c>
      <c r="F158" t="s">
        <v>10</v>
      </c>
      <c r="G158" s="19">
        <v>78540</v>
      </c>
      <c r="H158" t="s">
        <v>205</v>
      </c>
      <c r="I158" s="7">
        <f ca="1">(TODAY()-Staff[[#This Row],[Date Joined]])/365</f>
        <v>1.8191780821917809</v>
      </c>
      <c r="J158" s="19">
        <f ca="1">ROUNDUP(IF(Staff[[#This Row],[Tensure]]&gt;=2,Staff[[#This Row],[Salary]]*0.03,Staff[[#This Row],[Salary]]*0.02),0)</f>
        <v>1571</v>
      </c>
      <c r="K158" s="7">
        <f>_xlfn.XLOOKUP(Staff[[#This Row],[Rating]],SalaryVsRating!$B$13:$B$17,SalaryVsRating!$C$13:$C$17,"")</f>
        <v>3</v>
      </c>
    </row>
    <row r="159" spans="1:11" x14ac:dyDescent="0.4">
      <c r="A159" t="s">
        <v>61</v>
      </c>
      <c r="B159" t="s">
        <v>16</v>
      </c>
      <c r="C159" s="11">
        <v>33</v>
      </c>
      <c r="D159" t="s">
        <v>14</v>
      </c>
      <c r="E159" s="47">
        <v>44809</v>
      </c>
      <c r="F159" t="s">
        <v>18</v>
      </c>
      <c r="G159" s="19">
        <v>86570</v>
      </c>
      <c r="H159" t="s">
        <v>207</v>
      </c>
      <c r="I159" s="7">
        <f ca="1">(TODAY()-Staff[[#This Row],[Date Joined]])/365</f>
        <v>0.78904109589041094</v>
      </c>
      <c r="J159" s="19">
        <f ca="1">ROUNDUP(IF(Staff[[#This Row],[Tensure]]&gt;=2,Staff[[#This Row],[Salary]]*0.03,Staff[[#This Row],[Salary]]*0.02),0)</f>
        <v>1732</v>
      </c>
      <c r="K159" s="7">
        <f>_xlfn.XLOOKUP(Staff[[#This Row],[Rating]],SalaryVsRating!$B$13:$B$17,SalaryVsRating!$C$13:$C$17,"")</f>
        <v>3</v>
      </c>
    </row>
    <row r="160" spans="1:11" x14ac:dyDescent="0.4">
      <c r="A160" t="s">
        <v>33</v>
      </c>
      <c r="B160" t="s">
        <v>9</v>
      </c>
      <c r="C160" s="11">
        <v>40</v>
      </c>
      <c r="D160" t="s">
        <v>14</v>
      </c>
      <c r="E160" s="47">
        <v>44263</v>
      </c>
      <c r="F160" t="s">
        <v>13</v>
      </c>
      <c r="G160" s="19">
        <v>99750</v>
      </c>
      <c r="H160" t="s">
        <v>207</v>
      </c>
      <c r="I160" s="7">
        <f ca="1">(TODAY()-Staff[[#This Row],[Date Joined]])/365</f>
        <v>2.2849315068493152</v>
      </c>
      <c r="J160" s="19">
        <f ca="1">ROUNDUP(IF(Staff[[#This Row],[Tensure]]&gt;=2,Staff[[#This Row],[Salary]]*0.03,Staff[[#This Row],[Salary]]*0.02),0)</f>
        <v>2993</v>
      </c>
      <c r="K160" s="7">
        <f>_xlfn.XLOOKUP(Staff[[#This Row],[Rating]],SalaryVsRating!$B$13:$B$17,SalaryVsRating!$C$13:$C$17,"")</f>
        <v>3</v>
      </c>
    </row>
    <row r="161" spans="1:11" x14ac:dyDescent="0.4">
      <c r="A161" t="s">
        <v>191</v>
      </c>
      <c r="B161" t="s">
        <v>16</v>
      </c>
      <c r="C161" s="11">
        <v>29</v>
      </c>
      <c r="D161" t="s">
        <v>14</v>
      </c>
      <c r="E161" s="47">
        <v>43962</v>
      </c>
      <c r="F161" t="s">
        <v>24</v>
      </c>
      <c r="G161" s="19">
        <v>34980</v>
      </c>
      <c r="H161" t="s">
        <v>205</v>
      </c>
      <c r="I161" s="7">
        <f ca="1">(TODAY()-Staff[[#This Row],[Date Joined]])/365</f>
        <v>3.1095890410958904</v>
      </c>
      <c r="J161" s="19">
        <f ca="1">ROUNDUP(IF(Staff[[#This Row],[Tensure]]&gt;=2,Staff[[#This Row],[Salary]]*0.03,Staff[[#This Row],[Salary]]*0.02),0)</f>
        <v>1050</v>
      </c>
      <c r="K161" s="7">
        <f>_xlfn.XLOOKUP(Staff[[#This Row],[Rating]],SalaryVsRating!$B$13:$B$17,SalaryVsRating!$C$13:$C$17,"")</f>
        <v>3</v>
      </c>
    </row>
    <row r="162" spans="1:11" x14ac:dyDescent="0.4">
      <c r="A162" t="s">
        <v>202</v>
      </c>
      <c r="B162" t="s">
        <v>16</v>
      </c>
      <c r="C162" s="11">
        <v>33</v>
      </c>
      <c r="D162" t="s">
        <v>14</v>
      </c>
      <c r="E162" s="47">
        <v>44129</v>
      </c>
      <c r="F162" t="s">
        <v>24</v>
      </c>
      <c r="G162" s="19">
        <v>96140</v>
      </c>
      <c r="H162" t="s">
        <v>205</v>
      </c>
      <c r="I162" s="7">
        <f ca="1">(TODAY()-Staff[[#This Row],[Date Joined]])/365</f>
        <v>2.6520547945205482</v>
      </c>
      <c r="J162" s="19">
        <f ca="1">ROUNDUP(IF(Staff[[#This Row],[Tensure]]&gt;=2,Staff[[#This Row],[Salary]]*0.03,Staff[[#This Row],[Salary]]*0.02),0)</f>
        <v>2885</v>
      </c>
      <c r="K162" s="7">
        <f>_xlfn.XLOOKUP(Staff[[#This Row],[Rating]],SalaryVsRating!$B$13:$B$17,SalaryVsRating!$C$13:$C$17,"")</f>
        <v>3</v>
      </c>
    </row>
    <row r="163" spans="1:11" x14ac:dyDescent="0.4">
      <c r="A163" t="s">
        <v>153</v>
      </c>
      <c r="B163" t="s">
        <v>16</v>
      </c>
      <c r="C163" s="11">
        <v>34</v>
      </c>
      <c r="D163" t="s">
        <v>14</v>
      </c>
      <c r="E163" s="47">
        <v>44397</v>
      </c>
      <c r="F163" t="s">
        <v>18</v>
      </c>
      <c r="G163" s="19">
        <v>85000</v>
      </c>
      <c r="H163" t="s">
        <v>205</v>
      </c>
      <c r="I163" s="7">
        <f ca="1">(TODAY()-Staff[[#This Row],[Date Joined]])/365</f>
        <v>1.9178082191780821</v>
      </c>
      <c r="J163" s="19">
        <f ca="1">ROUNDUP(IF(Staff[[#This Row],[Tensure]]&gt;=2,Staff[[#This Row],[Salary]]*0.03,Staff[[#This Row],[Salary]]*0.02),0)</f>
        <v>1700</v>
      </c>
      <c r="K163" s="7">
        <f>_xlfn.XLOOKUP(Staff[[#This Row],[Rating]],SalaryVsRating!$B$13:$B$17,SalaryVsRating!$C$13:$C$17,"")</f>
        <v>3</v>
      </c>
    </row>
    <row r="164" spans="1:11" x14ac:dyDescent="0.4">
      <c r="A164" t="s">
        <v>15</v>
      </c>
      <c r="B164" t="s">
        <v>16</v>
      </c>
      <c r="C164" s="11">
        <v>28</v>
      </c>
      <c r="D164" t="s">
        <v>14</v>
      </c>
      <c r="E164" s="47">
        <v>44357</v>
      </c>
      <c r="F164" t="s">
        <v>10</v>
      </c>
      <c r="G164" s="19">
        <v>53240</v>
      </c>
      <c r="H164" t="s">
        <v>207</v>
      </c>
      <c r="I164" s="7">
        <f ca="1">(TODAY()-Staff[[#This Row],[Date Joined]])/365</f>
        <v>2.0273972602739727</v>
      </c>
      <c r="J164" s="19">
        <f ca="1">ROUNDUP(IF(Staff[[#This Row],[Tensure]]&gt;=2,Staff[[#This Row],[Salary]]*0.03,Staff[[#This Row],[Salary]]*0.02),0)</f>
        <v>1598</v>
      </c>
      <c r="K164" s="7">
        <f>_xlfn.XLOOKUP(Staff[[#This Row],[Rating]],SalaryVsRating!$B$13:$B$17,SalaryVsRating!$C$13:$C$17,"")</f>
        <v>3</v>
      </c>
    </row>
    <row r="165" spans="1:11" x14ac:dyDescent="0.4">
      <c r="A165" t="s">
        <v>69</v>
      </c>
      <c r="B165" t="s">
        <v>9</v>
      </c>
      <c r="C165" s="11">
        <v>36</v>
      </c>
      <c r="D165" t="s">
        <v>14</v>
      </c>
      <c r="E165" s="47">
        <v>44019</v>
      </c>
      <c r="F165" t="s">
        <v>24</v>
      </c>
      <c r="G165" s="19">
        <v>118840</v>
      </c>
      <c r="H165" t="s">
        <v>207</v>
      </c>
      <c r="I165" s="7">
        <f ca="1">(TODAY()-Staff[[#This Row],[Date Joined]])/365</f>
        <v>2.9534246575342467</v>
      </c>
      <c r="J165" s="19">
        <f ca="1">ROUNDUP(IF(Staff[[#This Row],[Tensure]]&gt;=2,Staff[[#This Row],[Salary]]*0.03,Staff[[#This Row],[Salary]]*0.02),0)</f>
        <v>3566</v>
      </c>
      <c r="K165" s="7">
        <f>_xlfn.XLOOKUP(Staff[[#This Row],[Rating]],SalaryVsRating!$B$13:$B$17,SalaryVsRating!$C$13:$C$17,"")</f>
        <v>3</v>
      </c>
    </row>
    <row r="166" spans="1:11" x14ac:dyDescent="0.4">
      <c r="A166" t="s">
        <v>104</v>
      </c>
      <c r="B166" t="s">
        <v>16</v>
      </c>
      <c r="C166" s="11">
        <v>33</v>
      </c>
      <c r="D166" t="s">
        <v>14</v>
      </c>
      <c r="E166" s="47">
        <v>44067</v>
      </c>
      <c r="F166" t="s">
        <v>18</v>
      </c>
      <c r="G166" s="19">
        <v>65360</v>
      </c>
      <c r="H166" t="s">
        <v>207</v>
      </c>
      <c r="I166" s="7">
        <f ca="1">(TODAY()-Staff[[#This Row],[Date Joined]])/365</f>
        <v>2.8219178082191783</v>
      </c>
      <c r="J166" s="19">
        <f ca="1">ROUNDUP(IF(Staff[[#This Row],[Tensure]]&gt;=2,Staff[[#This Row],[Salary]]*0.03,Staff[[#This Row],[Salary]]*0.02),0)</f>
        <v>1961</v>
      </c>
      <c r="K166" s="7">
        <f>_xlfn.XLOOKUP(Staff[[#This Row],[Rating]],SalaryVsRating!$B$13:$B$17,SalaryVsRating!$C$13:$C$17,"")</f>
        <v>3</v>
      </c>
    </row>
    <row r="167" spans="1:11" x14ac:dyDescent="0.4">
      <c r="A167" t="s">
        <v>56</v>
      </c>
      <c r="B167" t="s">
        <v>16</v>
      </c>
      <c r="C167" s="11">
        <v>33</v>
      </c>
      <c r="D167" t="s">
        <v>14</v>
      </c>
      <c r="E167" s="47">
        <v>44190</v>
      </c>
      <c r="F167" t="s">
        <v>24</v>
      </c>
      <c r="G167" s="19">
        <v>96140</v>
      </c>
      <c r="H167" t="s">
        <v>207</v>
      </c>
      <c r="I167" s="7">
        <f ca="1">(TODAY()-Staff[[#This Row],[Date Joined]])/365</f>
        <v>2.484931506849315</v>
      </c>
      <c r="J167" s="19">
        <f ca="1">ROUNDUP(IF(Staff[[#This Row],[Tensure]]&gt;=2,Staff[[#This Row],[Salary]]*0.03,Staff[[#This Row],[Salary]]*0.02),0)</f>
        <v>2885</v>
      </c>
      <c r="K167" s="7">
        <f>_xlfn.XLOOKUP(Staff[[#This Row],[Rating]],SalaryVsRating!$B$13:$B$17,SalaryVsRating!$C$13:$C$17,"")</f>
        <v>3</v>
      </c>
    </row>
    <row r="168" spans="1:11" x14ac:dyDescent="0.4">
      <c r="A168" t="s">
        <v>72</v>
      </c>
      <c r="B168" t="s">
        <v>16</v>
      </c>
      <c r="C168" s="11">
        <v>36</v>
      </c>
      <c r="D168" t="s">
        <v>14</v>
      </c>
      <c r="E168" s="47">
        <v>44085</v>
      </c>
      <c r="F168" t="s">
        <v>13</v>
      </c>
      <c r="G168" s="19">
        <v>114890</v>
      </c>
      <c r="H168" t="s">
        <v>207</v>
      </c>
      <c r="I168" s="7">
        <f ca="1">(TODAY()-Staff[[#This Row],[Date Joined]])/365</f>
        <v>2.7726027397260276</v>
      </c>
      <c r="J168" s="19">
        <f ca="1">ROUNDUP(IF(Staff[[#This Row],[Tensure]]&gt;=2,Staff[[#This Row],[Salary]]*0.03,Staff[[#This Row],[Salary]]*0.02),0)</f>
        <v>3447</v>
      </c>
      <c r="K168" s="7">
        <f>_xlfn.XLOOKUP(Staff[[#This Row],[Rating]],SalaryVsRating!$B$13:$B$17,SalaryVsRating!$C$13:$C$17,"")</f>
        <v>3</v>
      </c>
    </row>
    <row r="169" spans="1:11" x14ac:dyDescent="0.4">
      <c r="A169" t="s">
        <v>129</v>
      </c>
      <c r="B169" t="s">
        <v>9</v>
      </c>
      <c r="C169" s="11">
        <v>20</v>
      </c>
      <c r="D169" t="s">
        <v>14</v>
      </c>
      <c r="E169" s="47">
        <v>44683</v>
      </c>
      <c r="F169" t="s">
        <v>13</v>
      </c>
      <c r="G169" s="19">
        <v>79570</v>
      </c>
      <c r="H169" t="s">
        <v>205</v>
      </c>
      <c r="I169" s="7">
        <f ca="1">(TODAY()-Staff[[#This Row],[Date Joined]])/365</f>
        <v>1.1342465753424658</v>
      </c>
      <c r="J169" s="19">
        <f ca="1">ROUNDUP(IF(Staff[[#This Row],[Tensure]]&gt;=2,Staff[[#This Row],[Salary]]*0.03,Staff[[#This Row],[Salary]]*0.02),0)</f>
        <v>1592</v>
      </c>
      <c r="K169" s="7">
        <f>_xlfn.XLOOKUP(Staff[[#This Row],[Rating]],SalaryVsRating!$B$13:$B$17,SalaryVsRating!$C$13:$C$17,"")</f>
        <v>3</v>
      </c>
    </row>
    <row r="170" spans="1:11" x14ac:dyDescent="0.4">
      <c r="A170" t="s">
        <v>166</v>
      </c>
      <c r="B170" t="s">
        <v>206</v>
      </c>
      <c r="C170" s="11">
        <v>30</v>
      </c>
      <c r="D170" t="s">
        <v>14</v>
      </c>
      <c r="E170" s="47">
        <v>44535</v>
      </c>
      <c r="F170" t="s">
        <v>18</v>
      </c>
      <c r="G170" s="19">
        <v>64000</v>
      </c>
      <c r="H170" t="s">
        <v>205</v>
      </c>
      <c r="I170" s="7">
        <f ca="1">(TODAY()-Staff[[#This Row],[Date Joined]])/365</f>
        <v>1.5397260273972602</v>
      </c>
      <c r="J170" s="19">
        <f ca="1">ROUNDUP(IF(Staff[[#This Row],[Tensure]]&gt;=2,Staff[[#This Row],[Salary]]*0.03,Staff[[#This Row],[Salary]]*0.02),0)</f>
        <v>1280</v>
      </c>
      <c r="K170" s="7">
        <f>_xlfn.XLOOKUP(Staff[[#This Row],[Rating]],SalaryVsRating!$B$13:$B$17,SalaryVsRating!$C$13:$C$17,"")</f>
        <v>3</v>
      </c>
    </row>
    <row r="171" spans="1:11" x14ac:dyDescent="0.4">
      <c r="A171" t="s">
        <v>78</v>
      </c>
      <c r="B171" t="s">
        <v>16</v>
      </c>
      <c r="C171" s="11">
        <v>37</v>
      </c>
      <c r="D171" t="s">
        <v>14</v>
      </c>
      <c r="E171" s="47">
        <v>44451</v>
      </c>
      <c r="F171" t="s">
        <v>27</v>
      </c>
      <c r="G171" s="19">
        <v>118100</v>
      </c>
      <c r="H171" t="s">
        <v>207</v>
      </c>
      <c r="I171" s="7">
        <f ca="1">(TODAY()-Staff[[#This Row],[Date Joined]])/365</f>
        <v>1.7698630136986302</v>
      </c>
      <c r="J171" s="19">
        <f ca="1">ROUNDUP(IF(Staff[[#This Row],[Tensure]]&gt;=2,Staff[[#This Row],[Salary]]*0.03,Staff[[#This Row],[Salary]]*0.02),0)</f>
        <v>2362</v>
      </c>
      <c r="K171" s="7">
        <f>_xlfn.XLOOKUP(Staff[[#This Row],[Rating]],SalaryVsRating!$B$13:$B$17,SalaryVsRating!$C$13:$C$17,"")</f>
        <v>3</v>
      </c>
    </row>
    <row r="172" spans="1:11" x14ac:dyDescent="0.4">
      <c r="A172" t="s">
        <v>67</v>
      </c>
      <c r="B172" t="s">
        <v>16</v>
      </c>
      <c r="C172" s="11">
        <v>25</v>
      </c>
      <c r="D172" t="s">
        <v>11</v>
      </c>
      <c r="E172" s="47">
        <v>44694</v>
      </c>
      <c r="F172" t="s">
        <v>24</v>
      </c>
      <c r="G172" s="19">
        <v>80700</v>
      </c>
      <c r="H172" t="s">
        <v>207</v>
      </c>
      <c r="I172" s="7">
        <f ca="1">(TODAY()-Staff[[#This Row],[Date Joined]])/365</f>
        <v>1.1041095890410959</v>
      </c>
      <c r="J172" s="19">
        <f ca="1">ROUNDUP(IF(Staff[[#This Row],[Tensure]]&gt;=2,Staff[[#This Row],[Salary]]*0.03,Staff[[#This Row],[Salary]]*0.02),0)</f>
        <v>1614</v>
      </c>
      <c r="K172" s="7">
        <f>_xlfn.XLOOKUP(Staff[[#This Row],[Rating]],SalaryVsRating!$B$13:$B$17,SalaryVsRating!$C$13:$C$17,"")</f>
        <v>4</v>
      </c>
    </row>
    <row r="173" spans="1:11" x14ac:dyDescent="0.4">
      <c r="A173" t="s">
        <v>150</v>
      </c>
      <c r="B173" t="s">
        <v>9</v>
      </c>
      <c r="C173" s="11">
        <v>27</v>
      </c>
      <c r="D173" t="s">
        <v>14</v>
      </c>
      <c r="E173" s="47">
        <v>44506</v>
      </c>
      <c r="F173" t="s">
        <v>18</v>
      </c>
      <c r="G173" s="19">
        <v>48980</v>
      </c>
      <c r="H173" t="s">
        <v>205</v>
      </c>
      <c r="I173" s="7">
        <f ca="1">(TODAY()-Staff[[#This Row],[Date Joined]])/365</f>
        <v>1.6191780821917807</v>
      </c>
      <c r="J173" s="19">
        <f ca="1">ROUNDUP(IF(Staff[[#This Row],[Tensure]]&gt;=2,Staff[[#This Row],[Salary]]*0.03,Staff[[#This Row],[Salary]]*0.02),0)</f>
        <v>980</v>
      </c>
      <c r="K173" s="7">
        <f>_xlfn.XLOOKUP(Staff[[#This Row],[Rating]],SalaryVsRating!$B$13:$B$17,SalaryVsRating!$C$13:$C$17,"")</f>
        <v>3</v>
      </c>
    </row>
    <row r="174" spans="1:11" x14ac:dyDescent="0.4">
      <c r="A174" t="s">
        <v>143</v>
      </c>
      <c r="B174" t="s">
        <v>16</v>
      </c>
      <c r="C174" s="11">
        <v>28</v>
      </c>
      <c r="D174" t="s">
        <v>14</v>
      </c>
      <c r="E174" s="47">
        <v>44571</v>
      </c>
      <c r="F174" t="s">
        <v>13</v>
      </c>
      <c r="G174" s="19">
        <v>99970</v>
      </c>
      <c r="H174" t="s">
        <v>205</v>
      </c>
      <c r="I174" s="7">
        <f ca="1">(TODAY()-Staff[[#This Row],[Date Joined]])/365</f>
        <v>1.441095890410959</v>
      </c>
      <c r="J174" s="19">
        <f ca="1">ROUNDUP(IF(Staff[[#This Row],[Tensure]]&gt;=2,Staff[[#This Row],[Salary]]*0.03,Staff[[#This Row],[Salary]]*0.02),0)</f>
        <v>2000</v>
      </c>
      <c r="K174" s="7">
        <f>_xlfn.XLOOKUP(Staff[[#This Row],[Rating]],SalaryVsRating!$B$13:$B$17,SalaryVsRating!$C$13:$C$17,"")</f>
        <v>3</v>
      </c>
    </row>
    <row r="175" spans="1:11" x14ac:dyDescent="0.4">
      <c r="A175" t="s">
        <v>23</v>
      </c>
      <c r="B175" t="s">
        <v>16</v>
      </c>
      <c r="C175" s="11">
        <v>24</v>
      </c>
      <c r="D175" t="s">
        <v>14</v>
      </c>
      <c r="E175" s="47">
        <v>44148</v>
      </c>
      <c r="F175" t="s">
        <v>24</v>
      </c>
      <c r="G175" s="19">
        <v>62780</v>
      </c>
      <c r="H175" t="s">
        <v>207</v>
      </c>
      <c r="I175" s="7">
        <f ca="1">(TODAY()-Staff[[#This Row],[Date Joined]])/365</f>
        <v>2.6</v>
      </c>
      <c r="J175" s="19">
        <f ca="1">ROUNDUP(IF(Staff[[#This Row],[Tensure]]&gt;=2,Staff[[#This Row],[Salary]]*0.03,Staff[[#This Row],[Salary]]*0.02),0)</f>
        <v>1884</v>
      </c>
      <c r="K175" s="7">
        <f>_xlfn.XLOOKUP(Staff[[#This Row],[Rating]],SalaryVsRating!$B$13:$B$17,SalaryVsRating!$C$13:$C$17,"")</f>
        <v>3</v>
      </c>
    </row>
    <row r="176" spans="1:11" x14ac:dyDescent="0.4">
      <c r="A176" t="s">
        <v>198</v>
      </c>
      <c r="B176" t="s">
        <v>9</v>
      </c>
      <c r="C176" s="11">
        <v>19</v>
      </c>
      <c r="D176" t="s">
        <v>14</v>
      </c>
      <c r="E176" s="47">
        <v>44218</v>
      </c>
      <c r="F176" t="s">
        <v>13</v>
      </c>
      <c r="G176" s="19">
        <v>58960</v>
      </c>
      <c r="H176" t="s">
        <v>205</v>
      </c>
      <c r="I176" s="7">
        <f ca="1">(TODAY()-Staff[[#This Row],[Date Joined]])/365</f>
        <v>2.408219178082192</v>
      </c>
      <c r="J176" s="19">
        <f ca="1">ROUNDUP(IF(Staff[[#This Row],[Tensure]]&gt;=2,Staff[[#This Row],[Salary]]*0.03,Staff[[#This Row],[Salary]]*0.02),0)</f>
        <v>1769</v>
      </c>
      <c r="K176" s="7">
        <f>_xlfn.XLOOKUP(Staff[[#This Row],[Rating]],SalaryVsRating!$B$13:$B$17,SalaryVsRating!$C$13:$C$17,"")</f>
        <v>3</v>
      </c>
    </row>
    <row r="177" spans="1:11" x14ac:dyDescent="0.4">
      <c r="A177" t="s">
        <v>54</v>
      </c>
      <c r="B177" t="s">
        <v>16</v>
      </c>
      <c r="C177" s="11">
        <v>34</v>
      </c>
      <c r="D177" t="s">
        <v>19</v>
      </c>
      <c r="E177" s="47">
        <v>44721</v>
      </c>
      <c r="F177" t="s">
        <v>10</v>
      </c>
      <c r="G177" s="19">
        <v>49630</v>
      </c>
      <c r="H177" t="s">
        <v>207</v>
      </c>
      <c r="I177" s="7">
        <f ca="1">(TODAY()-Staff[[#This Row],[Date Joined]])/365</f>
        <v>1.0301369863013699</v>
      </c>
      <c r="J177" s="19">
        <f ca="1">ROUNDUP(IF(Staff[[#This Row],[Tensure]]&gt;=2,Staff[[#This Row],[Salary]]*0.03,Staff[[#This Row],[Salary]]*0.02),0)</f>
        <v>993</v>
      </c>
      <c r="K177" s="7">
        <f>_xlfn.XLOOKUP(Staff[[#This Row],[Rating]],SalaryVsRating!$B$13:$B$17,SalaryVsRating!$C$13:$C$17,"")</f>
        <v>2</v>
      </c>
    </row>
    <row r="178" spans="1:11" x14ac:dyDescent="0.4">
      <c r="A178" t="s">
        <v>79</v>
      </c>
      <c r="B178" t="s">
        <v>16</v>
      </c>
      <c r="C178" s="11">
        <v>22</v>
      </c>
      <c r="D178" t="s">
        <v>11</v>
      </c>
      <c r="E178" s="47">
        <v>44450</v>
      </c>
      <c r="F178" t="s">
        <v>13</v>
      </c>
      <c r="G178" s="19">
        <v>76900</v>
      </c>
      <c r="H178" t="s">
        <v>207</v>
      </c>
      <c r="I178" s="7">
        <f ca="1">(TODAY()-Staff[[#This Row],[Date Joined]])/365</f>
        <v>1.7726027397260273</v>
      </c>
      <c r="J178" s="19">
        <f ca="1">ROUNDUP(IF(Staff[[#This Row],[Tensure]]&gt;=2,Staff[[#This Row],[Salary]]*0.03,Staff[[#This Row],[Salary]]*0.02),0)</f>
        <v>1538</v>
      </c>
      <c r="K178" s="7">
        <f>_xlfn.XLOOKUP(Staff[[#This Row],[Rating]],SalaryVsRating!$B$13:$B$17,SalaryVsRating!$C$13:$C$17,"")</f>
        <v>4</v>
      </c>
    </row>
    <row r="179" spans="1:11" x14ac:dyDescent="0.4">
      <c r="A179" t="s">
        <v>133</v>
      </c>
      <c r="B179" t="s">
        <v>9</v>
      </c>
      <c r="C179" s="11">
        <v>43</v>
      </c>
      <c r="D179" t="s">
        <v>14</v>
      </c>
      <c r="E179" s="47">
        <v>44558</v>
      </c>
      <c r="F179" t="s">
        <v>10</v>
      </c>
      <c r="G179" s="19">
        <v>36040</v>
      </c>
      <c r="H179" t="s">
        <v>205</v>
      </c>
      <c r="I179" s="7">
        <f ca="1">(TODAY()-Staff[[#This Row],[Date Joined]])/365</f>
        <v>1.4767123287671233</v>
      </c>
      <c r="J179" s="19">
        <f ca="1">ROUNDUP(IF(Staff[[#This Row],[Tensure]]&gt;=2,Staff[[#This Row],[Salary]]*0.03,Staff[[#This Row],[Salary]]*0.02),0)</f>
        <v>721</v>
      </c>
      <c r="K179" s="7">
        <f>_xlfn.XLOOKUP(Staff[[#This Row],[Rating]],SalaryVsRating!$B$13:$B$17,SalaryVsRating!$C$13:$C$17,"")</f>
        <v>3</v>
      </c>
    </row>
    <row r="180" spans="1:11" x14ac:dyDescent="0.4">
      <c r="A180" t="s">
        <v>25</v>
      </c>
      <c r="B180" t="s">
        <v>9</v>
      </c>
      <c r="C180" s="11">
        <v>33</v>
      </c>
      <c r="D180" t="s">
        <v>14</v>
      </c>
      <c r="E180" s="47">
        <v>44509</v>
      </c>
      <c r="F180" t="s">
        <v>24</v>
      </c>
      <c r="G180" s="19">
        <v>53870</v>
      </c>
      <c r="H180" t="s">
        <v>207</v>
      </c>
      <c r="I180" s="7">
        <f ca="1">(TODAY()-Staff[[#This Row],[Date Joined]])/365</f>
        <v>1.6109589041095891</v>
      </c>
      <c r="J180" s="19">
        <f ca="1">ROUNDUP(IF(Staff[[#This Row],[Tensure]]&gt;=2,Staff[[#This Row],[Salary]]*0.03,Staff[[#This Row],[Salary]]*0.02),0)</f>
        <v>1078</v>
      </c>
      <c r="K180" s="7">
        <f>_xlfn.XLOOKUP(Staff[[#This Row],[Rating]],SalaryVsRating!$B$13:$B$17,SalaryVsRating!$C$13:$C$17,"")</f>
        <v>3</v>
      </c>
    </row>
    <row r="181" spans="1:11" x14ac:dyDescent="0.4">
      <c r="A181" t="s">
        <v>80</v>
      </c>
      <c r="B181" t="s">
        <v>16</v>
      </c>
      <c r="C181" s="11">
        <v>43</v>
      </c>
      <c r="D181" t="s">
        <v>14</v>
      </c>
      <c r="E181" s="47">
        <v>45045</v>
      </c>
      <c r="F181" t="s">
        <v>24</v>
      </c>
      <c r="G181" s="19">
        <v>114870</v>
      </c>
      <c r="H181" t="s">
        <v>207</v>
      </c>
      <c r="I181" s="7">
        <f ca="1">(TODAY()-Staff[[#This Row],[Date Joined]])/365</f>
        <v>0.14246575342465753</v>
      </c>
      <c r="J181" s="19">
        <f ca="1">ROUNDUP(IF(Staff[[#This Row],[Tensure]]&gt;=2,Staff[[#This Row],[Salary]]*0.03,Staff[[#This Row],[Salary]]*0.02),0)</f>
        <v>2298</v>
      </c>
      <c r="K181" s="7">
        <f>_xlfn.XLOOKUP(Staff[[#This Row],[Rating]],SalaryVsRating!$B$13:$B$17,SalaryVsRating!$C$13:$C$17,"")</f>
        <v>3</v>
      </c>
    </row>
    <row r="182" spans="1:11" x14ac:dyDescent="0.4">
      <c r="A182" t="s">
        <v>112</v>
      </c>
      <c r="B182" t="s">
        <v>16</v>
      </c>
      <c r="C182" s="11">
        <v>32</v>
      </c>
      <c r="D182" t="s">
        <v>11</v>
      </c>
      <c r="E182" s="47">
        <v>44293</v>
      </c>
      <c r="F182" t="s">
        <v>24</v>
      </c>
      <c r="G182" s="19">
        <v>43840</v>
      </c>
      <c r="H182" t="s">
        <v>205</v>
      </c>
      <c r="I182" s="7">
        <f ca="1">(TODAY()-Staff[[#This Row],[Date Joined]])/365</f>
        <v>2.2027397260273971</v>
      </c>
      <c r="J182" s="19">
        <f ca="1">ROUNDUP(IF(Staff[[#This Row],[Tensure]]&gt;=2,Staff[[#This Row],[Salary]]*0.03,Staff[[#This Row],[Salary]]*0.02),0)</f>
        <v>1316</v>
      </c>
      <c r="K182" s="7">
        <f>_xlfn.XLOOKUP(Staff[[#This Row],[Rating]],SalaryVsRating!$B$13:$B$17,SalaryVsRating!$C$13:$C$17,"")</f>
        <v>4</v>
      </c>
    </row>
    <row r="183" spans="1:11" x14ac:dyDescent="0.4">
      <c r="A183" t="s">
        <v>119</v>
      </c>
      <c r="B183" t="s">
        <v>9</v>
      </c>
      <c r="C183" s="11">
        <v>33</v>
      </c>
      <c r="D183" t="s">
        <v>14</v>
      </c>
      <c r="E183" s="47">
        <v>44324</v>
      </c>
      <c r="F183" t="s">
        <v>10</v>
      </c>
      <c r="G183" s="19">
        <v>74550</v>
      </c>
      <c r="H183" t="s">
        <v>205</v>
      </c>
      <c r="I183" s="7">
        <f ca="1">(TODAY()-Staff[[#This Row],[Date Joined]])/365</f>
        <v>2.117808219178082</v>
      </c>
      <c r="J183" s="19">
        <f ca="1">ROUNDUP(IF(Staff[[#This Row],[Tensure]]&gt;=2,Staff[[#This Row],[Salary]]*0.03,Staff[[#This Row],[Salary]]*0.02),0)</f>
        <v>2237</v>
      </c>
      <c r="K183" s="7">
        <f>_xlfn.XLOOKUP(Staff[[#This Row],[Rating]],SalaryVsRating!$B$13:$B$17,SalaryVsRating!$C$13:$C$17,"")</f>
        <v>3</v>
      </c>
    </row>
    <row r="184" spans="1:11" x14ac:dyDescent="0.4">
      <c r="A184" t="s">
        <v>110</v>
      </c>
      <c r="B184" t="s">
        <v>9</v>
      </c>
      <c r="C184" s="11">
        <v>26</v>
      </c>
      <c r="D184" t="s">
        <v>14</v>
      </c>
      <c r="E184" s="47">
        <v>44411</v>
      </c>
      <c r="F184" t="s">
        <v>13</v>
      </c>
      <c r="G184" s="19">
        <v>53540</v>
      </c>
      <c r="H184" t="s">
        <v>207</v>
      </c>
      <c r="I184" s="7">
        <f ca="1">(TODAY()-Staff[[#This Row],[Date Joined]])/365</f>
        <v>1.8794520547945206</v>
      </c>
      <c r="J184" s="19">
        <f ca="1">ROUNDUP(IF(Staff[[#This Row],[Tensure]]&gt;=2,Staff[[#This Row],[Salary]]*0.03,Staff[[#This Row],[Salary]]*0.02),0)</f>
        <v>1071</v>
      </c>
      <c r="K184" s="7">
        <f>_xlfn.XLOOKUP(Staff[[#This Row],[Rating]],SalaryVsRating!$B$13:$B$17,SalaryVsRating!$C$13:$C$17,"")</f>
        <v>3</v>
      </c>
    </row>
  </sheetData>
  <conditionalFormatting sqref="G1:G1048576">
    <cfRule type="colorScale" priority="1">
      <colorScale>
        <cfvo type="min"/>
        <cfvo type="max"/>
        <color rgb="FFFCFCFF"/>
        <color rgb="FFF8696B"/>
      </colorScale>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0549-95DC-45BA-B9C3-4675E008B2DC}">
  <dimension ref="A1:B5"/>
  <sheetViews>
    <sheetView workbookViewId="0">
      <selection activeCell="C23" sqref="C23"/>
    </sheetView>
  </sheetViews>
  <sheetFormatPr defaultRowHeight="14.6" x14ac:dyDescent="0.4"/>
  <cols>
    <col min="2" max="2" width="31.765625" bestFit="1" customWidth="1"/>
  </cols>
  <sheetData>
    <row r="1" spans="1:2" x14ac:dyDescent="0.4">
      <c r="B1" s="26" t="s">
        <v>232</v>
      </c>
    </row>
    <row r="2" spans="1:2" x14ac:dyDescent="0.4">
      <c r="A2">
        <v>1</v>
      </c>
      <c r="B2" t="s">
        <v>228</v>
      </c>
    </row>
    <row r="3" spans="1:2" x14ac:dyDescent="0.4">
      <c r="A3">
        <v>2</v>
      </c>
      <c r="B3" t="s">
        <v>229</v>
      </c>
    </row>
    <row r="4" spans="1:2" x14ac:dyDescent="0.4">
      <c r="A4">
        <v>3</v>
      </c>
      <c r="B4" t="s">
        <v>230</v>
      </c>
    </row>
    <row r="5" spans="1:2" x14ac:dyDescent="0.4">
      <c r="A5">
        <v>4</v>
      </c>
      <c r="B5"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7940A-4AAF-4A82-AD34-F3FD356FCB1A}">
  <dimension ref="A1"/>
  <sheetViews>
    <sheetView workbookViewId="0">
      <selection activeCell="Y12" sqref="Y12"/>
    </sheetView>
  </sheetViews>
  <sheetFormatPr defaultRowHeight="14.6" x14ac:dyDescent="0.4"/>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D4E0-1840-4A81-82DA-E83D08FAB24C}">
  <dimension ref="B3:D17"/>
  <sheetViews>
    <sheetView zoomScale="130" zoomScaleNormal="130" workbookViewId="0">
      <selection activeCell="B4" sqref="B4"/>
    </sheetView>
  </sheetViews>
  <sheetFormatPr defaultRowHeight="14.6" x14ac:dyDescent="0.4"/>
  <cols>
    <col min="2" max="2" width="13" bestFit="1" customWidth="1"/>
    <col min="3" max="3" width="13.53515625" bestFit="1" customWidth="1"/>
    <col min="4" max="4" width="15.3046875" bestFit="1" customWidth="1"/>
    <col min="5" max="70" width="5.84375" bestFit="1" customWidth="1"/>
    <col min="71" max="92" width="6.84375" bestFit="1" customWidth="1"/>
    <col min="93" max="93" width="10.69140625" bestFit="1" customWidth="1"/>
  </cols>
  <sheetData>
    <row r="3" spans="2:4" x14ac:dyDescent="0.4">
      <c r="B3" s="16" t="s">
        <v>233</v>
      </c>
      <c r="C3" t="s">
        <v>234</v>
      </c>
      <c r="D3" t="s">
        <v>224</v>
      </c>
    </row>
    <row r="4" spans="2:4" x14ac:dyDescent="0.4">
      <c r="B4" s="13" t="s">
        <v>44</v>
      </c>
      <c r="C4" s="11">
        <v>4</v>
      </c>
      <c r="D4" s="19">
        <v>92080</v>
      </c>
    </row>
    <row r="5" spans="2:4" x14ac:dyDescent="0.4">
      <c r="B5" s="13" t="s">
        <v>11</v>
      </c>
      <c r="C5" s="11">
        <v>20</v>
      </c>
      <c r="D5" s="19">
        <v>75933</v>
      </c>
    </row>
    <row r="6" spans="2:4" x14ac:dyDescent="0.4">
      <c r="B6" s="13" t="s">
        <v>14</v>
      </c>
      <c r="C6" s="11">
        <v>137</v>
      </c>
      <c r="D6" s="19">
        <v>76798.759124087592</v>
      </c>
    </row>
    <row r="7" spans="2:4" x14ac:dyDescent="0.4">
      <c r="B7" s="13" t="s">
        <v>19</v>
      </c>
      <c r="C7" s="11">
        <v>16</v>
      </c>
      <c r="D7" s="19">
        <v>78115</v>
      </c>
    </row>
    <row r="8" spans="2:4" x14ac:dyDescent="0.4">
      <c r="B8" s="13" t="s">
        <v>50</v>
      </c>
      <c r="C8" s="11">
        <v>6</v>
      </c>
      <c r="D8" s="19">
        <v>77423.333333333328</v>
      </c>
    </row>
    <row r="9" spans="2:4" x14ac:dyDescent="0.4">
      <c r="B9" s="13" t="s">
        <v>219</v>
      </c>
      <c r="C9" s="11">
        <v>183</v>
      </c>
      <c r="D9" s="19">
        <v>77173.715846994543</v>
      </c>
    </row>
    <row r="12" spans="2:4" x14ac:dyDescent="0.4">
      <c r="B12" s="27" t="s">
        <v>236</v>
      </c>
      <c r="C12" s="20" t="s">
        <v>235</v>
      </c>
    </row>
    <row r="13" spans="2:4" x14ac:dyDescent="0.4">
      <c r="B13" s="27" t="s">
        <v>44</v>
      </c>
      <c r="C13" s="28">
        <v>5</v>
      </c>
    </row>
    <row r="14" spans="2:4" x14ac:dyDescent="0.4">
      <c r="B14" s="27" t="s">
        <v>11</v>
      </c>
      <c r="C14" s="28">
        <v>4</v>
      </c>
    </row>
    <row r="15" spans="2:4" x14ac:dyDescent="0.4">
      <c r="B15" s="27" t="s">
        <v>14</v>
      </c>
      <c r="C15" s="28">
        <v>3</v>
      </c>
    </row>
    <row r="16" spans="2:4" x14ac:dyDescent="0.4">
      <c r="B16" s="27" t="s">
        <v>19</v>
      </c>
      <c r="C16" s="28">
        <v>2</v>
      </c>
    </row>
    <row r="17" spans="2:3" x14ac:dyDescent="0.4">
      <c r="B17" s="27" t="s">
        <v>50</v>
      </c>
      <c r="C17" s="28">
        <v>1</v>
      </c>
    </row>
  </sheetData>
  <conditionalFormatting pivot="1" sqref="D4:D8">
    <cfRule type="dataBar" priority="1">
      <dataBar>
        <cfvo type="min"/>
        <cfvo type="max"/>
        <color rgb="FF638EC6"/>
      </dataBar>
      <extLst>
        <ext xmlns:x14="http://schemas.microsoft.com/office/spreadsheetml/2009/9/main" uri="{B025F937-C7B1-47D3-B67F-A62EFF666E3E}">
          <x14:id>{583F319B-AD1E-43D5-A1AE-12B818E582D9}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83F319B-AD1E-43D5-A1AE-12B818E582D9}">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81F26-0112-4060-B9A7-61D492B9D90E}">
  <dimension ref="B2:R38"/>
  <sheetViews>
    <sheetView tabSelected="1" workbookViewId="0">
      <selection activeCell="T11" sqref="T11"/>
    </sheetView>
  </sheetViews>
  <sheetFormatPr defaultRowHeight="14.6" x14ac:dyDescent="0.4"/>
  <cols>
    <col min="2" max="2" width="12.3828125" bestFit="1" customWidth="1"/>
    <col min="3" max="3" width="13.4609375" bestFit="1" customWidth="1"/>
    <col min="15" max="15" width="0" hidden="1" customWidth="1"/>
    <col min="16" max="16" width="12.3046875" customWidth="1"/>
    <col min="17" max="17" width="23" customWidth="1"/>
    <col min="18" max="18" width="23.07421875" customWidth="1"/>
  </cols>
  <sheetData>
    <row r="2" spans="2:18" x14ac:dyDescent="0.4">
      <c r="B2" s="16" t="s">
        <v>233</v>
      </c>
      <c r="C2" t="s">
        <v>221</v>
      </c>
      <c r="P2" s="31" t="s">
        <v>242</v>
      </c>
      <c r="Q2" s="32" t="s">
        <v>243</v>
      </c>
      <c r="R2" s="33" t="s">
        <v>244</v>
      </c>
    </row>
    <row r="3" spans="2:18" x14ac:dyDescent="0.4">
      <c r="B3" s="13" t="s">
        <v>238</v>
      </c>
      <c r="C3">
        <v>37</v>
      </c>
      <c r="O3" cm="1">
        <f t="array" ref="O3:O38">_xlfn.SEQUENCE(36)</f>
        <v>1</v>
      </c>
      <c r="P3" s="29">
        <f>EDATE(DATE(2020,4,1),O3)</f>
        <v>43952</v>
      </c>
      <c r="Q3" s="28">
        <f>COUNTIFS(Staff[Date Joined],"&gt;="&amp;P3,Staff[Date Joined],"&lt;=" &amp;EOMONTH(P3,0))</f>
        <v>3</v>
      </c>
      <c r="R3" s="30">
        <f>SUM($Q$3:Q3)</f>
        <v>3</v>
      </c>
    </row>
    <row r="4" spans="2:18" x14ac:dyDescent="0.4">
      <c r="B4" s="13" t="s">
        <v>239</v>
      </c>
      <c r="C4">
        <v>82</v>
      </c>
      <c r="O4">
        <v>2</v>
      </c>
      <c r="P4" s="29">
        <f t="shared" ref="P4:P38" si="0">EDATE(DATE(2020,4,1),O4)</f>
        <v>43983</v>
      </c>
      <c r="Q4" s="28">
        <f>COUNTIFS(Staff[Date Joined],"&gt;="&amp;P4,Staff[Date Joined],"&lt;=" &amp;EOMONTH(P4,0))</f>
        <v>1</v>
      </c>
      <c r="R4" s="30">
        <f>SUM($Q$3:Q4)</f>
        <v>4</v>
      </c>
    </row>
    <row r="5" spans="2:18" x14ac:dyDescent="0.4">
      <c r="B5" s="13" t="s">
        <v>240</v>
      </c>
      <c r="C5">
        <v>62</v>
      </c>
      <c r="O5">
        <v>3</v>
      </c>
      <c r="P5" s="29">
        <f t="shared" si="0"/>
        <v>44013</v>
      </c>
      <c r="Q5" s="28">
        <f>COUNTIFS(Staff[Date Joined],"&gt;="&amp;P5,Staff[Date Joined],"&lt;=" &amp;EOMONTH(P5,0))</f>
        <v>5</v>
      </c>
      <c r="R5" s="30">
        <f>SUM($Q$3:Q5)</f>
        <v>9</v>
      </c>
    </row>
    <row r="6" spans="2:18" x14ac:dyDescent="0.4">
      <c r="B6" s="13" t="s">
        <v>241</v>
      </c>
      <c r="C6">
        <v>2</v>
      </c>
      <c r="O6">
        <v>4</v>
      </c>
      <c r="P6" s="29">
        <f t="shared" si="0"/>
        <v>44044</v>
      </c>
      <c r="Q6" s="28">
        <f>COUNTIFS(Staff[Date Joined],"&gt;="&amp;P6,Staff[Date Joined],"&lt;=" &amp;EOMONTH(P6,0))</f>
        <v>3</v>
      </c>
      <c r="R6" s="30">
        <f>SUM($Q$3:Q6)</f>
        <v>12</v>
      </c>
    </row>
    <row r="7" spans="2:18" x14ac:dyDescent="0.4">
      <c r="B7" s="13" t="s">
        <v>219</v>
      </c>
      <c r="C7">
        <v>183</v>
      </c>
      <c r="O7">
        <v>5</v>
      </c>
      <c r="P7" s="29">
        <f t="shared" si="0"/>
        <v>44075</v>
      </c>
      <c r="Q7" s="28">
        <f>COUNTIFS(Staff[Date Joined],"&gt;="&amp;P7,Staff[Date Joined],"&lt;=" &amp;EOMONTH(P7,0))</f>
        <v>6</v>
      </c>
      <c r="R7" s="30">
        <f>SUM($Q$3:Q7)</f>
        <v>18</v>
      </c>
    </row>
    <row r="8" spans="2:18" x14ac:dyDescent="0.4">
      <c r="O8">
        <v>6</v>
      </c>
      <c r="P8" s="29">
        <f t="shared" si="0"/>
        <v>44105</v>
      </c>
      <c r="Q8" s="28">
        <f>COUNTIFS(Staff[Date Joined],"&gt;="&amp;P8,Staff[Date Joined],"&lt;=" &amp;EOMONTH(P8,0))</f>
        <v>6</v>
      </c>
      <c r="R8" s="30">
        <f>SUM($Q$3:Q8)</f>
        <v>24</v>
      </c>
    </row>
    <row r="9" spans="2:18" x14ac:dyDescent="0.4">
      <c r="O9">
        <v>7</v>
      </c>
      <c r="P9" s="29">
        <f t="shared" si="0"/>
        <v>44136</v>
      </c>
      <c r="Q9" s="28">
        <f>COUNTIFS(Staff[Date Joined],"&gt;="&amp;P9,Staff[Date Joined],"&lt;=" &amp;EOMONTH(P9,0))</f>
        <v>6</v>
      </c>
      <c r="R9" s="30">
        <f>SUM($Q$3:Q9)</f>
        <v>30</v>
      </c>
    </row>
    <row r="10" spans="2:18" x14ac:dyDescent="0.4">
      <c r="O10">
        <v>8</v>
      </c>
      <c r="P10" s="29">
        <f t="shared" si="0"/>
        <v>44166</v>
      </c>
      <c r="Q10" s="28">
        <f>COUNTIFS(Staff[Date Joined],"&gt;="&amp;P10,Staff[Date Joined],"&lt;=" &amp;EOMONTH(P10,0))</f>
        <v>7</v>
      </c>
      <c r="R10" s="30">
        <f>SUM($Q$3:Q10)</f>
        <v>37</v>
      </c>
    </row>
    <row r="11" spans="2:18" x14ac:dyDescent="0.4">
      <c r="O11">
        <v>9</v>
      </c>
      <c r="P11" s="29">
        <f t="shared" si="0"/>
        <v>44197</v>
      </c>
      <c r="Q11" s="28">
        <f>COUNTIFS(Staff[Date Joined],"&gt;="&amp;P11,Staff[Date Joined],"&lt;=" &amp;EOMONTH(P11,0))</f>
        <v>6</v>
      </c>
      <c r="R11" s="30">
        <f>SUM($Q$3:Q11)</f>
        <v>43</v>
      </c>
    </row>
    <row r="12" spans="2:18" x14ac:dyDescent="0.4">
      <c r="O12">
        <v>10</v>
      </c>
      <c r="P12" s="29">
        <f t="shared" si="0"/>
        <v>44228</v>
      </c>
      <c r="Q12" s="28">
        <f>COUNTIFS(Staff[Date Joined],"&gt;="&amp;P12,Staff[Date Joined],"&lt;=" &amp;EOMONTH(P12,0))</f>
        <v>4</v>
      </c>
      <c r="R12" s="30">
        <f>SUM($Q$3:Q12)</f>
        <v>47</v>
      </c>
    </row>
    <row r="13" spans="2:18" x14ac:dyDescent="0.4">
      <c r="O13">
        <v>11</v>
      </c>
      <c r="P13" s="29">
        <f t="shared" si="0"/>
        <v>44256</v>
      </c>
      <c r="Q13" s="28">
        <f>COUNTIFS(Staff[Date Joined],"&gt;="&amp;P13,Staff[Date Joined],"&lt;=" &amp;EOMONTH(P13,0))</f>
        <v>9</v>
      </c>
      <c r="R13" s="30">
        <f>SUM($Q$3:Q13)</f>
        <v>56</v>
      </c>
    </row>
    <row r="14" spans="2:18" x14ac:dyDescent="0.4">
      <c r="O14">
        <v>12</v>
      </c>
      <c r="P14" s="29">
        <f t="shared" si="0"/>
        <v>44287</v>
      </c>
      <c r="Q14" s="28">
        <f>COUNTIFS(Staff[Date Joined],"&gt;="&amp;P14,Staff[Date Joined],"&lt;=" &amp;EOMONTH(P14,0))</f>
        <v>5</v>
      </c>
      <c r="R14" s="30">
        <f>SUM($Q$3:Q14)</f>
        <v>61</v>
      </c>
    </row>
    <row r="15" spans="2:18" x14ac:dyDescent="0.4">
      <c r="O15">
        <v>13</v>
      </c>
      <c r="P15" s="29">
        <f t="shared" si="0"/>
        <v>44317</v>
      </c>
      <c r="Q15" s="28">
        <f>COUNTIFS(Staff[Date Joined],"&gt;="&amp;P15,Staff[Date Joined],"&lt;=" &amp;EOMONTH(P15,0))</f>
        <v>10</v>
      </c>
      <c r="R15" s="30">
        <f>SUM($Q$3:Q15)</f>
        <v>71</v>
      </c>
    </row>
    <row r="16" spans="2:18" x14ac:dyDescent="0.4">
      <c r="O16">
        <v>14</v>
      </c>
      <c r="P16" s="29">
        <f t="shared" si="0"/>
        <v>44348</v>
      </c>
      <c r="Q16" s="28">
        <f>COUNTIFS(Staff[Date Joined],"&gt;="&amp;P16,Staff[Date Joined],"&lt;=" &amp;EOMONTH(P16,0))</f>
        <v>6</v>
      </c>
      <c r="R16" s="30">
        <f>SUM($Q$3:Q16)</f>
        <v>77</v>
      </c>
    </row>
    <row r="17" spans="15:18" x14ac:dyDescent="0.4">
      <c r="O17">
        <v>15</v>
      </c>
      <c r="P17" s="29">
        <f t="shared" si="0"/>
        <v>44378</v>
      </c>
      <c r="Q17" s="28">
        <f>COUNTIFS(Staff[Date Joined],"&gt;="&amp;P17,Staff[Date Joined],"&lt;=" &amp;EOMONTH(P17,0))</f>
        <v>13</v>
      </c>
      <c r="R17" s="30">
        <f>SUM($Q$3:Q17)</f>
        <v>90</v>
      </c>
    </row>
    <row r="18" spans="15:18" x14ac:dyDescent="0.4">
      <c r="O18">
        <v>16</v>
      </c>
      <c r="P18" s="29">
        <f t="shared" si="0"/>
        <v>44409</v>
      </c>
      <c r="Q18" s="28">
        <f>COUNTIFS(Staff[Date Joined],"&gt;="&amp;P18,Staff[Date Joined],"&lt;=" &amp;EOMONTH(P18,0))</f>
        <v>4</v>
      </c>
      <c r="R18" s="30">
        <f>SUM($Q$3:Q18)</f>
        <v>94</v>
      </c>
    </row>
    <row r="19" spans="15:18" x14ac:dyDescent="0.4">
      <c r="O19">
        <v>17</v>
      </c>
      <c r="P19" s="29">
        <f t="shared" si="0"/>
        <v>44440</v>
      </c>
      <c r="Q19" s="28">
        <f>COUNTIFS(Staff[Date Joined],"&gt;="&amp;P19,Staff[Date Joined],"&lt;=" &amp;EOMONTH(P19,0))</f>
        <v>11</v>
      </c>
      <c r="R19" s="30">
        <f>SUM($Q$3:Q19)</f>
        <v>105</v>
      </c>
    </row>
    <row r="20" spans="15:18" x14ac:dyDescent="0.4">
      <c r="O20">
        <v>18</v>
      </c>
      <c r="P20" s="29">
        <f t="shared" si="0"/>
        <v>44470</v>
      </c>
      <c r="Q20" s="28">
        <f>COUNTIFS(Staff[Date Joined],"&gt;="&amp;P20,Staff[Date Joined],"&lt;=" &amp;EOMONTH(P20,0))</f>
        <v>3</v>
      </c>
      <c r="R20" s="30">
        <f>SUM($Q$3:Q20)</f>
        <v>108</v>
      </c>
    </row>
    <row r="21" spans="15:18" x14ac:dyDescent="0.4">
      <c r="O21">
        <v>19</v>
      </c>
      <c r="P21" s="29">
        <f t="shared" si="0"/>
        <v>44501</v>
      </c>
      <c r="Q21" s="28">
        <f>COUNTIFS(Staff[Date Joined],"&gt;="&amp;P21,Staff[Date Joined],"&lt;=" &amp;EOMONTH(P21,0))</f>
        <v>4</v>
      </c>
      <c r="R21" s="30">
        <f>SUM($Q$3:Q21)</f>
        <v>112</v>
      </c>
    </row>
    <row r="22" spans="15:18" x14ac:dyDescent="0.4">
      <c r="O22">
        <v>20</v>
      </c>
      <c r="P22" s="29">
        <f t="shared" si="0"/>
        <v>44531</v>
      </c>
      <c r="Q22" s="28">
        <f>COUNTIFS(Staff[Date Joined],"&gt;="&amp;P22,Staff[Date Joined],"&lt;=" &amp;EOMONTH(P22,0))</f>
        <v>7</v>
      </c>
      <c r="R22" s="30">
        <f>SUM($Q$3:Q22)</f>
        <v>119</v>
      </c>
    </row>
    <row r="23" spans="15:18" x14ac:dyDescent="0.4">
      <c r="O23">
        <v>21</v>
      </c>
      <c r="P23" s="29">
        <f t="shared" si="0"/>
        <v>44562</v>
      </c>
      <c r="Q23" s="28">
        <f>COUNTIFS(Staff[Date Joined],"&gt;="&amp;P23,Staff[Date Joined],"&lt;=" &amp;EOMONTH(P23,0))</f>
        <v>3</v>
      </c>
      <c r="R23" s="30">
        <f>SUM($Q$3:Q23)</f>
        <v>122</v>
      </c>
    </row>
    <row r="24" spans="15:18" x14ac:dyDescent="0.4">
      <c r="O24">
        <v>22</v>
      </c>
      <c r="P24" s="29">
        <f t="shared" si="0"/>
        <v>44593</v>
      </c>
      <c r="Q24" s="28">
        <f>COUNTIFS(Staff[Date Joined],"&gt;="&amp;P24,Staff[Date Joined],"&lt;=" &amp;EOMONTH(P24,0))</f>
        <v>10</v>
      </c>
      <c r="R24" s="30">
        <f>SUM($Q$3:Q24)</f>
        <v>132</v>
      </c>
    </row>
    <row r="25" spans="15:18" x14ac:dyDescent="0.4">
      <c r="O25">
        <v>23</v>
      </c>
      <c r="P25" s="29">
        <f t="shared" si="0"/>
        <v>44621</v>
      </c>
      <c r="Q25" s="28">
        <f>COUNTIFS(Staff[Date Joined],"&gt;="&amp;P25,Staff[Date Joined],"&lt;=" &amp;EOMONTH(P25,0))</f>
        <v>9</v>
      </c>
      <c r="R25" s="30">
        <f>SUM($Q$3:Q25)</f>
        <v>141</v>
      </c>
    </row>
    <row r="26" spans="15:18" x14ac:dyDescent="0.4">
      <c r="O26">
        <v>24</v>
      </c>
      <c r="P26" s="29">
        <f t="shared" si="0"/>
        <v>44652</v>
      </c>
      <c r="Q26" s="28">
        <f>COUNTIFS(Staff[Date Joined],"&gt;="&amp;P26,Staff[Date Joined],"&lt;=" &amp;EOMONTH(P26,0))</f>
        <v>9</v>
      </c>
      <c r="R26" s="30">
        <f>SUM($Q$3:Q26)</f>
        <v>150</v>
      </c>
    </row>
    <row r="27" spans="15:18" x14ac:dyDescent="0.4">
      <c r="O27">
        <v>25</v>
      </c>
      <c r="P27" s="29">
        <f t="shared" si="0"/>
        <v>44682</v>
      </c>
      <c r="Q27" s="28">
        <f>COUNTIFS(Staff[Date Joined],"&gt;="&amp;P27,Staff[Date Joined],"&lt;=" &amp;EOMONTH(P27,0))</f>
        <v>9</v>
      </c>
      <c r="R27" s="30">
        <f>SUM($Q$3:Q27)</f>
        <v>159</v>
      </c>
    </row>
    <row r="28" spans="15:18" x14ac:dyDescent="0.4">
      <c r="O28">
        <v>26</v>
      </c>
      <c r="P28" s="29">
        <f t="shared" si="0"/>
        <v>44713</v>
      </c>
      <c r="Q28" s="28">
        <f>COUNTIFS(Staff[Date Joined],"&gt;="&amp;P28,Staff[Date Joined],"&lt;=" &amp;EOMONTH(P28,0))</f>
        <v>7</v>
      </c>
      <c r="R28" s="30">
        <f>SUM($Q$3:Q28)</f>
        <v>166</v>
      </c>
    </row>
    <row r="29" spans="15:18" x14ac:dyDescent="0.4">
      <c r="O29">
        <v>27</v>
      </c>
      <c r="P29" s="29">
        <f t="shared" si="0"/>
        <v>44743</v>
      </c>
      <c r="Q29" s="28">
        <f>COUNTIFS(Staff[Date Joined],"&gt;="&amp;P29,Staff[Date Joined],"&lt;=" &amp;EOMONTH(P29,0))</f>
        <v>5</v>
      </c>
      <c r="R29" s="30">
        <f>SUM($Q$3:Q29)</f>
        <v>171</v>
      </c>
    </row>
    <row r="30" spans="15:18" x14ac:dyDescent="0.4">
      <c r="O30">
        <v>28</v>
      </c>
      <c r="P30" s="29">
        <f t="shared" si="0"/>
        <v>44774</v>
      </c>
      <c r="Q30" s="28">
        <f>COUNTIFS(Staff[Date Joined],"&gt;="&amp;P30,Staff[Date Joined],"&lt;=" &amp;EOMONTH(P30,0))</f>
        <v>5</v>
      </c>
      <c r="R30" s="30">
        <f>SUM($Q$3:Q30)</f>
        <v>176</v>
      </c>
    </row>
    <row r="31" spans="15:18" x14ac:dyDescent="0.4">
      <c r="O31">
        <v>29</v>
      </c>
      <c r="P31" s="29">
        <f t="shared" si="0"/>
        <v>44805</v>
      </c>
      <c r="Q31" s="28">
        <f>COUNTIFS(Staff[Date Joined],"&gt;="&amp;P31,Staff[Date Joined],"&lt;=" &amp;EOMONTH(P31,0))</f>
        <v>2</v>
      </c>
      <c r="R31" s="30">
        <f>SUM($Q$3:Q31)</f>
        <v>178</v>
      </c>
    </row>
    <row r="32" spans="15:18" x14ac:dyDescent="0.4">
      <c r="O32">
        <v>30</v>
      </c>
      <c r="P32" s="29">
        <f t="shared" si="0"/>
        <v>44835</v>
      </c>
      <c r="Q32" s="28">
        <f>COUNTIFS(Staff[Date Joined],"&gt;="&amp;P32,Staff[Date Joined],"&lt;=" &amp;EOMONTH(P32,0))</f>
        <v>3</v>
      </c>
      <c r="R32" s="30">
        <f>SUM($Q$3:Q32)</f>
        <v>181</v>
      </c>
    </row>
    <row r="33" spans="15:18" x14ac:dyDescent="0.4">
      <c r="O33">
        <v>31</v>
      </c>
      <c r="P33" s="29">
        <f t="shared" si="0"/>
        <v>44866</v>
      </c>
      <c r="Q33" s="28">
        <f>COUNTIFS(Staff[Date Joined],"&gt;="&amp;P33,Staff[Date Joined],"&lt;=" &amp;EOMONTH(P33,0))</f>
        <v>0</v>
      </c>
      <c r="R33" s="30">
        <f>SUM($Q$3:Q33)</f>
        <v>181</v>
      </c>
    </row>
    <row r="34" spans="15:18" x14ac:dyDescent="0.4">
      <c r="O34">
        <v>32</v>
      </c>
      <c r="P34" s="29">
        <f t="shared" si="0"/>
        <v>44896</v>
      </c>
      <c r="Q34" s="28">
        <f>COUNTIFS(Staff[Date Joined],"&gt;="&amp;P34,Staff[Date Joined],"&lt;=" &amp;EOMONTH(P34,0))</f>
        <v>0</v>
      </c>
      <c r="R34" s="30">
        <f>SUM($Q$3:Q34)</f>
        <v>181</v>
      </c>
    </row>
    <row r="35" spans="15:18" x14ac:dyDescent="0.4">
      <c r="O35">
        <v>33</v>
      </c>
      <c r="P35" s="29">
        <f t="shared" si="0"/>
        <v>44927</v>
      </c>
      <c r="Q35" s="28">
        <f>COUNTIFS(Staff[Date Joined],"&gt;="&amp;P35,Staff[Date Joined],"&lt;=" &amp;EOMONTH(P35,0))</f>
        <v>0</v>
      </c>
      <c r="R35" s="30">
        <f>SUM($Q$3:Q35)</f>
        <v>181</v>
      </c>
    </row>
    <row r="36" spans="15:18" x14ac:dyDescent="0.4">
      <c r="O36">
        <v>34</v>
      </c>
      <c r="P36" s="29">
        <f t="shared" si="0"/>
        <v>44958</v>
      </c>
      <c r="Q36" s="28">
        <f>COUNTIFS(Staff[Date Joined],"&gt;="&amp;P36,Staff[Date Joined],"&lt;=" &amp;EOMONTH(P36,0))</f>
        <v>1</v>
      </c>
      <c r="R36" s="30">
        <f>SUM($Q$3:Q36)</f>
        <v>182</v>
      </c>
    </row>
    <row r="37" spans="15:18" x14ac:dyDescent="0.4">
      <c r="O37">
        <v>35</v>
      </c>
      <c r="P37" s="29">
        <f t="shared" si="0"/>
        <v>44986</v>
      </c>
      <c r="Q37" s="28">
        <f>COUNTIFS(Staff[Date Joined],"&gt;="&amp;P37,Staff[Date Joined],"&lt;=" &amp;EOMONTH(P37,0))</f>
        <v>0</v>
      </c>
      <c r="R37" s="30">
        <f>SUM($Q$3:Q37)</f>
        <v>182</v>
      </c>
    </row>
    <row r="38" spans="15:18" x14ac:dyDescent="0.4">
      <c r="O38">
        <v>36</v>
      </c>
      <c r="P38" s="34">
        <f t="shared" si="0"/>
        <v>45017</v>
      </c>
      <c r="Q38" s="35">
        <f>COUNTIFS(Staff[Date Joined],"&gt;="&amp;P38,Staff[Date Joined],"&lt;=" &amp;EOMONTH(P38,0))</f>
        <v>1</v>
      </c>
      <c r="R38" s="36">
        <f>SUM($Q$3:Q38)</f>
        <v>183</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59C05-69DF-4544-BC65-A782794A2E1E}">
  <dimension ref="C2:M27"/>
  <sheetViews>
    <sheetView zoomScale="140" zoomScaleNormal="140" workbookViewId="0">
      <selection activeCell="M3" sqref="M3"/>
    </sheetView>
  </sheetViews>
  <sheetFormatPr defaultRowHeight="14.6" x14ac:dyDescent="0.4"/>
  <cols>
    <col min="1" max="2" width="8.69140625" customWidth="1"/>
    <col min="3" max="3" width="18.69140625" customWidth="1"/>
    <col min="4" max="4" width="4.69140625" customWidth="1"/>
    <col min="5" max="5" width="18.69140625" customWidth="1"/>
    <col min="6" max="6" width="4.69140625" customWidth="1"/>
    <col min="7" max="7" width="18.69140625" customWidth="1"/>
    <col min="8" max="8" width="8.69140625" customWidth="1"/>
    <col min="9" max="9" width="18.69140625" customWidth="1"/>
    <col min="10" max="10" width="4.69140625" customWidth="1"/>
    <col min="11" max="11" width="18.69140625" customWidth="1"/>
    <col min="12" max="12" width="4.69140625" customWidth="1"/>
    <col min="13" max="13" width="18.69140625" customWidth="1"/>
    <col min="14" max="17" width="8.69140625" customWidth="1"/>
  </cols>
  <sheetData>
    <row r="2" spans="3:13" ht="37.299999999999997" customHeight="1" x14ac:dyDescent="0.4">
      <c r="C2" s="52" t="s">
        <v>248</v>
      </c>
      <c r="D2" s="52"/>
      <c r="E2" s="52"/>
      <c r="F2" s="52"/>
      <c r="G2" s="52"/>
      <c r="I2" s="52" t="s">
        <v>247</v>
      </c>
      <c r="J2" s="52"/>
      <c r="K2" s="52"/>
      <c r="L2" s="52"/>
      <c r="M2" s="52"/>
    </row>
    <row r="3" spans="3:13" ht="61.3" x14ac:dyDescent="0.4">
      <c r="C3" s="37">
        <f>COUNTIF(Staff[Country],"NZ")</f>
        <v>91</v>
      </c>
      <c r="E3" s="38">
        <f>COUNTIFS(Staff[Country],"NZ",Staff[Gender],"Female")/C3</f>
        <v>0.47252747252747251</v>
      </c>
      <c r="G3" s="39">
        <f>AVERAGEIFS(Staff[Salary],Staff[Country],"NZ")</f>
        <v>76978.791208791212</v>
      </c>
      <c r="I3" s="40">
        <f>COUNTIF(Staff[Country],"IND")</f>
        <v>92</v>
      </c>
      <c r="J3" s="41"/>
      <c r="K3" s="42">
        <f>COUNTIFS(Staff[Country],"IND",Staff[Gender],"Female")/I3</f>
        <v>0.46739130434782611</v>
      </c>
      <c r="L3" s="41"/>
      <c r="M3" s="43">
        <f>AVERAGEIFS(Staff[Salary],Staff[Country],"IND")</f>
        <v>77366.521739130432</v>
      </c>
    </row>
    <row r="4" spans="3:13" ht="46.3" x14ac:dyDescent="0.4">
      <c r="C4" s="44" t="s">
        <v>249</v>
      </c>
      <c r="E4" s="45" t="s">
        <v>16</v>
      </c>
      <c r="G4" s="46" t="s">
        <v>213</v>
      </c>
      <c r="I4" s="44" t="s">
        <v>249</v>
      </c>
      <c r="K4" s="45" t="s">
        <v>16</v>
      </c>
      <c r="M4" s="46" t="s">
        <v>213</v>
      </c>
    </row>
    <row r="6" spans="3:13" ht="20.6" x14ac:dyDescent="0.55000000000000004">
      <c r="C6" s="51" t="s">
        <v>246</v>
      </c>
      <c r="D6" s="51"/>
      <c r="E6" s="51"/>
      <c r="F6" s="51"/>
      <c r="G6" s="51"/>
      <c r="H6" s="51"/>
      <c r="I6" s="51"/>
      <c r="J6" s="51"/>
      <c r="K6" s="51"/>
      <c r="L6" s="51"/>
      <c r="M6" s="51"/>
    </row>
    <row r="27" spans="7:7" x14ac:dyDescent="0.4">
      <c r="G27" t="s">
        <v>245</v>
      </c>
    </row>
  </sheetData>
  <mergeCells count="3">
    <mergeCell ref="C6:M6"/>
    <mergeCell ref="C2:G2"/>
    <mergeCell ref="I2:M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12DA-175C-4441-A9EF-EF0CCAF03E17}">
  <dimension ref="B2:P48"/>
  <sheetViews>
    <sheetView workbookViewId="0">
      <selection activeCell="M16" sqref="M16"/>
    </sheetView>
  </sheetViews>
  <sheetFormatPr defaultRowHeight="14.6" x14ac:dyDescent="0.4"/>
  <cols>
    <col min="2" max="2" width="26.61328125" bestFit="1" customWidth="1"/>
    <col min="3" max="3" width="16.4609375" bestFit="1" customWidth="1"/>
    <col min="4" max="4" width="13" bestFit="1" customWidth="1"/>
    <col min="5" max="5" width="11.61328125" bestFit="1" customWidth="1"/>
    <col min="8" max="8" width="16" bestFit="1" customWidth="1"/>
    <col min="9" max="9" width="15.15234375" bestFit="1" customWidth="1"/>
    <col min="10" max="11" width="7.3046875" bestFit="1" customWidth="1"/>
    <col min="12" max="12" width="10.69140625" bestFit="1" customWidth="1"/>
    <col min="14" max="14" width="9.84375" bestFit="1" customWidth="1"/>
    <col min="16" max="16" width="9" customWidth="1"/>
  </cols>
  <sheetData>
    <row r="2" spans="2:16" x14ac:dyDescent="0.4">
      <c r="B2" s="12">
        <v>4</v>
      </c>
      <c r="C2" t="s">
        <v>216</v>
      </c>
      <c r="E2" t="s">
        <v>3</v>
      </c>
      <c r="G2" s="10">
        <v>1</v>
      </c>
      <c r="H2" t="s">
        <v>257</v>
      </c>
    </row>
    <row r="3" spans="2:16" x14ac:dyDescent="0.4">
      <c r="G3" s="11"/>
      <c r="H3" t="s">
        <v>214</v>
      </c>
      <c r="I3">
        <f>COUNTA(Staff[Name])</f>
        <v>183</v>
      </c>
    </row>
    <row r="4" spans="2:16" x14ac:dyDescent="0.4">
      <c r="B4" s="13" t="s">
        <v>3</v>
      </c>
      <c r="C4" s="15" t="s">
        <v>18</v>
      </c>
      <c r="E4" t="str" cm="1">
        <f t="array" ref="E4:E8">_xlfn._xlws.SORT(_xlfn.UNIQUE(Staff[Department]))</f>
        <v>Finance</v>
      </c>
      <c r="G4" s="11"/>
      <c r="H4" t="s">
        <v>213</v>
      </c>
      <c r="I4">
        <f>AVERAGE(Staff[Salary])</f>
        <v>77173.715846994543</v>
      </c>
    </row>
    <row r="5" spans="2:16" x14ac:dyDescent="0.4">
      <c r="B5" s="13" t="s">
        <v>217</v>
      </c>
      <c r="C5" s="15">
        <f>COUNTIFS(Staff[Department],C4)</f>
        <v>38</v>
      </c>
      <c r="E5" t="str">
        <v>HR</v>
      </c>
      <c r="G5" s="11"/>
      <c r="H5" t="s">
        <v>252</v>
      </c>
      <c r="I5">
        <f>MEDIAN(Staff[Salary])</f>
        <v>75000</v>
      </c>
    </row>
    <row r="6" spans="2:16" x14ac:dyDescent="0.4">
      <c r="B6" s="13"/>
      <c r="C6" s="15"/>
      <c r="E6" t="str">
        <v>Procurement</v>
      </c>
      <c r="G6" s="11"/>
      <c r="H6" t="s">
        <v>212</v>
      </c>
      <c r="I6">
        <f ca="1">AVERAGE(Staff[Tensure])</f>
        <v>1.8190882551089154</v>
      </c>
    </row>
    <row r="7" spans="2:16" x14ac:dyDescent="0.4">
      <c r="B7" s="13"/>
      <c r="C7" s="15"/>
      <c r="E7" t="str">
        <v>Sales</v>
      </c>
      <c r="G7" s="11"/>
      <c r="H7" t="s">
        <v>253</v>
      </c>
      <c r="I7">
        <f>MEDIAN(Staff[Age])</f>
        <v>30</v>
      </c>
    </row>
    <row r="8" spans="2:16" x14ac:dyDescent="0.4">
      <c r="B8" s="15"/>
      <c r="C8" s="15"/>
      <c r="E8" t="str">
        <v>Website</v>
      </c>
      <c r="G8" s="11"/>
      <c r="H8" t="s">
        <v>254</v>
      </c>
      <c r="I8" s="7">
        <f ca="1">AVERAGE(Staff[Tensure])</f>
        <v>1.8190882551089154</v>
      </c>
    </row>
    <row r="9" spans="2:16" x14ac:dyDescent="0.4">
      <c r="B9" s="53" t="s">
        <v>1</v>
      </c>
      <c r="C9" s="53" t="s">
        <v>6</v>
      </c>
      <c r="D9" s="53" t="s">
        <v>7</v>
      </c>
      <c r="G9" s="11"/>
      <c r="H9" t="s">
        <v>211</v>
      </c>
      <c r="I9">
        <f>COUNTIF(Staff[Gender],"Female")</f>
        <v>86</v>
      </c>
    </row>
    <row r="10" spans="2:16" x14ac:dyDescent="0.4">
      <c r="B10" t="str" cm="1">
        <f t="array" aca="1" ref="B10:D47" ca="1">_xlfn._xlws.SORT(_xlfn.CHOOSECOLS(_xlfn._xlws.FILTER(Staff[],Staff[Department]=C4),1,7,4),2,-1)</f>
        <v>Benny Karolovsky</v>
      </c>
      <c r="C10" s="19">
        <f ca="1"/>
        <v>115440</v>
      </c>
      <c r="D10" t="str">
        <f ca="1"/>
        <v>Poor</v>
      </c>
      <c r="G10" s="11"/>
      <c r="H10" t="s">
        <v>210</v>
      </c>
      <c r="I10" s="8">
        <f>I9/I3</f>
        <v>0.46994535519125685</v>
      </c>
    </row>
    <row r="11" spans="2:16" x14ac:dyDescent="0.4">
      <c r="B11" t="str">
        <f ca="1"/>
        <v>Sahila Chandrasekhar</v>
      </c>
      <c r="C11" s="19">
        <f ca="1"/>
        <v>115440</v>
      </c>
      <c r="D11" t="str">
        <f ca="1"/>
        <v>Poor</v>
      </c>
      <c r="G11" s="11"/>
      <c r="H11" t="s">
        <v>209</v>
      </c>
      <c r="I11" s="9">
        <f>(COUNTIFS(Staff[Salary],"&gt;90000")/I3)</f>
        <v>0.34426229508196721</v>
      </c>
    </row>
    <row r="12" spans="2:16" ht="15" thickBot="1" x14ac:dyDescent="0.45">
      <c r="B12" t="str">
        <f ca="1"/>
        <v>Constantino Espley</v>
      </c>
      <c r="C12" s="19">
        <f ca="1"/>
        <v>96800</v>
      </c>
      <c r="D12" t="str">
        <f ca="1"/>
        <v>Average</v>
      </c>
    </row>
    <row r="13" spans="2:16" ht="15" thickBot="1" x14ac:dyDescent="0.45">
      <c r="B13" t="str">
        <f ca="1"/>
        <v>Mithil Nadkarni</v>
      </c>
      <c r="C13" s="19">
        <f ca="1"/>
        <v>96800</v>
      </c>
      <c r="D13" t="str">
        <f ca="1"/>
        <v>Average</v>
      </c>
      <c r="G13" s="12" t="s">
        <v>250</v>
      </c>
      <c r="H13" s="21" t="s">
        <v>226</v>
      </c>
      <c r="L13" s="6"/>
      <c r="N13" s="19"/>
      <c r="P13" s="24"/>
    </row>
    <row r="14" spans="2:16" x14ac:dyDescent="0.4">
      <c r="B14" t="str">
        <f ca="1"/>
        <v>Deepit Ranjana</v>
      </c>
      <c r="C14" s="19">
        <f ca="1"/>
        <v>92450</v>
      </c>
      <c r="D14" t="str">
        <f ca="1"/>
        <v>Average</v>
      </c>
      <c r="G14" s="22"/>
    </row>
    <row r="15" spans="2:16" x14ac:dyDescent="0.4">
      <c r="B15" t="str">
        <f ca="1"/>
        <v>Leilah Yesinin</v>
      </c>
      <c r="C15" s="19">
        <f ca="1"/>
        <v>92450</v>
      </c>
      <c r="D15" t="str">
        <f ca="1"/>
        <v>Average</v>
      </c>
      <c r="H15" t="s">
        <v>126</v>
      </c>
      <c r="I15" t="str" cm="1">
        <f t="array" aca="1" ref="I15:P15" ca="1">_xlfn.XLOOKUP(H15,Staff[Name],Staff[Gender]:Staff[Tensure])</f>
        <v>Female</v>
      </c>
      <c r="J15">
        <f ca="1"/>
        <v>34</v>
      </c>
      <c r="K15" t="str">
        <f ca="1"/>
        <v>Poor</v>
      </c>
      <c r="L15">
        <f ca="1"/>
        <v>44660</v>
      </c>
      <c r="M15" t="str">
        <f ca="1"/>
        <v>Sales</v>
      </c>
      <c r="N15">
        <f ca="1"/>
        <v>49630</v>
      </c>
      <c r="O15" t="str">
        <f ca="1"/>
        <v>IND</v>
      </c>
      <c r="P15">
        <f ca="1"/>
        <v>1.1972602739726028</v>
      </c>
    </row>
    <row r="16" spans="2:16" x14ac:dyDescent="0.4">
      <c r="B16" t="str">
        <f ca="1"/>
        <v>Enoch Dowrey</v>
      </c>
      <c r="C16" s="19">
        <f ca="1"/>
        <v>91650</v>
      </c>
      <c r="D16" t="str">
        <f ca="1"/>
        <v>Above average</v>
      </c>
    </row>
    <row r="17" spans="2:16" x14ac:dyDescent="0.4">
      <c r="B17" t="str">
        <f ca="1"/>
        <v>Kamalakshi Mukundan</v>
      </c>
      <c r="C17" s="19">
        <f ca="1"/>
        <v>91650</v>
      </c>
      <c r="D17" t="str">
        <f ca="1"/>
        <v>Above average</v>
      </c>
      <c r="H17" t="s">
        <v>1</v>
      </c>
      <c r="I17" t="s">
        <v>43</v>
      </c>
    </row>
    <row r="18" spans="2:16" x14ac:dyDescent="0.4">
      <c r="B18" t="str">
        <f ca="1"/>
        <v>Madhumati Gazala Soumitra</v>
      </c>
      <c r="C18" s="19">
        <f ca="1"/>
        <v>86570</v>
      </c>
      <c r="D18" t="str">
        <f ca="1"/>
        <v>Average</v>
      </c>
      <c r="H18" t="s">
        <v>2</v>
      </c>
      <c r="I18" s="13" t="str" cm="1">
        <f t="array" aca="1" ref="I18:I25" ca="1">TRANSPOSE(_xlfn.XLOOKUP(H15,Staff[Name],Staff[Gender]:Staff[Tensure]))</f>
        <v>Female</v>
      </c>
    </row>
    <row r="19" spans="2:16" x14ac:dyDescent="0.4">
      <c r="B19" t="str">
        <f ca="1"/>
        <v>Sibyl Dunkirk</v>
      </c>
      <c r="C19" s="19">
        <f ca="1"/>
        <v>86570</v>
      </c>
      <c r="D19" t="str">
        <f ca="1"/>
        <v>Average</v>
      </c>
      <c r="H19" t="s">
        <v>4</v>
      </c>
      <c r="I19" s="13">
        <f ca="1"/>
        <v>34</v>
      </c>
    </row>
    <row r="20" spans="2:16" x14ac:dyDescent="0.4">
      <c r="B20" t="str">
        <f ca="1"/>
        <v>Karlen McCaffrey</v>
      </c>
      <c r="C20" s="19">
        <f ca="1"/>
        <v>85000</v>
      </c>
      <c r="D20" t="str">
        <f ca="1"/>
        <v>Average</v>
      </c>
      <c r="H20" t="s">
        <v>7</v>
      </c>
      <c r="I20" s="13" t="str">
        <f ca="1"/>
        <v>Poor</v>
      </c>
    </row>
    <row r="21" spans="2:16" x14ac:dyDescent="0.4">
      <c r="B21" t="str">
        <f ca="1"/>
        <v>Tarala Vishaal</v>
      </c>
      <c r="C21" s="19">
        <f ca="1"/>
        <v>85000</v>
      </c>
      <c r="D21" t="str">
        <f ca="1"/>
        <v>Average</v>
      </c>
      <c r="H21" t="s">
        <v>215</v>
      </c>
      <c r="I21" s="14">
        <f ca="1"/>
        <v>44660</v>
      </c>
    </row>
    <row r="22" spans="2:16" x14ac:dyDescent="0.4">
      <c r="B22" t="str">
        <f ca="1"/>
        <v>Beverie Moffet</v>
      </c>
      <c r="C22" s="19">
        <f ca="1"/>
        <v>75970</v>
      </c>
      <c r="D22" t="str">
        <f ca="1"/>
        <v>Average</v>
      </c>
      <c r="H22" t="s">
        <v>3</v>
      </c>
      <c r="I22" s="13" t="str">
        <f ca="1"/>
        <v>Sales</v>
      </c>
    </row>
    <row r="23" spans="2:16" x14ac:dyDescent="0.4">
      <c r="B23" t="str">
        <f ca="1"/>
        <v>Indu Varada Sumedh</v>
      </c>
      <c r="C23" s="19">
        <f ca="1"/>
        <v>75970</v>
      </c>
      <c r="D23" t="str">
        <f ca="1"/>
        <v>Average</v>
      </c>
      <c r="H23" t="s">
        <v>6</v>
      </c>
      <c r="I23" s="23">
        <f ca="1"/>
        <v>49630</v>
      </c>
    </row>
    <row r="24" spans="2:16" x14ac:dyDescent="0.4">
      <c r="B24" t="str">
        <f ca="1"/>
        <v>Bennie Pepis</v>
      </c>
      <c r="C24" s="19">
        <f ca="1"/>
        <v>71380</v>
      </c>
      <c r="D24" t="str">
        <f ca="1"/>
        <v>Average</v>
      </c>
      <c r="H24" t="s">
        <v>204</v>
      </c>
      <c r="I24" s="13" t="str">
        <f ca="1"/>
        <v>IND</v>
      </c>
    </row>
    <row r="25" spans="2:16" x14ac:dyDescent="0.4">
      <c r="B25" t="str">
        <f ca="1"/>
        <v>Kulbhushan Moorthy</v>
      </c>
      <c r="C25" s="19">
        <f ca="1"/>
        <v>71380</v>
      </c>
      <c r="D25" t="str">
        <f ca="1"/>
        <v>Average</v>
      </c>
      <c r="H25" t="s">
        <v>255</v>
      </c>
      <c r="I25" s="25">
        <f ca="1"/>
        <v>1.1972602739726028</v>
      </c>
    </row>
    <row r="26" spans="2:16" ht="15" thickBot="1" x14ac:dyDescent="0.45">
      <c r="B26" t="str">
        <f ca="1"/>
        <v>Chandana Sannidhi Surnilla</v>
      </c>
      <c r="C26" s="19">
        <f ca="1"/>
        <v>70270</v>
      </c>
      <c r="D26" t="str">
        <f ca="1"/>
        <v>Poor</v>
      </c>
      <c r="I26" s="13"/>
    </row>
    <row r="27" spans="2:16" ht="15" thickBot="1" x14ac:dyDescent="0.45">
      <c r="B27" t="str">
        <f ca="1"/>
        <v>Shayne Stegel</v>
      </c>
      <c r="C27" s="19">
        <f ca="1"/>
        <v>70270</v>
      </c>
      <c r="D27" t="str">
        <f ca="1"/>
        <v>Poor</v>
      </c>
      <c r="G27" s="12" t="s">
        <v>251</v>
      </c>
      <c r="H27" s="21" t="s">
        <v>227</v>
      </c>
      <c r="J27">
        <f>VLOOKUP($H$15,Staff[],3,FALSE)</f>
        <v>34</v>
      </c>
      <c r="K27" t="str">
        <f>VLOOKUP($H$15,Staff[],4,FALSE)</f>
        <v>Poor</v>
      </c>
      <c r="L27" s="6">
        <f>VLOOKUP($H$15,Staff[],5,FALSE)</f>
        <v>44660</v>
      </c>
      <c r="M27" t="str">
        <f>VLOOKUP($H$15,Staff[],6,FALSE)</f>
        <v>Sales</v>
      </c>
      <c r="N27" s="5">
        <f>VLOOKUP($H$15,Staff[],7,FALSE)</f>
        <v>49630</v>
      </c>
      <c r="O27" t="str">
        <f>VLOOKUP($H$15,Staff[],8,FALSE)</f>
        <v>IND</v>
      </c>
      <c r="P27" s="24">
        <f ca="1">VLOOKUP($H$15,Staff[],9,FALSE)</f>
        <v>1.1972602739726028</v>
      </c>
    </row>
    <row r="28" spans="2:16" x14ac:dyDescent="0.4">
      <c r="B28" t="str">
        <f ca="1"/>
        <v>Husein Augar</v>
      </c>
      <c r="C28" s="19">
        <f ca="1"/>
        <v>67910</v>
      </c>
      <c r="D28" t="str">
        <f ca="1"/>
        <v>Poor</v>
      </c>
      <c r="G28" s="22"/>
    </row>
    <row r="29" spans="2:16" x14ac:dyDescent="0.4">
      <c r="B29" t="str">
        <f ca="1"/>
        <v>Kantimoy Pritish</v>
      </c>
      <c r="C29" s="19">
        <f ca="1"/>
        <v>67910</v>
      </c>
      <c r="D29" t="str">
        <f ca="1"/>
        <v>Poor</v>
      </c>
      <c r="H29" t="str">
        <f>H15</f>
        <v>Daruka Ghazali</v>
      </c>
      <c r="I29" t="str">
        <f>VLOOKUP($H$15,Staff[],2,FALSE)</f>
        <v>Female</v>
      </c>
    </row>
    <row r="30" spans="2:16" x14ac:dyDescent="0.4">
      <c r="B30" t="str">
        <f ca="1"/>
        <v>Agrata Rajarama</v>
      </c>
      <c r="C30" s="19">
        <f ca="1"/>
        <v>65920</v>
      </c>
      <c r="D30" t="str">
        <f ca="1"/>
        <v>Average</v>
      </c>
    </row>
    <row r="31" spans="2:16" x14ac:dyDescent="0.4">
      <c r="B31" t="str">
        <f ca="1"/>
        <v>Marney O'Breen</v>
      </c>
      <c r="C31" s="19">
        <f ca="1"/>
        <v>65920</v>
      </c>
      <c r="D31" t="str">
        <f ca="1"/>
        <v>Average</v>
      </c>
      <c r="H31" t="s">
        <v>1</v>
      </c>
      <c r="I31" s="13" t="str">
        <f>VLOOKUP($H$15,Staff[],1,FALSE)</f>
        <v>Daruka Ghazali</v>
      </c>
    </row>
    <row r="32" spans="2:16" x14ac:dyDescent="0.4">
      <c r="B32" t="str">
        <f ca="1"/>
        <v>Kevalkumar Solanki</v>
      </c>
      <c r="C32" s="19">
        <f ca="1"/>
        <v>65360</v>
      </c>
      <c r="D32" t="str">
        <f ca="1"/>
        <v>Average</v>
      </c>
      <c r="H32" t="s">
        <v>2</v>
      </c>
      <c r="I32" s="13" t="str">
        <f>VLOOKUP($H$15,Staff[],2,FALSE)</f>
        <v>Female</v>
      </c>
    </row>
    <row r="33" spans="2:12" x14ac:dyDescent="0.4">
      <c r="B33" t="str">
        <f ca="1"/>
        <v>Teressa Udden</v>
      </c>
      <c r="C33" s="19">
        <f ca="1"/>
        <v>65360</v>
      </c>
      <c r="D33" t="str">
        <f ca="1"/>
        <v>Average</v>
      </c>
      <c r="H33" t="s">
        <v>4</v>
      </c>
      <c r="I33" s="13">
        <f>VLOOKUP($H$15,Staff[],3,FALSE)</f>
        <v>34</v>
      </c>
    </row>
    <row r="34" spans="2:12" x14ac:dyDescent="0.4">
      <c r="B34" t="str">
        <f ca="1"/>
        <v>Curtice Advani</v>
      </c>
      <c r="C34" s="19">
        <f ca="1"/>
        <v>64000</v>
      </c>
      <c r="D34" t="str">
        <f ca="1"/>
        <v>Average</v>
      </c>
      <c r="H34" t="s">
        <v>7</v>
      </c>
      <c r="I34" s="13" t="str">
        <f>VLOOKUP($H$15,Staff[],4,FALSE)</f>
        <v>Poor</v>
      </c>
    </row>
    <row r="35" spans="2:12" x14ac:dyDescent="0.4">
      <c r="B35" t="str">
        <f ca="1"/>
        <v>Upendra Swati</v>
      </c>
      <c r="C35" s="19">
        <f ca="1"/>
        <v>64000</v>
      </c>
      <c r="D35" t="str">
        <f ca="1"/>
        <v>Average</v>
      </c>
      <c r="H35" t="s">
        <v>215</v>
      </c>
      <c r="I35" s="14">
        <f>VLOOKUP($H$15,Staff[],5,FALSE)</f>
        <v>44660</v>
      </c>
    </row>
    <row r="36" spans="2:12" x14ac:dyDescent="0.4">
      <c r="B36" t="str">
        <f ca="1"/>
        <v>Jehu Rudeforth</v>
      </c>
      <c r="C36" s="19">
        <f ca="1"/>
        <v>60130</v>
      </c>
      <c r="D36" t="str">
        <f ca="1"/>
        <v>Average</v>
      </c>
      <c r="H36" t="s">
        <v>3</v>
      </c>
      <c r="I36" s="13" t="str">
        <f>VLOOKUP($H$15,Staff[],6,FALSE)</f>
        <v>Sales</v>
      </c>
    </row>
    <row r="37" spans="2:12" x14ac:dyDescent="0.4">
      <c r="B37" t="str">
        <f ca="1"/>
        <v>Lalit Kothari</v>
      </c>
      <c r="C37" s="19">
        <f ca="1"/>
        <v>60130</v>
      </c>
      <c r="D37" t="str">
        <f ca="1"/>
        <v>Average</v>
      </c>
      <c r="H37" t="s">
        <v>6</v>
      </c>
      <c r="I37" s="23">
        <f>VLOOKUP($H$15,Staff[],7,FALSE)</f>
        <v>49630</v>
      </c>
    </row>
    <row r="38" spans="2:12" x14ac:dyDescent="0.4">
      <c r="B38" t="str">
        <f ca="1"/>
        <v>Asija Pothireddy</v>
      </c>
      <c r="C38" s="19">
        <f ca="1"/>
        <v>59430</v>
      </c>
      <c r="D38" t="str">
        <f ca="1"/>
        <v>Average</v>
      </c>
      <c r="H38" t="s">
        <v>204</v>
      </c>
      <c r="I38" s="13" t="str">
        <f>VLOOKUP($H$15,Staff[],8,FALSE)</f>
        <v>IND</v>
      </c>
    </row>
    <row r="39" spans="2:12" x14ac:dyDescent="0.4">
      <c r="B39" t="str">
        <f ca="1"/>
        <v>My Hanscome</v>
      </c>
      <c r="C39" s="19">
        <f ca="1"/>
        <v>59430</v>
      </c>
      <c r="D39" t="str">
        <f ca="1"/>
        <v>Average</v>
      </c>
      <c r="H39" t="s">
        <v>255</v>
      </c>
      <c r="I39" s="25">
        <f ca="1">VLOOKUP($H$15,Staff[],9,FALSE)</f>
        <v>1.1972602739726028</v>
      </c>
    </row>
    <row r="40" spans="2:12" x14ac:dyDescent="0.4">
      <c r="B40" t="str">
        <f ca="1"/>
        <v>Krittika Gaekwad</v>
      </c>
      <c r="C40" s="19">
        <f ca="1"/>
        <v>58940</v>
      </c>
      <c r="D40" t="str">
        <f ca="1"/>
        <v>Average</v>
      </c>
    </row>
    <row r="41" spans="2:12" x14ac:dyDescent="0.4">
      <c r="B41" t="str">
        <f ca="1"/>
        <v>Oby Sorrel</v>
      </c>
      <c r="C41" s="19">
        <f ca="1"/>
        <v>58940</v>
      </c>
      <c r="D41" t="str">
        <f ca="1"/>
        <v>Average</v>
      </c>
      <c r="G41" s="12">
        <v>3</v>
      </c>
      <c r="H41" t="s">
        <v>218</v>
      </c>
    </row>
    <row r="42" spans="2:12" x14ac:dyDescent="0.4">
      <c r="B42" t="str">
        <f ca="1"/>
        <v>Gumwant Veera</v>
      </c>
      <c r="C42" s="19">
        <f ca="1"/>
        <v>52610</v>
      </c>
      <c r="D42" t="str">
        <f ca="1"/>
        <v>Poor</v>
      </c>
    </row>
    <row r="43" spans="2:12" x14ac:dyDescent="0.4">
      <c r="B43" t="str">
        <f ca="1"/>
        <v>Kaye Crocroft</v>
      </c>
      <c r="C43" s="19">
        <f ca="1"/>
        <v>52610</v>
      </c>
      <c r="D43" t="str">
        <f ca="1"/>
        <v>Poor</v>
      </c>
      <c r="I43" s="16" t="s">
        <v>220</v>
      </c>
    </row>
    <row r="44" spans="2:12" x14ac:dyDescent="0.4">
      <c r="B44" t="str">
        <f ca="1"/>
        <v>Esmaria Denecamp</v>
      </c>
      <c r="C44" s="19">
        <f ca="1"/>
        <v>48980</v>
      </c>
      <c r="D44" t="str">
        <f ca="1"/>
        <v>Average</v>
      </c>
      <c r="H44" s="16" t="s">
        <v>223</v>
      </c>
      <c r="I44" t="s">
        <v>16</v>
      </c>
      <c r="J44" t="s">
        <v>9</v>
      </c>
      <c r="K44" t="s">
        <v>206</v>
      </c>
      <c r="L44" t="s">
        <v>219</v>
      </c>
    </row>
    <row r="45" spans="2:12" x14ac:dyDescent="0.4">
      <c r="B45" t="str">
        <f ca="1"/>
        <v>Vanmala Shriharsha</v>
      </c>
      <c r="C45" s="19">
        <f ca="1"/>
        <v>48980</v>
      </c>
      <c r="D45" t="str">
        <f ca="1"/>
        <v>Average</v>
      </c>
      <c r="H45" s="13" t="s">
        <v>221</v>
      </c>
      <c r="I45" s="18">
        <v>86</v>
      </c>
      <c r="J45" s="18">
        <v>89</v>
      </c>
      <c r="K45" s="7">
        <v>8</v>
      </c>
      <c r="L45" s="18">
        <v>183</v>
      </c>
    </row>
    <row r="46" spans="2:12" x14ac:dyDescent="0.4">
      <c r="B46" t="str">
        <f ca="1"/>
        <v>Ardhendu Abhichandra Jayakar</v>
      </c>
      <c r="C46" s="19">
        <f ca="1"/>
        <v>48170</v>
      </c>
      <c r="D46" t="str">
        <f ca="1"/>
        <v>Above average</v>
      </c>
      <c r="H46" s="13" t="s">
        <v>222</v>
      </c>
      <c r="I46" s="17">
        <v>31.406976744186046</v>
      </c>
      <c r="J46" s="17">
        <v>29.393258426966291</v>
      </c>
      <c r="K46" s="7">
        <v>31.375</v>
      </c>
      <c r="L46" s="17">
        <v>30.42622950819672</v>
      </c>
    </row>
    <row r="47" spans="2:12" x14ac:dyDescent="0.4">
      <c r="B47" t="str">
        <f ca="1"/>
        <v>Jan Morforth</v>
      </c>
      <c r="C47" s="19">
        <f ca="1"/>
        <v>48170</v>
      </c>
      <c r="D47" t="str">
        <f ca="1"/>
        <v>Above average</v>
      </c>
      <c r="H47" s="13" t="s">
        <v>224</v>
      </c>
      <c r="I47" s="54">
        <v>78284.186046511633</v>
      </c>
      <c r="J47" s="54">
        <v>74915.168539325838</v>
      </c>
      <c r="K47" s="54">
        <v>90362.5</v>
      </c>
      <c r="L47" s="54">
        <v>77173.715846994543</v>
      </c>
    </row>
    <row r="48" spans="2:12" x14ac:dyDescent="0.4">
      <c r="H48" s="13" t="s">
        <v>256</v>
      </c>
      <c r="I48" s="17">
        <v>1.8216629499840713</v>
      </c>
      <c r="J48" s="17">
        <v>1.8125596429121125</v>
      </c>
      <c r="K48" s="7">
        <v>1.8640410958904106</v>
      </c>
      <c r="L48" s="17">
        <v>1.8190882551089154</v>
      </c>
    </row>
  </sheetData>
  <dataValidations disablePrompts="1" count="1">
    <dataValidation type="list" allowBlank="1" showInputMessage="1" showErrorMessage="1" sqref="C4" xr:uid="{049876DC-E269-4D34-B9AF-7277C95A20DF}">
      <formula1>_xlfn.ANCHORARRAY($E$4)</formula1>
    </dataValidation>
  </dataValidations>
  <pageMargins left="0.7" right="0.7" top="0.75" bottom="0.75" header="0.3" footer="0.3"/>
  <pageSetup paperSize="9" orientation="portrait" r:id="rId2"/>
  <ignoredErrors>
    <ignoredError sqref="I7" formula="1"/>
  </ignoredErrors>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DAFE88-82A4-459A-AF3F-C804587CA1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 Staff</vt:lpstr>
      <vt:lpstr>India Staff</vt:lpstr>
      <vt:lpstr>All</vt:lpstr>
      <vt:lpstr>INSIGHT</vt:lpstr>
      <vt:lpstr>Salary Spread</vt:lpstr>
      <vt:lpstr>SalaryVsRating</vt:lpstr>
      <vt:lpstr>Company Growth</vt:lpstr>
      <vt:lpstr>Regional Card</vt:lpstr>
      <vt:lpstr>Information Finder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 Ting</dc:creator>
  <cp:lastModifiedBy>SK Ting</cp:lastModifiedBy>
  <dcterms:created xsi:type="dcterms:W3CDTF">2023-06-20T00:36:50Z</dcterms:created>
  <dcterms:modified xsi:type="dcterms:W3CDTF">2023-06-20T08:39:28Z</dcterms:modified>
</cp:coreProperties>
</file>